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hidePivotFieldList="1" defaultThemeVersion="124226"/>
  <bookViews>
    <workbookView xWindow="240" yWindow="105" windowWidth="14805" windowHeight="8010"/>
  </bookViews>
  <sheets>
    <sheet name="FIFO" sheetId="5" r:id="rId1"/>
  </sheets>
  <calcPr calcId="125725"/>
  <pivotCaches>
    <pivotCache cacheId="10" r:id="rId2"/>
  </pivotCaches>
</workbook>
</file>

<file path=xl/calcChain.xml><?xml version="1.0" encoding="utf-8"?>
<calcChain xmlns="http://schemas.openxmlformats.org/spreadsheetml/2006/main">
  <c r="F19" i="5"/>
  <c r="G19"/>
  <c r="I19" s="1" a="1"/>
  <c r="I19" s="1"/>
  <c r="H19"/>
  <c r="J19"/>
  <c r="M19"/>
  <c r="N19"/>
  <c r="O19"/>
  <c r="R19"/>
  <c r="F20"/>
  <c r="G20"/>
  <c r="K20" s="1"/>
  <c r="H20"/>
  <c r="L20"/>
  <c r="M20"/>
  <c r="N20"/>
  <c r="R20"/>
  <c r="F21"/>
  <c r="G21"/>
  <c r="I21" s="1" a="1"/>
  <c r="I21" s="1"/>
  <c r="H21"/>
  <c r="J21"/>
  <c r="M21"/>
  <c r="N21"/>
  <c r="O21"/>
  <c r="F22"/>
  <c r="G22"/>
  <c r="K22" s="1"/>
  <c r="H22"/>
  <c r="J22"/>
  <c r="L22"/>
  <c r="M22"/>
  <c r="N22"/>
  <c r="R22"/>
  <c r="F23"/>
  <c r="F15"/>
  <c r="R15"/>
  <c r="F16"/>
  <c r="R16"/>
  <c r="F17"/>
  <c r="R17"/>
  <c r="F18"/>
  <c r="R18"/>
  <c r="N23"/>
  <c r="M23"/>
  <c r="H23"/>
  <c r="G23"/>
  <c r="L23" s="1"/>
  <c r="N18"/>
  <c r="M18"/>
  <c r="H18"/>
  <c r="G18"/>
  <c r="K18" s="1"/>
  <c r="N17"/>
  <c r="M17"/>
  <c r="H17"/>
  <c r="G17"/>
  <c r="J17" s="1"/>
  <c r="N16"/>
  <c r="M16"/>
  <c r="H16"/>
  <c r="G16"/>
  <c r="K16" s="1"/>
  <c r="N15"/>
  <c r="M15"/>
  <c r="H15"/>
  <c r="G15"/>
  <c r="K15" s="1"/>
  <c r="N14"/>
  <c r="N13"/>
  <c r="N12"/>
  <c r="N11"/>
  <c r="N10"/>
  <c r="N9"/>
  <c r="N8"/>
  <c r="N7"/>
  <c r="N6"/>
  <c r="N5"/>
  <c r="N4"/>
  <c r="N3"/>
  <c r="M3"/>
  <c r="M14"/>
  <c r="M13"/>
  <c r="M12"/>
  <c r="M11"/>
  <c r="M10"/>
  <c r="M9"/>
  <c r="M8"/>
  <c r="M7"/>
  <c r="M6"/>
  <c r="M5"/>
  <c r="M4"/>
  <c r="R3"/>
  <c r="R4"/>
  <c r="R5"/>
  <c r="R6"/>
  <c r="R10"/>
  <c r="R11"/>
  <c r="R14"/>
  <c r="K21" l="1"/>
  <c r="J20"/>
  <c r="K19"/>
  <c r="K23"/>
  <c r="J23"/>
  <c r="J18"/>
  <c r="I17" a="1"/>
  <c r="I17" s="1"/>
  <c r="K17"/>
  <c r="O17"/>
  <c r="L18"/>
  <c r="J15"/>
  <c r="J16"/>
  <c r="L16"/>
  <c r="O15"/>
  <c r="I15" a="1"/>
  <c r="I15" s="1"/>
  <c r="R7"/>
  <c r="R9" s="1"/>
  <c r="R8"/>
  <c r="R13" l="1"/>
  <c r="R21" s="1"/>
  <c r="R12"/>
  <c r="F14"/>
  <c r="F13"/>
  <c r="F12"/>
  <c r="F11"/>
  <c r="F10"/>
  <c r="F9"/>
  <c r="F8"/>
  <c r="F7"/>
  <c r="F6"/>
  <c r="F5"/>
  <c r="F3"/>
  <c r="F4"/>
  <c r="D25"/>
  <c r="C2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3"/>
  <c r="G3"/>
  <c r="L19" l="1"/>
  <c r="L21"/>
  <c r="I3" a="1"/>
  <c r="I3" s="1"/>
  <c r="L17"/>
  <c r="L15"/>
  <c r="O5"/>
  <c r="O7"/>
  <c r="O9"/>
  <c r="O13"/>
  <c r="O8"/>
  <c r="O12"/>
  <c r="O3"/>
  <c r="J5"/>
  <c r="P5" s="1" a="1"/>
  <c r="P5" s="1"/>
  <c r="L5"/>
  <c r="K5"/>
  <c r="J7"/>
  <c r="L7"/>
  <c r="K7"/>
  <c r="J9"/>
  <c r="L9"/>
  <c r="K9"/>
  <c r="J11"/>
  <c r="L11"/>
  <c r="K11"/>
  <c r="J13"/>
  <c r="L13"/>
  <c r="K13"/>
  <c r="J6"/>
  <c r="L6"/>
  <c r="K6"/>
  <c r="J8"/>
  <c r="L8"/>
  <c r="K8"/>
  <c r="J10"/>
  <c r="L10"/>
  <c r="K10"/>
  <c r="J12"/>
  <c r="L12"/>
  <c r="K12"/>
  <c r="J14"/>
  <c r="L14"/>
  <c r="K14"/>
  <c r="J4"/>
  <c r="L4"/>
  <c r="K4"/>
  <c r="J3"/>
  <c r="L3"/>
  <c r="K3"/>
  <c r="H25"/>
  <c r="I20" l="1" a="1"/>
  <c r="I20" s="1"/>
  <c r="O20" s="1"/>
  <c r="P3" a="1"/>
  <c r="P3" s="1"/>
  <c r="J25"/>
  <c r="K25"/>
  <c r="L25"/>
  <c r="I16" a="1"/>
  <c r="I16" s="1"/>
  <c r="O16" s="1"/>
  <c r="I4" a="1"/>
  <c r="I4" s="1"/>
  <c r="I7" a="1"/>
  <c r="I7" s="1"/>
  <c r="I9" s="1" a="1"/>
  <c r="I9" s="1"/>
  <c r="I5" a="1"/>
  <c r="I5" s="1"/>
  <c r="Q5" a="1"/>
  <c r="Q5" s="1"/>
  <c r="P6" a="1"/>
  <c r="P6" s="1"/>
  <c r="Q6" a="1"/>
  <c r="Q6" s="1"/>
  <c r="Q3" a="1"/>
  <c r="Q3" s="1"/>
  <c r="P14" a="1"/>
  <c r="P14" s="1"/>
  <c r="Q14" a="1"/>
  <c r="Q14" s="1"/>
  <c r="P12" a="1"/>
  <c r="P12" s="1"/>
  <c r="Q12" a="1"/>
  <c r="Q12" s="1"/>
  <c r="P10" a="1"/>
  <c r="P10" s="1"/>
  <c r="Q10" a="1"/>
  <c r="Q10" s="1"/>
  <c r="P8" a="1"/>
  <c r="P8" s="1"/>
  <c r="Q8" a="1"/>
  <c r="Q8" s="1"/>
  <c r="P11" a="1"/>
  <c r="P11" s="1"/>
  <c r="Q11" a="1"/>
  <c r="Q11" s="1"/>
  <c r="P4" a="1"/>
  <c r="P4" s="1"/>
  <c r="Q4" a="1"/>
  <c r="Q4" s="1"/>
  <c r="P13" a="1"/>
  <c r="P13" s="1"/>
  <c r="Q13" a="1"/>
  <c r="Q13" s="1"/>
  <c r="P9" a="1"/>
  <c r="P9" s="1"/>
  <c r="Q9" a="1"/>
  <c r="Q9" s="1"/>
  <c r="P7" a="1"/>
  <c r="P7" s="1"/>
  <c r="Q7" a="1"/>
  <c r="Q7" s="1"/>
  <c r="I6" l="1" a="1"/>
  <c r="I6" s="1"/>
  <c r="O6" s="1"/>
  <c r="I11" a="1"/>
  <c r="I11" s="1"/>
  <c r="O4"/>
  <c r="I8" l="1" a="1"/>
  <c r="I8" s="1"/>
  <c r="I12" a="1"/>
  <c r="I12" s="1"/>
  <c r="I14" s="1" a="1"/>
  <c r="I14" s="1"/>
  <c r="O14" s="1"/>
  <c r="I13" a="1"/>
  <c r="I13" s="1"/>
  <c r="I18" a="1"/>
  <c r="I18" s="1"/>
  <c r="O11"/>
  <c r="I10" l="1" a="1"/>
  <c r="I10" s="1"/>
  <c r="O10" s="1"/>
  <c r="O18"/>
  <c r="I22" l="1" a="1"/>
  <c r="I22" s="1"/>
  <c r="O22" l="1"/>
  <c r="I23" a="1"/>
  <c r="I23" s="1"/>
  <c r="I25" l="1"/>
  <c r="O23"/>
  <c r="O25" s="1"/>
</calcChain>
</file>

<file path=xl/comments1.xml><?xml version="1.0" encoding="utf-8"?>
<comments xmlns="http://schemas.openxmlformats.org/spreadsheetml/2006/main">
  <authors>
    <author>Author</author>
  </authors>
  <commentList>
    <comment ref="F22" authorId="0">
      <text>
        <r>
          <rPr>
            <b/>
            <sz val="9"/>
            <color indexed="81"/>
            <rFont val="Tahoma"/>
            <charset val="1"/>
          </rPr>
          <t>punit: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</rPr>
          <t>in case of quantity mismatch, cell will automatically highlight in red</t>
        </r>
      </text>
    </comment>
    <comment ref="F23" authorId="0">
      <text>
        <r>
          <rPr>
            <b/>
            <sz val="9"/>
            <color indexed="81"/>
            <rFont val="Tahoma"/>
            <charset val="1"/>
          </rPr>
          <t>Data entry required only in columns A to E and simply copy down formulas in columns F to O</t>
        </r>
      </text>
    </comment>
    <comment ref="O24" authorId="0">
      <text>
        <r>
          <rPr>
            <b/>
            <sz val="9"/>
            <color indexed="81"/>
            <rFont val="Tahoma"/>
            <family val="2"/>
          </rPr>
          <t>keep inserting rows for new entries..</t>
        </r>
      </text>
    </comment>
  </commentList>
</comments>
</file>

<file path=xl/sharedStrings.xml><?xml version="1.0" encoding="utf-8"?>
<sst xmlns="http://schemas.openxmlformats.org/spreadsheetml/2006/main" count="49" uniqueCount="28">
  <si>
    <t>Buy</t>
  </si>
  <si>
    <t>Sell</t>
  </si>
  <si>
    <t>Rate</t>
  </si>
  <si>
    <t>Amt</t>
  </si>
  <si>
    <t>Bal Qty.</t>
  </si>
  <si>
    <t>Capital Gain</t>
  </si>
  <si>
    <t>Date</t>
  </si>
  <si>
    <t>Cum Buy Cost</t>
  </si>
  <si>
    <t>Cum Buy Qty</t>
  </si>
  <si>
    <t>Cum Sell Qty</t>
  </si>
  <si>
    <t>Differential cost</t>
  </si>
  <si>
    <t>Bal. Stock</t>
  </si>
  <si>
    <t>Total</t>
  </si>
  <si>
    <t>Shares</t>
  </si>
  <si>
    <t>Reliance</t>
  </si>
  <si>
    <t>SBI</t>
  </si>
  <si>
    <t>Buy Seq</t>
  </si>
  <si>
    <t>Sell Seq</t>
  </si>
  <si>
    <t>HDFC</t>
  </si>
  <si>
    <t>Satyam</t>
  </si>
  <si>
    <t>Grand Total</t>
  </si>
  <si>
    <t>Values</t>
  </si>
  <si>
    <t>Gain/ Loss</t>
  </si>
  <si>
    <t>Net Qty.</t>
  </si>
  <si>
    <t>TCS</t>
  </si>
  <si>
    <t>Avg. Cost.</t>
  </si>
  <si>
    <t>Bal. Qty.</t>
  </si>
  <si>
    <t>Total Cost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</si>
</sst>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2" fillId="0" borderId="0" xfId="0" applyFont="1"/>
    <xf numFmtId="0" fontId="0" fillId="0" borderId="2" xfId="0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1" xfId="1" applyNumberFormat="1" applyFont="1" applyBorder="1"/>
    <xf numFmtId="0" fontId="0" fillId="0" borderId="1" xfId="0" applyNumberFormat="1" applyBorder="1"/>
    <xf numFmtId="0" fontId="0" fillId="0" borderId="1" xfId="0" applyFont="1" applyBorder="1"/>
    <xf numFmtId="14" fontId="0" fillId="0" borderId="2" xfId="0" applyNumberFormat="1" applyBorder="1"/>
    <xf numFmtId="0" fontId="0" fillId="0" borderId="2" xfId="1" applyNumberFormat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pivotButton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7" xfId="0" applyNumberFormat="1" applyBorder="1"/>
    <xf numFmtId="0" fontId="0" fillId="0" borderId="12" xfId="0" applyNumberFormat="1" applyBorder="1"/>
    <xf numFmtId="0" fontId="0" fillId="0" borderId="10" xfId="0" applyNumberFormat="1" applyBorder="1"/>
    <xf numFmtId="0" fontId="0" fillId="0" borderId="13" xfId="0" applyNumberFormat="1" applyBorder="1"/>
    <xf numFmtId="0" fontId="0" fillId="0" borderId="11" xfId="0" applyNumberFormat="1" applyBorder="1"/>
    <xf numFmtId="0" fontId="0" fillId="0" borderId="14" xfId="0" applyNumberFormat="1" applyBorder="1"/>
    <xf numFmtId="0" fontId="0" fillId="0" borderId="15" xfId="0" applyBorder="1"/>
    <xf numFmtId="0" fontId="0" fillId="0" borderId="15" xfId="0" applyNumberFormat="1" applyBorder="1"/>
    <xf numFmtId="0" fontId="0" fillId="0" borderId="0" xfId="0" applyNumberFormat="1"/>
    <xf numFmtId="0" fontId="0" fillId="0" borderId="16" xfId="0" applyNumberFormat="1" applyBorder="1"/>
    <xf numFmtId="1" fontId="0" fillId="0" borderId="15" xfId="0" applyNumberFormat="1" applyBorder="1"/>
    <xf numFmtId="1" fontId="0" fillId="0" borderId="0" xfId="0" applyNumberFormat="1"/>
    <xf numFmtId="1" fontId="0" fillId="0" borderId="16" xfId="0" applyNumberForma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4" fontId="0" fillId="2" borderId="2" xfId="0" applyNumberFormat="1" applyFill="1" applyBorder="1"/>
    <xf numFmtId="14" fontId="0" fillId="2" borderId="1" xfId="0" applyNumberFormat="1" applyFill="1" applyBorder="1"/>
    <xf numFmtId="0" fontId="0" fillId="2" borderId="2" xfId="0" applyFill="1" applyBorder="1"/>
    <xf numFmtId="0" fontId="0" fillId="3" borderId="1" xfId="1" applyNumberFormat="1" applyFont="1" applyFill="1" applyBorder="1"/>
    <xf numFmtId="0" fontId="0" fillId="3" borderId="1" xfId="0" applyFill="1" applyBorder="1"/>
    <xf numFmtId="0" fontId="0" fillId="3" borderId="1" xfId="0" applyFont="1" applyFill="1" applyBorder="1"/>
    <xf numFmtId="0" fontId="0" fillId="3" borderId="1" xfId="0" applyNumberFormat="1" applyFill="1" applyBorder="1"/>
  </cellXfs>
  <cellStyles count="2">
    <cellStyle name="Comma" xfId="1" builtinId="3"/>
    <cellStyle name="Normal" xfId="0" builtinId="0"/>
  </cellStyles>
  <dxfs count="6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color auto="1"/>
      </font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1719.842832060189" createdVersion="3" refreshedVersion="3" minRefreshableVersion="3" recordCount="23">
  <cacheSource type="worksheet">
    <worksheetSource ref="A1:O24" sheet="FIFO"/>
  </cacheSource>
  <cacheFields count="16">
    <cacheField name="Date" numFmtId="0">
      <sharedItems containsNonDate="0" containsDate="1" containsString="0" containsBlank="1" minDate="2014-01-01T00:00:00" maxDate="2014-01-22T00:00:00"/>
    </cacheField>
    <cacheField name="Shares" numFmtId="0">
      <sharedItems containsBlank="1" count="8">
        <m/>
        <s v="Reliance"/>
        <s v="SBI"/>
        <s v="HDFC"/>
        <s v="Satyam"/>
        <s v="TCS"/>
        <s v="SSL" u="1"/>
        <s v="RPL" u="1"/>
      </sharedItems>
    </cacheField>
    <cacheField name="Buy" numFmtId="0">
      <sharedItems containsString="0" containsBlank="1" containsNumber="1" containsInteger="1" minValue="50" maxValue="2000"/>
    </cacheField>
    <cacheField name="Sell" numFmtId="0">
      <sharedItems containsString="0" containsBlank="1" containsNumber="1" containsInteger="1" minValue="10" maxValue="1500"/>
    </cacheField>
    <cacheField name="Rate" numFmtId="0">
      <sharedItems containsString="0" containsBlank="1" containsNumber="1" containsInteger="1" minValue="100" maxValue="1600"/>
    </cacheField>
    <cacheField name="Bal Qty." numFmtId="0">
      <sharedItems containsString="0" containsBlank="1" containsNumber="1" containsInteger="1" minValue="0" maxValue="2100"/>
    </cacheField>
    <cacheField name="Net Qty." numFmtId="0">
      <sharedItems containsString="0" containsBlank="1" containsNumber="1" containsInteger="1" minValue="-1500" maxValue="2000"/>
    </cacheField>
    <cacheField name="Amt" numFmtId="0">
      <sharedItems containsString="0" containsBlank="1" containsNumber="1" containsInteger="1" minValue="-2400000" maxValue="3000000"/>
    </cacheField>
    <cacheField name="Differential cost" numFmtId="0">
      <sharedItems containsBlank="1" containsMixedTypes="1" containsNumber="1" containsInteger="1" minValue="-2235000" maxValue="3000000"/>
    </cacheField>
    <cacheField name="Cum Sell Qty" numFmtId="0">
      <sharedItems containsBlank="1" containsMixedTypes="1" containsNumber="1" containsInteger="1" minValue="10" maxValue="1900"/>
    </cacheField>
    <cacheField name="Cum Buy Qty" numFmtId="0">
      <sharedItems containsBlank="1" containsMixedTypes="1" containsNumber="1" containsInteger="1" minValue="50" maxValue="2500"/>
    </cacheField>
    <cacheField name="Cum Buy Cost" numFmtId="0">
      <sharedItems containsBlank="1" containsMixedTypes="1" containsNumber="1" containsInteger="1" minValue="10000" maxValue="3396000"/>
    </cacheField>
    <cacheField name="Buy Seq" numFmtId="0">
      <sharedItems containsBlank="1" containsMixedTypes="1" containsNumber="1" containsInteger="1" minValue="1" maxValue="4"/>
    </cacheField>
    <cacheField name="Sell Seq" numFmtId="0">
      <sharedItems containsBlank="1" containsMixedTypes="1" containsNumber="1" containsInteger="1" minValue="1" maxValue="3"/>
    </cacheField>
    <cacheField name="Capital Gain" numFmtId="0">
      <sharedItems containsBlank="1" containsMixedTypes="1" containsNumber="1" containsInteger="1" minValue="-4000" maxValue="165000"/>
    </cacheField>
    <cacheField name="Average" numFmtId="0" formula="IFERROR('Differential cost'/'Net Qty.',0)" databaseField="0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m/>
    <x v="0"/>
    <m/>
    <m/>
    <m/>
    <m/>
    <m/>
    <m/>
    <m/>
    <m/>
    <m/>
    <m/>
    <m/>
    <m/>
    <m/>
  </r>
  <r>
    <d v="2014-01-01T00:00:00"/>
    <x v="1"/>
    <n v="100"/>
    <m/>
    <n v="100"/>
    <n v="100"/>
    <n v="100"/>
    <n v="10000"/>
    <n v="10000"/>
    <s v=""/>
    <n v="100"/>
    <n v="10000"/>
    <n v="1"/>
    <s v=""/>
    <s v=""/>
  </r>
  <r>
    <d v="2014-01-02T00:00:00"/>
    <x v="1"/>
    <m/>
    <n v="50"/>
    <n v="110"/>
    <n v="50"/>
    <n v="-50"/>
    <n v="-5500"/>
    <n v="-5000"/>
    <n v="50"/>
    <s v=""/>
    <s v=""/>
    <s v=""/>
    <n v="1"/>
    <n v="500"/>
  </r>
  <r>
    <d v="2014-01-03T00:00:00"/>
    <x v="2"/>
    <n v="200"/>
    <m/>
    <n v="105"/>
    <n v="200"/>
    <n v="200"/>
    <n v="21000"/>
    <n v="21000"/>
    <s v=""/>
    <n v="200"/>
    <n v="21000"/>
    <n v="1"/>
    <s v=""/>
    <s v=""/>
  </r>
  <r>
    <d v="2014-01-04T00:00:00"/>
    <x v="2"/>
    <m/>
    <n v="100"/>
    <n v="120"/>
    <n v="100"/>
    <n v="-100"/>
    <n v="-12000"/>
    <n v="-10500"/>
    <n v="100"/>
    <s v=""/>
    <s v=""/>
    <s v=""/>
    <n v="1"/>
    <n v="1500"/>
  </r>
  <r>
    <d v="2014-01-05T00:00:00"/>
    <x v="1"/>
    <n v="100"/>
    <m/>
    <n v="1150"/>
    <n v="150"/>
    <n v="100"/>
    <n v="115000"/>
    <n v="115000"/>
    <s v=""/>
    <n v="200"/>
    <n v="125000"/>
    <n v="2"/>
    <s v=""/>
    <s v=""/>
  </r>
  <r>
    <d v="2014-01-06T00:00:00"/>
    <x v="2"/>
    <n v="200"/>
    <m/>
    <n v="1200"/>
    <n v="300"/>
    <n v="200"/>
    <n v="240000"/>
    <n v="240000"/>
    <s v=""/>
    <n v="400"/>
    <n v="261000"/>
    <n v="2"/>
    <s v=""/>
    <s v=""/>
  </r>
  <r>
    <d v="2014-01-07T00:00:00"/>
    <x v="1"/>
    <n v="50"/>
    <m/>
    <n v="1150"/>
    <n v="200"/>
    <n v="50"/>
    <n v="57500"/>
    <n v="57500"/>
    <s v=""/>
    <n v="250"/>
    <n v="182500"/>
    <n v="3"/>
    <s v=""/>
    <s v=""/>
  </r>
  <r>
    <d v="2014-01-08T00:00:00"/>
    <x v="2"/>
    <m/>
    <n v="300"/>
    <n v="1250"/>
    <n v="0"/>
    <n v="-300"/>
    <n v="-375000"/>
    <n v="-250500"/>
    <n v="400"/>
    <s v=""/>
    <s v=""/>
    <s v=""/>
    <n v="2"/>
    <n v="124500"/>
  </r>
  <r>
    <d v="2014-01-09T00:00:00"/>
    <x v="1"/>
    <m/>
    <n v="100"/>
    <n v="1150"/>
    <n v="100"/>
    <n v="-100"/>
    <n v="-115000"/>
    <n v="-62500"/>
    <n v="150"/>
    <s v=""/>
    <s v=""/>
    <s v=""/>
    <n v="2"/>
    <n v="52500"/>
  </r>
  <r>
    <d v="2014-01-10T00:00:00"/>
    <x v="1"/>
    <n v="100"/>
    <m/>
    <n v="1300"/>
    <n v="200"/>
    <n v="100"/>
    <n v="130000"/>
    <n v="130000"/>
    <s v=""/>
    <n v="350"/>
    <n v="312500"/>
    <n v="4"/>
    <s v=""/>
    <s v=""/>
  </r>
  <r>
    <d v="2014-01-11T00:00:00"/>
    <x v="2"/>
    <n v="100"/>
    <m/>
    <n v="1350"/>
    <n v="100"/>
    <n v="100"/>
    <n v="135000"/>
    <n v="135000"/>
    <s v=""/>
    <n v="500"/>
    <n v="396000"/>
    <n v="3"/>
    <s v=""/>
    <s v=""/>
  </r>
  <r>
    <d v="2014-01-12T00:00:00"/>
    <x v="1"/>
    <m/>
    <n v="100"/>
    <n v="1350"/>
    <n v="100"/>
    <n v="-100"/>
    <n v="-135000"/>
    <n v="-115000"/>
    <n v="250"/>
    <s v=""/>
    <s v=""/>
    <s v=""/>
    <n v="3"/>
    <n v="20000"/>
  </r>
  <r>
    <d v="2014-01-13T00:00:00"/>
    <x v="3"/>
    <n v="200"/>
    <m/>
    <n v="1350"/>
    <n v="200"/>
    <n v="200"/>
    <n v="270000"/>
    <n v="270000"/>
    <s v=""/>
    <n v="200"/>
    <n v="270000"/>
    <n v="1"/>
    <s v=""/>
    <s v=""/>
  </r>
  <r>
    <d v="2014-01-14T00:00:00"/>
    <x v="3"/>
    <m/>
    <n v="100"/>
    <n v="1500"/>
    <n v="100"/>
    <n v="-100"/>
    <n v="-150000"/>
    <n v="-135000"/>
    <n v="100"/>
    <s v=""/>
    <s v=""/>
    <s v=""/>
    <n v="1"/>
    <n v="15000"/>
  </r>
  <r>
    <d v="2014-01-15T00:00:00"/>
    <x v="4"/>
    <n v="110"/>
    <m/>
    <n v="1000"/>
    <n v="110"/>
    <n v="110"/>
    <n v="110000"/>
    <n v="110000"/>
    <s v=""/>
    <n v="110"/>
    <n v="110000"/>
    <n v="1"/>
    <s v=""/>
    <s v=""/>
  </r>
  <r>
    <d v="2014-01-16T00:00:00"/>
    <x v="4"/>
    <m/>
    <n v="100"/>
    <n v="1200"/>
    <n v="10"/>
    <n v="-100"/>
    <n v="-120000"/>
    <n v="-100000"/>
    <n v="100"/>
    <s v=""/>
    <s v=""/>
    <s v=""/>
    <n v="1"/>
    <n v="20000"/>
  </r>
  <r>
    <d v="2014-01-17T00:00:00"/>
    <x v="5"/>
    <n v="50"/>
    <m/>
    <n v="500"/>
    <n v="50"/>
    <n v="50"/>
    <n v="25000"/>
    <n v="25000"/>
    <s v=""/>
    <n v="50"/>
    <n v="25000"/>
    <n v="1"/>
    <s v=""/>
    <s v=""/>
  </r>
  <r>
    <d v="2014-01-18T00:00:00"/>
    <x v="5"/>
    <m/>
    <n v="10"/>
    <n v="100"/>
    <n v="40"/>
    <n v="-10"/>
    <n v="-1000"/>
    <n v="-5000"/>
    <n v="10"/>
    <s v=""/>
    <s v=""/>
    <s v=""/>
    <n v="1"/>
    <n v="-4000"/>
  </r>
  <r>
    <d v="2014-01-19T00:00:00"/>
    <x v="2"/>
    <n v="2000"/>
    <m/>
    <n v="1500"/>
    <n v="2100"/>
    <n v="2000"/>
    <n v="3000000"/>
    <n v="3000000"/>
    <s v=""/>
    <n v="2500"/>
    <n v="3396000"/>
    <n v="4"/>
    <s v=""/>
    <s v=""/>
  </r>
  <r>
    <d v="2014-01-20T00:00:00"/>
    <x v="2"/>
    <m/>
    <n v="1500"/>
    <n v="1600"/>
    <n v="600"/>
    <n v="-1500"/>
    <n v="-2400000"/>
    <n v="-2235000"/>
    <n v="1900"/>
    <s v=""/>
    <s v=""/>
    <s v=""/>
    <n v="3"/>
    <n v="165000"/>
  </r>
  <r>
    <d v="2014-01-21T00:00:00"/>
    <x v="0"/>
    <m/>
    <m/>
    <m/>
    <n v="0"/>
    <n v="0"/>
    <n v="0"/>
    <e v="#VALUE!"/>
    <s v=""/>
    <s v=""/>
    <s v=""/>
    <s v=""/>
    <s v=""/>
    <s v=""/>
  </r>
  <r>
    <m/>
    <x v="0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0" applyNumberFormats="0" applyBorderFormats="0" applyFontFormats="0" applyPatternFormats="0" applyAlignmentFormats="0" applyWidthHeightFormats="1" dataCaption="Values" updatedVersion="3" minRefreshableVersion="3" showCalcMbrs="0" showDrill="0" showDataTips="0" itemPrintTitles="1" createdVersion="3" indent="0" compact="0" compactData="0" gridDropZones="1" multipleFieldFilters="0">
  <location ref="A27:E34" firstHeaderRow="1" firstDataRow="2" firstDataCol="1"/>
  <pivotFields count="16">
    <pivotField compact="0" outline="0" showAll="0"/>
    <pivotField axis="axisRow" compact="0" outline="0" showAll="0" defaultSubtotal="0">
      <items count="8">
        <item x="3"/>
        <item x="1"/>
        <item x="4"/>
        <item x="2"/>
        <item x="0"/>
        <item m="1" x="7"/>
        <item m="1" x="6"/>
        <item x="5"/>
      </items>
    </pivotField>
    <pivotField compact="0" outline="0" showAll="0"/>
    <pivotField compact="0" outline="0" showAll="0"/>
    <pivotField compact="0" outline="0" showAll="0"/>
    <pivotField compact="0" outline="0" showAll="0" defaultSubtotal="0"/>
    <pivotField dataField="1" compact="0" outline="0" showAll="0" defaultSubtotal="0"/>
    <pivotField compact="0" outline="0" showAll="0"/>
    <pivotField dataField="1"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/>
    <pivotField dataField="1" compact="0" outline="0" dragToRow="0" dragToCol="0" dragToPage="0" showAll="0" defaultSubtotal="0"/>
  </pivotFields>
  <rowFields count="1">
    <field x="1"/>
  </rowFields>
  <rowItems count="6">
    <i>
      <x/>
    </i>
    <i>
      <x v="1"/>
    </i>
    <i>
      <x v="2"/>
    </i>
    <i>
      <x v="3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Bal. Qty." fld="6" baseField="0" baseItem="0"/>
    <dataField name="Avg. Cost." fld="15" baseField="0" baseItem="0" numFmtId="1"/>
    <dataField name="Total Cost" fld="8" baseField="0" baseItem="0"/>
    <dataField name="Gain/ Loss" fld="14" baseField="0" baseItem="0"/>
  </dataFields>
  <formats count="1">
    <format dxfId="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showRowHeaders="1" showColHeaders="1" showRowStripes="0" showColStripes="0" showLastColumn="1"/>
  <filters count="1">
    <filter fld="1" type="captionNotContains" evalOrder="-1" id="1" stringValue1="(">
      <autoFilter ref="A1">
        <filterColumn colId="0">
          <customFilters>
            <customFilter operator="notEqual" val="*(*"/>
          </customFilters>
        </filterColumn>
      </autoFilter>
    </filter>
  </filters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4"/>
  <sheetViews>
    <sheetView tabSelected="1" workbookViewId="0">
      <pane xSplit="2" ySplit="2" topLeftCell="C14" activePane="bottomRight" state="frozen"/>
      <selection pane="topRight" activeCell="C1" sqref="C1"/>
      <selection pane="bottomLeft" activeCell="A3" sqref="A3"/>
      <selection pane="bottomRight" activeCell="A24" sqref="A24:XFD24"/>
    </sheetView>
  </sheetViews>
  <sheetFormatPr defaultRowHeight="15"/>
  <cols>
    <col min="1" max="1" width="10.42578125" bestFit="1" customWidth="1"/>
    <col min="2" max="2" width="9.28515625" bestFit="1" customWidth="1"/>
    <col min="3" max="4" width="9.7109375" bestFit="1" customWidth="1"/>
    <col min="5" max="5" width="10" bestFit="1" customWidth="1"/>
    <col min="6" max="6" width="7.85546875" bestFit="1" customWidth="1"/>
    <col min="7" max="7" width="8.42578125" hidden="1" customWidth="1"/>
    <col min="8" max="8" width="7.7109375" bestFit="1" customWidth="1"/>
    <col min="9" max="9" width="15.42578125" bestFit="1" customWidth="1"/>
    <col min="10" max="11" width="12.28515625" hidden="1" customWidth="1"/>
    <col min="12" max="12" width="13.140625" hidden="1" customWidth="1"/>
    <col min="13" max="14" width="8" hidden="1" customWidth="1"/>
    <col min="15" max="15" width="11.7109375" bestFit="1" customWidth="1"/>
    <col min="16" max="16" width="8" hidden="1" customWidth="1"/>
    <col min="17" max="17" width="3" hidden="1" customWidth="1"/>
    <col min="18" max="18" width="9.42578125" hidden="1" customWidth="1"/>
    <col min="19" max="26" width="9.140625" customWidth="1"/>
  </cols>
  <sheetData>
    <row r="1" spans="1:20" s="35" customFormat="1" ht="15" customHeight="1">
      <c r="A1" s="38" t="s">
        <v>6</v>
      </c>
      <c r="B1" s="38" t="s">
        <v>13</v>
      </c>
      <c r="C1" s="38" t="s">
        <v>0</v>
      </c>
      <c r="D1" s="38" t="s">
        <v>1</v>
      </c>
      <c r="E1" s="38" t="s">
        <v>2</v>
      </c>
      <c r="F1" s="38" t="s">
        <v>4</v>
      </c>
      <c r="G1" s="38" t="s">
        <v>23</v>
      </c>
      <c r="H1" s="38" t="s">
        <v>3</v>
      </c>
      <c r="I1" s="38" t="s">
        <v>10</v>
      </c>
      <c r="J1" s="38" t="s">
        <v>9</v>
      </c>
      <c r="K1" s="38" t="s">
        <v>8</v>
      </c>
      <c r="L1" s="38" t="s">
        <v>7</v>
      </c>
      <c r="M1" s="38" t="s">
        <v>16</v>
      </c>
      <c r="N1" s="38" t="s">
        <v>17</v>
      </c>
      <c r="O1" s="38" t="s">
        <v>5</v>
      </c>
      <c r="P1" s="37"/>
      <c r="Q1" s="37"/>
      <c r="R1" s="34" t="s">
        <v>11</v>
      </c>
    </row>
    <row r="2" spans="1:20" s="35" customFormat="1">
      <c r="A2" s="40"/>
      <c r="B2" s="40"/>
      <c r="C2" s="40"/>
      <c r="D2" s="40"/>
      <c r="E2" s="40"/>
      <c r="F2" s="40"/>
      <c r="G2" s="40"/>
      <c r="H2" s="40"/>
      <c r="I2" s="40"/>
      <c r="J2" s="39"/>
      <c r="K2" s="39"/>
      <c r="L2" s="39"/>
      <c r="M2" s="40"/>
      <c r="N2" s="40"/>
      <c r="O2" s="39"/>
      <c r="P2" s="36"/>
      <c r="Q2" s="36"/>
      <c r="R2" s="34"/>
    </row>
    <row r="3" spans="1:20">
      <c r="A3" s="2">
        <v>41640</v>
      </c>
      <c r="B3" s="2" t="s">
        <v>14</v>
      </c>
      <c r="C3" s="1">
        <v>100</v>
      </c>
      <c r="D3" s="1"/>
      <c r="E3" s="1">
        <v>100</v>
      </c>
      <c r="F3" s="9">
        <f>SUMIFS($C$1:C3,$B$1:B3,B3)-SUMIFS($D$1:D3,$B$1:B3,B3)</f>
        <v>100</v>
      </c>
      <c r="G3" s="1">
        <f>C3-D3</f>
        <v>100</v>
      </c>
      <c r="H3" s="1">
        <f t="shared" ref="H3:H22" si="0">(C3-D3)*E3</f>
        <v>10000</v>
      </c>
      <c r="I3" s="11">
        <f t="array" ref="I3">IF(G3&gt;0,G3*E3,-(INDEX($L$1:$L$24,IFERROR(MATCH(J3:J3-1,IF($B$1:$B$24=B3,$K$1:$K$24),1),2))+((J3-INDEX($K$1:$K$24,IFERROR(MATCH(J3:J3-1,IF($B$1:$B$24=B3,$K$1:$K$24),1),2)))*INDEX($E$1:$E$24,MATCH(INDEX($M$1:$M$24,IFERROR(MATCH(J3:J3-1,IF($B$1:$B$24=B3,$K$1:$K$24),1),2))+1,IF($B$1:$B$24=B3,$M$1:$M$24),0)))+SUMIFS($I$1:I2,$B$1:B2,B3,$I$1:I2,"&lt;0")))</f>
        <v>10000</v>
      </c>
      <c r="J3" s="1" t="str">
        <f>IF(G3&lt;0,SUMIFS($D$1:D3,$B$1:B3,B3),"")</f>
        <v/>
      </c>
      <c r="K3" s="1">
        <f>IF(G3&gt;0,SUMIFS($C$1:C3,$B$1:B3,B3),"")</f>
        <v>100</v>
      </c>
      <c r="L3" s="1">
        <f>IF(G3&gt;0,SUMIFS($H$1:H3,$H$1:H3,"&gt;0",$B$1:B3,B3),"")</f>
        <v>10000</v>
      </c>
      <c r="M3" s="10">
        <f>IF(C3&gt;0,COUNTIFS($B$1:$B3,$B3,C$1:C3,"&gt;0"),"")</f>
        <v>1</v>
      </c>
      <c r="N3" s="10" t="str">
        <f>IF(D3&gt;0,COUNTIFS($B$1:$B3,$B3,D$1:D3,"&gt;0"),"")</f>
        <v/>
      </c>
      <c r="O3" s="1" t="str">
        <f t="shared" ref="O3:O22" si="1">IF(G3&lt;0,I3-H3,"")</f>
        <v/>
      </c>
      <c r="P3">
        <f t="array" ref="P3">IFERROR(MATCH(J3:J3-1,IF($B$1:$B$24=B3,$K$1:$K$24),1),2)</f>
        <v>2</v>
      </c>
      <c r="Q3">
        <f t="array" ref="Q3">MATCH(J3&amp;B3,$K$1:$K$24&amp;$B$1:$B$24,1)</f>
        <v>17</v>
      </c>
      <c r="R3" s="1">
        <f>IF(C3&gt;0,MAX(SUMIFS($C$1:C3,$B$1:B3,B3)-SUMIFS($D$1:$D$24,$B$1:$B$24,B3)-SUMIFS($R$1:R2,$B$1:B2,B3),0),0)</f>
        <v>0</v>
      </c>
    </row>
    <row r="4" spans="1:20">
      <c r="A4" s="2">
        <v>41641</v>
      </c>
      <c r="B4" s="2" t="s">
        <v>14</v>
      </c>
      <c r="C4" s="1"/>
      <c r="D4" s="1">
        <v>50</v>
      </c>
      <c r="E4" s="1">
        <v>110</v>
      </c>
      <c r="F4" s="9">
        <f>SUMIFS($C$1:C4,$B$1:B4,B4)-SUMIFS($D$1:D4,$B$1:B4,B4)</f>
        <v>50</v>
      </c>
      <c r="G4" s="1">
        <f t="shared" ref="G4:G14" si="2">C4-D4</f>
        <v>-50</v>
      </c>
      <c r="H4" s="1">
        <f t="shared" si="0"/>
        <v>-5500</v>
      </c>
      <c r="I4" s="11">
        <f t="array" ref="I4">IF(G4&gt;0,G4*E4,-(INDEX($L$1:$L$24,IFERROR(MATCH(J4:J4-1,IF($B$1:$B$24=B4,$K$1:$K$24),1),2))+((J4-INDEX($K$1:$K$24,IFERROR(MATCH(J4:J4-1,IF($B$1:$B$24=B4,$K$1:$K$24),1),2)))*INDEX($E$1:$E$24,MATCH(INDEX($M$1:$M$24,IFERROR(MATCH(J4:J4-1,IF($B$1:$B$24=B4,$K$1:$K$24),1),2))+1,IF($B$1:$B$24=B4,$M$1:$M$24),0)))+SUMIFS($I$1:I3,$B$1:B3,B4,$I$1:I3,"&lt;0")))</f>
        <v>-5000</v>
      </c>
      <c r="J4" s="1">
        <f>IF(G4&lt;0,SUMIFS($D$1:D4,$B$1:B4,B4),"")</f>
        <v>50</v>
      </c>
      <c r="K4" s="1" t="str">
        <f>IF(G4&gt;0,SUMIFS($C$1:C4,$B$1:B4,B4),"")</f>
        <v/>
      </c>
      <c r="L4" s="1" t="str">
        <f>IF(G4&gt;0,SUMIFS($H$1:H4,$H$1:H4,"&gt;0",$B$1:B4,B4),"")</f>
        <v/>
      </c>
      <c r="M4" s="10" t="str">
        <f>IF(C4&gt;0,COUNTIFS($B$1:B4,B4,$C$1:C4,"&gt;0"),"")</f>
        <v/>
      </c>
      <c r="N4" s="10">
        <f>IF(D4&gt;0,COUNTIFS($B$1:$B4,$B4,D$1:D4,"&gt;0"),"")</f>
        <v>1</v>
      </c>
      <c r="O4" s="1">
        <f t="shared" si="1"/>
        <v>500</v>
      </c>
      <c r="P4">
        <f t="array" ref="P4">IFERROR(MATCH(J4:J4-1,IF($B$1:$B$24=B4,$K$1:$K$24),1),2)</f>
        <v>2</v>
      </c>
      <c r="Q4">
        <f t="array" ref="Q4">MATCH(J4&amp;B4,$K$1:$K$24&amp;$B$1:$B$24,1)</f>
        <v>15</v>
      </c>
      <c r="R4" s="1">
        <f>IF(C4&gt;0,MAX(SUMIFS($C$1:C4,$B$1:B4,B4)-SUMIFS($D$1:$D$24,$B$1:$B$24,B4)-SUMIFS($R$1:R3,$B$1:B3,B4),0),0)</f>
        <v>0</v>
      </c>
    </row>
    <row r="5" spans="1:20">
      <c r="A5" s="2">
        <v>41642</v>
      </c>
      <c r="B5" s="2" t="s">
        <v>15</v>
      </c>
      <c r="C5" s="1">
        <v>200</v>
      </c>
      <c r="D5" s="1"/>
      <c r="E5" s="1">
        <v>105</v>
      </c>
      <c r="F5" s="9">
        <f>SUMIFS($C$1:C5,$B$1:B5,B5)-SUMIFS($D$1:D5,$B$1:B5,B5)</f>
        <v>200</v>
      </c>
      <c r="G5" s="1">
        <f t="shared" si="2"/>
        <v>200</v>
      </c>
      <c r="H5" s="1">
        <f t="shared" si="0"/>
        <v>21000</v>
      </c>
      <c r="I5" s="11">
        <f t="array" ref="I5">IF(G5&gt;0,G5*E5,-(INDEX($L$1:$L$24,IFERROR(MATCH(J5:J5-1,IF($B$1:$B$24=B5,$K$1:$K$24),1),2))+((J5-INDEX($K$1:$K$24,IFERROR(MATCH(J5:J5-1,IF($B$1:$B$24=B5,$K$1:$K$24),1),2)))*INDEX($E$1:$E$24,MATCH(INDEX($M$1:$M$24,IFERROR(MATCH(J5:J5-1,IF($B$1:$B$24=B5,$K$1:$K$24),1),2))+1,IF($B$1:$B$24=B5,$M$1:$M$24),0)))+SUMIFS($I$1:I4,$B$1:B4,B5,$I$1:I4,"&lt;0")))</f>
        <v>21000</v>
      </c>
      <c r="J5" s="1" t="str">
        <f>IF(G5&lt;0,SUMIFS($D$1:D5,$B$1:B5,B5),"")</f>
        <v/>
      </c>
      <c r="K5" s="1">
        <f>IF(G5&gt;0,SUMIFS($C$1:C5,$B$1:B5,B5),"")</f>
        <v>200</v>
      </c>
      <c r="L5" s="1">
        <f>IF(G5&gt;0,SUMIFS($H$1:H5,$H$1:H5,"&gt;0",$B$1:B5,B5),"")</f>
        <v>21000</v>
      </c>
      <c r="M5" s="10">
        <f>IF(C5&gt;0,COUNTIFS($B$1:B5,B5,$C$1:C5,"&gt;0"),"")</f>
        <v>1</v>
      </c>
      <c r="N5" s="10" t="str">
        <f>IF(D5&gt;0,COUNTIFS($B$1:$B5,$B5,D$1:D5,"&gt;0"),"")</f>
        <v/>
      </c>
      <c r="O5" s="1" t="str">
        <f t="shared" si="1"/>
        <v/>
      </c>
      <c r="P5">
        <f t="array" ref="P5">IFERROR(MATCH(J5:J5-1,IF($B$1:$B$24=B5,$K$1:$K$24),1),2)</f>
        <v>2</v>
      </c>
      <c r="Q5">
        <f t="array" ref="Q5">MATCH(J5&amp;B5,$K$1:$K$24&amp;$B$1:$B$24,1)</f>
        <v>24</v>
      </c>
      <c r="R5" s="1">
        <f>IF(C5&gt;0,MAX(SUMIFS($C$1:C5,$B$1:B5,B5)-SUMIFS($D$1:$D$24,$B$1:$B$24,B5)-SUMIFS($R$1:R4,$B$1:B4,B5),0),0)</f>
        <v>0</v>
      </c>
      <c r="T5" s="3"/>
    </row>
    <row r="6" spans="1:20">
      <c r="A6" s="2">
        <v>41643</v>
      </c>
      <c r="B6" s="2" t="s">
        <v>15</v>
      </c>
      <c r="C6" s="1"/>
      <c r="D6" s="1">
        <v>100</v>
      </c>
      <c r="E6" s="1">
        <v>120</v>
      </c>
      <c r="F6" s="9">
        <f>SUMIFS($C$1:C6,$B$1:B6,B6)-SUMIFS($D$1:D6,$B$1:B6,B6)</f>
        <v>100</v>
      </c>
      <c r="G6" s="1">
        <f t="shared" si="2"/>
        <v>-100</v>
      </c>
      <c r="H6" s="1">
        <f t="shared" si="0"/>
        <v>-12000</v>
      </c>
      <c r="I6" s="11">
        <f t="array" ref="I6">IF(G6&gt;0,G6*E6,-(INDEX($L$1:$L$24,IFERROR(MATCH(J6:J6-1,IF($B$1:$B$24=B6,$K$1:$K$24),1),2))+((J6-INDEX($K$1:$K$24,IFERROR(MATCH(J6:J6-1,IF($B$1:$B$24=B6,$K$1:$K$24),1),2)))*INDEX($E$1:$E$24,MATCH(INDEX($M$1:$M$24,IFERROR(MATCH(J6:J6-1,IF($B$1:$B$24=B6,$K$1:$K$24),1),2))+1,IF($B$1:$B$24=B6,$M$1:$M$24),0)))+SUMIFS($I$1:I5,$B$1:B5,B6,$I$1:I5,"&lt;0")))</f>
        <v>-10500</v>
      </c>
      <c r="J6" s="1">
        <f>IF(G6&lt;0,SUMIFS($D$1:D6,$B$1:B6,B6),"")</f>
        <v>100</v>
      </c>
      <c r="K6" s="1" t="str">
        <f>IF(G6&gt;0,SUMIFS($C$1:C6,$B$1:B6,B6),"")</f>
        <v/>
      </c>
      <c r="L6" s="1" t="str">
        <f>IF(G6&gt;0,SUMIFS($H$1:H6,$H$1:H6,"&gt;0",$B$1:B6,B6),"")</f>
        <v/>
      </c>
      <c r="M6" s="10" t="str">
        <f>IF(C6&gt;0,COUNTIFS($B$1:B6,B6,$C$1:C6,"&gt;0"),"")</f>
        <v/>
      </c>
      <c r="N6" s="10">
        <f>IF(D6&gt;0,COUNTIFS($B$1:$B6,$B6,D$1:D6,"&gt;0"),"")</f>
        <v>1</v>
      </c>
      <c r="O6" s="1">
        <f t="shared" si="1"/>
        <v>1500</v>
      </c>
      <c r="P6">
        <f t="array" ref="P6">IFERROR(MATCH(J6:J6-1,IF($B$1:$B$24=B6,$K$1:$K$24),1),2)</f>
        <v>2</v>
      </c>
      <c r="Q6">
        <f t="array" ref="Q6">MATCH(J6&amp;B6,$K$1:$K$24&amp;$B$1:$B$24,1)</f>
        <v>3</v>
      </c>
      <c r="R6" s="1">
        <f>IF(C6&gt;0,MAX(SUMIFS($C$1:C6,$B$1:B6,B6)-SUMIFS($D$1:$D$24,$B$1:$B$24,B6)-SUMIFS($R$1:R5,$B$1:B5,B6),0),0)</f>
        <v>0</v>
      </c>
    </row>
    <row r="7" spans="1:20">
      <c r="A7" s="2">
        <v>41644</v>
      </c>
      <c r="B7" s="2" t="s">
        <v>14</v>
      </c>
      <c r="C7" s="1">
        <v>100</v>
      </c>
      <c r="D7" s="1"/>
      <c r="E7" s="1">
        <v>1150</v>
      </c>
      <c r="F7" s="9">
        <f>SUMIFS($C$1:C7,$B$1:B7,B7)-SUMIFS($D$1:D7,$B$1:B7,B7)</f>
        <v>150</v>
      </c>
      <c r="G7" s="1">
        <f t="shared" si="2"/>
        <v>100</v>
      </c>
      <c r="H7" s="1">
        <f t="shared" si="0"/>
        <v>115000</v>
      </c>
      <c r="I7" s="11">
        <f t="array" ref="I7">IF(G7&gt;0,G7*E7,-(INDEX($L$1:$L$24,IFERROR(MATCH(J7:J7-1,IF($B$1:$B$24=B7,$K$1:$K$24),1),2))+((J7-INDEX($K$1:$K$24,IFERROR(MATCH(J7:J7-1,IF($B$1:$B$24=B7,$K$1:$K$24),1),2)))*INDEX($E$1:$E$24,MATCH(INDEX($M$1:$M$24,IFERROR(MATCH(J7:J7-1,IF($B$1:$B$24=B7,$K$1:$K$24),1),2))+1,IF($B$1:$B$24=B7,$M$1:$M$24),0)))+SUMIFS($I$1:I6,$B$1:B6,B7,$I$1:I6,"&lt;0")))</f>
        <v>115000</v>
      </c>
      <c r="J7" s="1" t="str">
        <f>IF(G7&lt;0,SUMIFS($D$1:D7,$B$1:B7,B7),"")</f>
        <v/>
      </c>
      <c r="K7" s="1">
        <f>IF(G7&gt;0,SUMIFS($C$1:C7,$B$1:B7,B7),"")</f>
        <v>200</v>
      </c>
      <c r="L7" s="1">
        <f>IF(G7&gt;0,SUMIFS($H$1:H7,$H$1:H7,"&gt;0",$B$1:B7,B7),"")</f>
        <v>125000</v>
      </c>
      <c r="M7" s="10">
        <f>IF(C7&gt;0,COUNTIFS($B$1:B7,B7,$C$1:C7,"&gt;0"),"")</f>
        <v>2</v>
      </c>
      <c r="N7" s="10" t="str">
        <f>IF(D7&gt;0,COUNTIFS($B$1:$B7,$B7,D$1:D7,"&gt;0"),"")</f>
        <v/>
      </c>
      <c r="O7" s="1" t="str">
        <f t="shared" si="1"/>
        <v/>
      </c>
      <c r="P7">
        <f t="array" ref="P7">IFERROR(MATCH(J7:J7-1,IF($B$1:$B$24=B7,$K$1:$K$24),1),2)</f>
        <v>2</v>
      </c>
      <c r="Q7">
        <f t="array" ref="Q7">MATCH(J7&amp;B7,$K$1:$K$24&amp;$B$1:$B$24,1)</f>
        <v>17</v>
      </c>
      <c r="R7" s="1">
        <f>IF(C7&gt;0,MAX(SUMIFS($C$1:C7,$B$1:B7,B7)-SUMIFS($D$1:$D$24,$B$1:$B$24,B7)-SUMIFS($R$1:R6,$B$1:B6,B7),0),0)</f>
        <v>0</v>
      </c>
    </row>
    <row r="8" spans="1:20">
      <c r="A8" s="2">
        <v>41645</v>
      </c>
      <c r="B8" s="2" t="s">
        <v>15</v>
      </c>
      <c r="C8" s="1">
        <v>200</v>
      </c>
      <c r="D8" s="1"/>
      <c r="E8" s="1">
        <v>1200</v>
      </c>
      <c r="F8" s="9">
        <f>SUMIFS($C$1:C8,$B$1:B8,B8)-SUMIFS($D$1:D8,$B$1:B8,B8)</f>
        <v>300</v>
      </c>
      <c r="G8" s="1">
        <f t="shared" si="2"/>
        <v>200</v>
      </c>
      <c r="H8" s="1">
        <f t="shared" si="0"/>
        <v>240000</v>
      </c>
      <c r="I8" s="11">
        <f t="array" ref="I8">IF(G8&gt;0,G8*E8,-(INDEX($L$1:$L$24,IFERROR(MATCH(J8:J8-1,IF($B$1:$B$24=B8,$K$1:$K$24),1),2))+((J8-INDEX($K$1:$K$24,IFERROR(MATCH(J8:J8-1,IF($B$1:$B$24=B8,$K$1:$K$24),1),2)))*INDEX($E$1:$E$24,MATCH(INDEX($M$1:$M$24,IFERROR(MATCH(J8:J8-1,IF($B$1:$B$24=B8,$K$1:$K$24),1),2))+1,IF($B$1:$B$24=B8,$M$1:$M$24),0)))+SUMIFS($I$1:I7,$B$1:B7,B8,$I$1:I7,"&lt;0")))</f>
        <v>240000</v>
      </c>
      <c r="J8" s="1" t="str">
        <f>IF(G8&lt;0,SUMIFS($D$1:D8,$B$1:B8,B8),"")</f>
        <v/>
      </c>
      <c r="K8" s="1">
        <f>IF(G8&gt;0,SUMIFS($C$1:C8,$B$1:B8,B8),"")</f>
        <v>400</v>
      </c>
      <c r="L8" s="1">
        <f>IF(G8&gt;0,SUMIFS($H$1:H8,$H$1:H8,"&gt;0",$B$1:B8,B8),"")</f>
        <v>261000</v>
      </c>
      <c r="M8" s="10">
        <f>IF(C8&gt;0,COUNTIFS($B$1:B8,B8,$C$1:C8,"&gt;0"),"")</f>
        <v>2</v>
      </c>
      <c r="N8" s="10" t="str">
        <f>IF(D8&gt;0,COUNTIFS($B$1:$B8,$B8,D$1:D8,"&gt;0"),"")</f>
        <v/>
      </c>
      <c r="O8" s="1" t="str">
        <f t="shared" si="1"/>
        <v/>
      </c>
      <c r="P8">
        <f t="array" ref="P8">IFERROR(MATCH(J8:J8-1,IF($B$1:$B$24=B8,$K$1:$K$24),1),2)</f>
        <v>2</v>
      </c>
      <c r="Q8">
        <f t="array" ref="Q8">MATCH(J8&amp;B8,$K$1:$K$24&amp;$B$1:$B$24,1)</f>
        <v>24</v>
      </c>
      <c r="R8" s="1">
        <f>IF(C8&gt;0,MAX(SUMIFS($C$1:C8,$B$1:B8,B8)-SUMIFS($D$1:$D$24,$B$1:$B$24,B8)-SUMIFS($R$1:R7,$B$1:B7,B8),0),0)</f>
        <v>0</v>
      </c>
    </row>
    <row r="9" spans="1:20">
      <c r="A9" s="2">
        <v>41646</v>
      </c>
      <c r="B9" s="2" t="s">
        <v>14</v>
      </c>
      <c r="C9" s="1">
        <v>50</v>
      </c>
      <c r="D9" s="1"/>
      <c r="E9" s="1">
        <v>1150</v>
      </c>
      <c r="F9" s="9">
        <f>SUMIFS($C$1:C9,$B$1:B9,B9)-SUMIFS($D$1:D9,$B$1:B9,B9)</f>
        <v>200</v>
      </c>
      <c r="G9" s="1">
        <f t="shared" si="2"/>
        <v>50</v>
      </c>
      <c r="H9" s="1">
        <f t="shared" si="0"/>
        <v>57500</v>
      </c>
      <c r="I9" s="11">
        <f t="array" ref="I9">IF(G9&gt;0,G9*E9,-(INDEX($L$1:$L$24,IFERROR(MATCH(J9:J9-1,IF($B$1:$B$24=B9,$K$1:$K$24),1),2))+((J9-INDEX($K$1:$K$24,IFERROR(MATCH(J9:J9-1,IF($B$1:$B$24=B9,$K$1:$K$24),1),2)))*INDEX($E$1:$E$24,MATCH(INDEX($M$1:$M$24,IFERROR(MATCH(J9:J9-1,IF($B$1:$B$24=B9,$K$1:$K$24),1),2))+1,IF($B$1:$B$24=B9,$M$1:$M$24),0)))+SUMIFS($I$1:I8,$B$1:B8,B9,$I$1:I8,"&lt;0")))</f>
        <v>57500</v>
      </c>
      <c r="J9" s="1" t="str">
        <f>IF(G9&lt;0,SUMIFS($D$1:D9,$B$1:B9,B9),"")</f>
        <v/>
      </c>
      <c r="K9" s="1">
        <f>IF(G9&gt;0,SUMIFS($C$1:C9,$B$1:B9,B9),"")</f>
        <v>250</v>
      </c>
      <c r="L9" s="1">
        <f>IF(G9&gt;0,SUMIFS($H$1:H9,$H$1:H9,"&gt;0",$B$1:B9,B9),"")</f>
        <v>182500</v>
      </c>
      <c r="M9" s="10">
        <f>IF(C9&gt;0,COUNTIFS($B$1:B9,B9,$C$1:C9,"&gt;0"),"")</f>
        <v>3</v>
      </c>
      <c r="N9" s="10" t="str">
        <f>IF(D9&gt;0,COUNTIFS($B$1:$B9,$B9,D$1:D9,"&gt;0"),"")</f>
        <v/>
      </c>
      <c r="O9" s="1" t="str">
        <f t="shared" si="1"/>
        <v/>
      </c>
      <c r="P9">
        <f t="array" ref="P9">IFERROR(MATCH(J9:J9-1,IF($B$1:$B$24=B9,$K$1:$K$24),1),2)</f>
        <v>2</v>
      </c>
      <c r="Q9">
        <f t="array" ref="Q9">MATCH(J9&amp;B9,$K$1:$K$24&amp;$B$1:$B$24,1)</f>
        <v>17</v>
      </c>
      <c r="R9" s="1">
        <f>IF(C9&gt;0,MAX(SUMIFS($C$1:C9,$B$1:B9,B9)-SUMIFS($D$1:$D$24,$B$1:$B$24,B9)-SUMIFS($R$1:R8,$B$1:B8,B9),0),0)</f>
        <v>0</v>
      </c>
    </row>
    <row r="10" spans="1:20">
      <c r="A10" s="2">
        <v>41647</v>
      </c>
      <c r="B10" s="2" t="s">
        <v>15</v>
      </c>
      <c r="C10" s="1"/>
      <c r="D10" s="1">
        <v>300</v>
      </c>
      <c r="E10" s="1">
        <v>1250</v>
      </c>
      <c r="F10" s="9">
        <f>SUMIFS($C$1:C10,$B$1:B10,B10)-SUMIFS($D$1:D10,$B$1:B10,B10)</f>
        <v>0</v>
      </c>
      <c r="G10" s="1">
        <f t="shared" si="2"/>
        <v>-300</v>
      </c>
      <c r="H10" s="1">
        <f t="shared" si="0"/>
        <v>-375000</v>
      </c>
      <c r="I10" s="11">
        <f t="array" ref="I10">IF(G10&gt;0,G10*E10,-(INDEX($L$1:$L$24,IFERROR(MATCH(J10:J10-1,IF($B$1:$B$24=B10,$K$1:$K$24),1),2))+((J10-INDEX($K$1:$K$24,IFERROR(MATCH(J10:J10-1,IF($B$1:$B$24=B10,$K$1:$K$24),1),2)))*INDEX($E$1:$E$24,MATCH(INDEX($M$1:$M$24,IFERROR(MATCH(J10:J10-1,IF($B$1:$B$24=B10,$K$1:$K$24),1),2))+1,IF($B$1:$B$24=B10,$M$1:$M$24),0)))+SUMIFS($I$1:I9,$B$1:B9,B10,$I$1:I9,"&lt;0")))</f>
        <v>-250500</v>
      </c>
      <c r="J10" s="1">
        <f>IF(G10&lt;0,SUMIFS($D$1:D10,$B$1:B10,B10),"")</f>
        <v>400</v>
      </c>
      <c r="K10" s="1" t="str">
        <f>IF(G10&gt;0,SUMIFS($C$1:C10,$B$1:B10,B10),"")</f>
        <v/>
      </c>
      <c r="L10" s="1" t="str">
        <f>IF(G10&gt;0,SUMIFS($H$1:H10,$H$1:H10,"&gt;0",$B$1:B10,B10),"")</f>
        <v/>
      </c>
      <c r="M10" s="10" t="str">
        <f>IF(C10&gt;0,COUNTIFS($B$1:B10,B10,$C$1:C10,"&gt;0"),"")</f>
        <v/>
      </c>
      <c r="N10" s="10">
        <f>IF(D10&gt;0,COUNTIFS($B$1:$B10,$B10,D$1:D10,"&gt;0"),"")</f>
        <v>2</v>
      </c>
      <c r="O10" s="1">
        <f t="shared" si="1"/>
        <v>124500</v>
      </c>
      <c r="P10">
        <f t="array" ref="P10">IFERROR(MATCH(J10:J10-1,IF($B$1:$B$24=B10,$K$1:$K$24),1),2)</f>
        <v>5</v>
      </c>
      <c r="Q10">
        <f t="array" ref="Q10">MATCH(J10&amp;B10,$K$1:$K$24&amp;$B$1:$B$24,1)</f>
        <v>15</v>
      </c>
      <c r="R10" s="1">
        <f>IF(C10&gt;0,MAX(SUMIFS($C$1:C10,$B$1:B10,B10)-SUMIFS($D$1:$D$24,$B$1:$B$24,B10)-SUMIFS($R$1:R9,$B$1:B9,B10),0),0)</f>
        <v>0</v>
      </c>
    </row>
    <row r="11" spans="1:20">
      <c r="A11" s="2">
        <v>41648</v>
      </c>
      <c r="B11" s="2" t="s">
        <v>14</v>
      </c>
      <c r="C11" s="1"/>
      <c r="D11" s="1">
        <v>100</v>
      </c>
      <c r="E11" s="1">
        <v>1150</v>
      </c>
      <c r="F11" s="9">
        <f>SUMIFS($C$1:C11,$B$1:B11,B11)-SUMIFS($D$1:D11,$B$1:B11,B11)</f>
        <v>100</v>
      </c>
      <c r="G11" s="1">
        <f t="shared" si="2"/>
        <v>-100</v>
      </c>
      <c r="H11" s="1">
        <f t="shared" si="0"/>
        <v>-115000</v>
      </c>
      <c r="I11" s="11">
        <f t="array" ref="I11">IF(G11&gt;0,G11*E11,-(INDEX($L$1:$L$24,IFERROR(MATCH(J11:J11-1,IF($B$1:$B$24=B11,$K$1:$K$24),1),2))+((J11-INDEX($K$1:$K$24,IFERROR(MATCH(J11:J11-1,IF($B$1:$B$24=B11,$K$1:$K$24),1),2)))*INDEX($E$1:$E$24,MATCH(INDEX($M$1:$M$24,IFERROR(MATCH(J11:J11-1,IF($B$1:$B$24=B11,$K$1:$K$24),1),2))+1,IF($B$1:$B$24=B11,$M$1:$M$24),0)))+SUMIFS($I$1:I10,$B$1:B10,B11,$I$1:I10,"&lt;0")))</f>
        <v>-62500</v>
      </c>
      <c r="J11" s="1">
        <f>IF(G11&lt;0,SUMIFS($D$1:D11,$B$1:B11,B11),"")</f>
        <v>150</v>
      </c>
      <c r="K11" s="1" t="str">
        <f>IF(G11&gt;0,SUMIFS($C$1:C11,$B$1:B11,B11),"")</f>
        <v/>
      </c>
      <c r="L11" s="1" t="str">
        <f>IF(G11&gt;0,SUMIFS($H$1:H11,$H$1:H11,"&gt;0",$B$1:B11,B11),"")</f>
        <v/>
      </c>
      <c r="M11" s="10" t="str">
        <f>IF(C11&gt;0,COUNTIFS($B$1:B11,B11,$C$1:C11,"&gt;0"),"")</f>
        <v/>
      </c>
      <c r="N11" s="10">
        <f>IF(D11&gt;0,COUNTIFS($B$1:$B11,$B11,D$1:D11,"&gt;0"),"")</f>
        <v>2</v>
      </c>
      <c r="O11" s="1">
        <f t="shared" si="1"/>
        <v>52500</v>
      </c>
      <c r="P11">
        <f t="array" ref="P11">IFERROR(MATCH(J11:J11-1,IF($B$1:$B$24=B11,$K$1:$K$24),1),2)</f>
        <v>3</v>
      </c>
      <c r="Q11">
        <f t="array" ref="Q11">MATCH(J11&amp;B11,$K$1:$K$24&amp;$B$1:$B$24,1)</f>
        <v>3</v>
      </c>
      <c r="R11" s="1">
        <f>IF(C11&gt;0,MAX(SUMIFS($C$1:C11,$B$1:B11,B11)-SUMIFS($D$1:$D$24,$B$1:$B$24,B11)-SUMIFS($R$1:R10,$B$1:B10,B11),0),0)</f>
        <v>0</v>
      </c>
    </row>
    <row r="12" spans="1:20">
      <c r="A12" s="2">
        <v>41649</v>
      </c>
      <c r="B12" s="2" t="s">
        <v>14</v>
      </c>
      <c r="C12" s="1">
        <v>100</v>
      </c>
      <c r="D12" s="1"/>
      <c r="E12" s="1">
        <v>1300</v>
      </c>
      <c r="F12" s="9">
        <f>SUMIFS($C$1:C12,$B$1:B12,B12)-SUMIFS($D$1:D12,$B$1:B12,B12)</f>
        <v>200</v>
      </c>
      <c r="G12" s="1">
        <f t="shared" si="2"/>
        <v>100</v>
      </c>
      <c r="H12" s="1">
        <f t="shared" si="0"/>
        <v>130000</v>
      </c>
      <c r="I12" s="11">
        <f t="array" ref="I12">IF(G12&gt;0,G12*E12,-(INDEX($L$1:$L$24,IFERROR(MATCH(J12:J12-1,IF($B$1:$B$24=B12,$K$1:$K$24),1),2))+((J12-INDEX($K$1:$K$24,IFERROR(MATCH(J12:J12-1,IF($B$1:$B$24=B12,$K$1:$K$24),1),2)))*INDEX($E$1:$E$24,MATCH(INDEX($M$1:$M$24,IFERROR(MATCH(J12:J12-1,IF($B$1:$B$24=B12,$K$1:$K$24),1),2))+1,IF($B$1:$B$24=B12,$M$1:$M$24),0)))+SUMIFS($I$1:I11,$B$1:B11,B12,$I$1:I11,"&lt;0")))</f>
        <v>130000</v>
      </c>
      <c r="J12" s="1" t="str">
        <f>IF(G12&lt;0,SUMIFS($D$1:D12,$B$1:B12,B12),"")</f>
        <v/>
      </c>
      <c r="K12" s="1">
        <f>IF(G12&gt;0,SUMIFS($C$1:C12,$B$1:B12,B12),"")</f>
        <v>350</v>
      </c>
      <c r="L12" s="1">
        <f>IF(G12&gt;0,SUMIFS($H$1:H12,$H$1:H12,"&gt;0",$B$1:B12,B12),"")</f>
        <v>312500</v>
      </c>
      <c r="M12" s="10">
        <f>IF(C12&gt;0,COUNTIFS($B$1:B12,B12,$C$1:C12,"&gt;0"),"")</f>
        <v>4</v>
      </c>
      <c r="N12" s="10" t="str">
        <f>IF(D12&gt;0,COUNTIFS($B$1:$B12,$B12,D$1:D12,"&gt;0"),"")</f>
        <v/>
      </c>
      <c r="O12" s="1" t="str">
        <f t="shared" si="1"/>
        <v/>
      </c>
      <c r="P12">
        <f t="array" ref="P12">IFERROR(MATCH(J12:J12-1,IF($B$1:$B$24=B12,$K$1:$K$24),1),2)</f>
        <v>2</v>
      </c>
      <c r="Q12">
        <f t="array" ref="Q12">MATCH(J12&amp;B12,$K$1:$K$24&amp;$B$1:$B$24,1)</f>
        <v>17</v>
      </c>
      <c r="R12" s="1">
        <f>IF(C12&gt;0,MAX(SUMIFS($C$1:C12,$B$1:B12,B12)-SUMIFS($D$1:$D$24,$B$1:$B$24,B12)-SUMIFS($R$1:R11,$B$1:B11,B12),0),0)</f>
        <v>100</v>
      </c>
    </row>
    <row r="13" spans="1:20">
      <c r="A13" s="2">
        <v>41650</v>
      </c>
      <c r="B13" s="2" t="s">
        <v>15</v>
      </c>
      <c r="C13" s="1">
        <v>100</v>
      </c>
      <c r="D13" s="1"/>
      <c r="E13" s="1">
        <v>1350</v>
      </c>
      <c r="F13" s="9">
        <f>SUMIFS($C$1:C13,$B$1:B13,B13)-SUMIFS($D$1:D13,$B$1:B13,B13)</f>
        <v>100</v>
      </c>
      <c r="G13" s="1">
        <f t="shared" si="2"/>
        <v>100</v>
      </c>
      <c r="H13" s="1">
        <f t="shared" si="0"/>
        <v>135000</v>
      </c>
      <c r="I13" s="11">
        <f t="array" ref="I13">IF(G13&gt;0,G13*E13,-(INDEX($L$1:$L$24,IFERROR(MATCH(J13:J13-1,IF($B$1:$B$24=B13,$K$1:$K$24),1),2))+((J13-INDEX($K$1:$K$24,IFERROR(MATCH(J13:J13-1,IF($B$1:$B$24=B13,$K$1:$K$24),1),2)))*INDEX($E$1:$E$24,MATCH(INDEX($M$1:$M$24,IFERROR(MATCH(J13:J13-1,IF($B$1:$B$24=B13,$K$1:$K$24),1),2))+1,IF($B$1:$B$24=B13,$M$1:$M$24),0)))+SUMIFS($I$1:I12,$B$1:B12,B13,$I$1:I12,"&lt;0")))</f>
        <v>135000</v>
      </c>
      <c r="J13" s="1" t="str">
        <f>IF(G13&lt;0,SUMIFS($D$1:D13,$B$1:B13,B13),"")</f>
        <v/>
      </c>
      <c r="K13" s="1">
        <f>IF(G13&gt;0,SUMIFS($C$1:C13,$B$1:B13,B13),"")</f>
        <v>500</v>
      </c>
      <c r="L13" s="1">
        <f>IF(G13&gt;0,SUMIFS($H$1:H13,$H$1:H13,"&gt;0",$B$1:B13,B13),"")</f>
        <v>396000</v>
      </c>
      <c r="M13" s="10">
        <f>IF(C13&gt;0,COUNTIFS($B$1:B13,B13,$C$1:C13,"&gt;0"),"")</f>
        <v>3</v>
      </c>
      <c r="N13" s="10" t="str">
        <f>IF(D13&gt;0,COUNTIFS($B$1:$B13,$B13,D$1:D13,"&gt;0"),"")</f>
        <v/>
      </c>
      <c r="O13" s="1" t="str">
        <f t="shared" si="1"/>
        <v/>
      </c>
      <c r="P13">
        <f t="array" ref="P13">IFERROR(MATCH(J13:J13-1,IF($B$1:$B$24=B13,$K$1:$K$24),1),2)</f>
        <v>2</v>
      </c>
      <c r="Q13">
        <f t="array" ref="Q13">MATCH(J13&amp;B13,$K$1:$K$24&amp;$B$1:$B$24,1)</f>
        <v>24</v>
      </c>
      <c r="R13" s="1">
        <f>IF(C13&gt;0,MAX(SUMIFS($C$1:C13,$B$1:B13,B13)-SUMIFS($D$1:$D$24,$B$1:$B$24,B13)-SUMIFS($R$1:R12,$B$1:B12,B13),0),0)</f>
        <v>0</v>
      </c>
    </row>
    <row r="14" spans="1:20">
      <c r="A14" s="2">
        <v>41651</v>
      </c>
      <c r="B14" s="2" t="s">
        <v>14</v>
      </c>
      <c r="C14" s="1"/>
      <c r="D14" s="1">
        <v>100</v>
      </c>
      <c r="E14" s="1">
        <v>1350</v>
      </c>
      <c r="F14" s="9">
        <f>SUMIFS($C$1:C14,$B$1:B14,B14)-SUMIFS($D$1:D14,$B$1:B14,B14)</f>
        <v>100</v>
      </c>
      <c r="G14" s="1">
        <f t="shared" si="2"/>
        <v>-100</v>
      </c>
      <c r="H14" s="1">
        <f t="shared" si="0"/>
        <v>-135000</v>
      </c>
      <c r="I14" s="11">
        <f t="array" ref="I14">IF(G14&gt;0,G14*E14,-(INDEX($L$1:$L$24,IFERROR(MATCH(J14:J14-1,IF($B$1:$B$24=B14,$K$1:$K$24),1),2))+((J14-INDEX($K$1:$K$24,IFERROR(MATCH(J14:J14-1,IF($B$1:$B$24=B14,$K$1:$K$24),1),2)))*INDEX($E$1:$E$24,MATCH(INDEX($M$1:$M$24,IFERROR(MATCH(J14:J14-1,IF($B$1:$B$24=B14,$K$1:$K$24),1),2))+1,IF($B$1:$B$24=B14,$M$1:$M$24),0)))+SUMIFS($I$1:I13,$B$1:B13,B14,$I$1:I13,"&lt;0")))</f>
        <v>-115000</v>
      </c>
      <c r="J14" s="1">
        <f>IF(G14&lt;0,SUMIFS($D$1:D14,$B$1:B14,B14),"")</f>
        <v>250</v>
      </c>
      <c r="K14" s="1" t="str">
        <f>IF(G14&gt;0,SUMIFS($C$1:C14,$B$1:B14,B14),"")</f>
        <v/>
      </c>
      <c r="L14" s="1" t="str">
        <f>IF(G14&gt;0,SUMIFS($H$1:H14,$H$1:H14,"&gt;0",$B$1:B14,B14),"")</f>
        <v/>
      </c>
      <c r="M14" s="10" t="str">
        <f>IF(C14&gt;0,COUNTIFS($B$1:B14,B14,$C$1:C14,"&gt;0"),"")</f>
        <v/>
      </c>
      <c r="N14" s="10">
        <f>IF(D14&gt;0,COUNTIFS($B$1:$B14,$B14,D$1:D14,"&gt;0"),"")</f>
        <v>3</v>
      </c>
      <c r="O14" s="1">
        <f t="shared" si="1"/>
        <v>20000</v>
      </c>
      <c r="P14">
        <f t="array" ref="P14">IFERROR(MATCH(J14:J14-1,IF($B$1:$B$24=B14,$K$1:$K$24),1),2)</f>
        <v>7</v>
      </c>
      <c r="Q14">
        <f t="array" ref="Q14">MATCH(J14&amp;B14,$K$1:$K$24&amp;$B$1:$B$24,1)</f>
        <v>3</v>
      </c>
      <c r="R14" s="1">
        <f>IF(C14&gt;0,MAX(SUMIFS($C$1:C14,$B$1:B14,B14)-SUMIFS($D$1:$D$24,$B$1:$B$24,B14)-SUMIFS($R$1:R13,$B$1:B13,B14),0),0)</f>
        <v>0</v>
      </c>
    </row>
    <row r="15" spans="1:20">
      <c r="A15" s="2">
        <v>41652</v>
      </c>
      <c r="B15" s="2" t="s">
        <v>18</v>
      </c>
      <c r="C15" s="4">
        <v>200</v>
      </c>
      <c r="D15" s="4"/>
      <c r="E15" s="1">
        <v>1350</v>
      </c>
      <c r="F15" s="9">
        <f>SUMIFS($C$1:C15,$B$1:B15,B15)-SUMIFS($D$1:D15,$B$1:B15,B15)</f>
        <v>200</v>
      </c>
      <c r="G15" s="1">
        <f t="shared" ref="G15:G16" si="3">C15-D15</f>
        <v>200</v>
      </c>
      <c r="H15" s="1">
        <f t="shared" si="0"/>
        <v>270000</v>
      </c>
      <c r="I15" s="11">
        <f t="array" ref="I15">IF(G15&gt;0,G15*E15,-(INDEX($L$1:$L$24,IFERROR(MATCH(J15:J15-1,IF($B$1:$B$24=B15,$K$1:$K$24),1),2))+((J15-INDEX($K$1:$K$24,IFERROR(MATCH(J15:J15-1,IF($B$1:$B$24=B15,$K$1:$K$24),1),2)))*INDEX($E$1:$E$24,MATCH(INDEX($M$1:$M$24,IFERROR(MATCH(J15:J15-1,IF($B$1:$B$24=B15,$K$1:$K$24),1),2))+1,IF($B$1:$B$24=B15,$M$1:$M$24),0)))+SUMIFS($I$1:I14,$B$1:B14,B15,$I$1:I14,"&lt;0")))</f>
        <v>270000</v>
      </c>
      <c r="J15" s="1" t="str">
        <f>IF(G15&lt;0,SUMIFS($D$1:D15,$B$1:B15,B15),"")</f>
        <v/>
      </c>
      <c r="K15" s="1">
        <f>IF(G15&gt;0,SUMIFS($C$1:C15,$B$1:B15,B15),"")</f>
        <v>200</v>
      </c>
      <c r="L15" s="1">
        <f>IF(G15&gt;0,SUMIFS($H$1:H15,$H$1:H15,"&gt;0",$B$1:B15,B15),"")</f>
        <v>270000</v>
      </c>
      <c r="M15" s="10">
        <f>IF(C15&gt;0,COUNTIFS($B$1:B15,B15,$C$1:C15,"&gt;0"),"")</f>
        <v>1</v>
      </c>
      <c r="N15" s="10" t="str">
        <f>IF(D15&gt;0,COUNTIFS($B$1:$B15,$B15,D$1:D15,"&gt;0"),"")</f>
        <v/>
      </c>
      <c r="O15" s="1" t="str">
        <f t="shared" si="1"/>
        <v/>
      </c>
      <c r="R15" s="1">
        <f>IF(C15&gt;0,MAX(SUMIFS($C$1:C15,$B$1:B15,B15)-SUMIFS($D$1:$D$24,$B$1:$B$24,B15)-SUMIFS($R$1:R14,$B$1:B14,B15),0),0)</f>
        <v>100</v>
      </c>
    </row>
    <row r="16" spans="1:20">
      <c r="A16" s="2">
        <v>41653</v>
      </c>
      <c r="B16" s="2" t="s">
        <v>18</v>
      </c>
      <c r="C16" s="4"/>
      <c r="D16" s="4">
        <v>100</v>
      </c>
      <c r="E16" s="1">
        <v>1500</v>
      </c>
      <c r="F16" s="9">
        <f>SUMIFS($C$1:C16,$B$1:B16,B16)-SUMIFS($D$1:D16,$B$1:B16,B16)</f>
        <v>100</v>
      </c>
      <c r="G16" s="1">
        <f t="shared" si="3"/>
        <v>-100</v>
      </c>
      <c r="H16" s="1">
        <f t="shared" si="0"/>
        <v>-150000</v>
      </c>
      <c r="I16" s="11">
        <f t="array" ref="I16">IF(G16&gt;0,G16*E16,-(INDEX($L$1:$L$24,IFERROR(MATCH(J16:J16-1,IF($B$1:$B$24=B16,$K$1:$K$24),1),2))+((J16-INDEX($K$1:$K$24,IFERROR(MATCH(J16:J16-1,IF($B$1:$B$24=B16,$K$1:$K$24),1),2)))*INDEX($E$1:$E$24,MATCH(INDEX($M$1:$M$24,IFERROR(MATCH(J16:J16-1,IF($B$1:$B$24=B16,$K$1:$K$24),1),2))+1,IF($B$1:$B$24=B16,$M$1:$M$24),0)))+SUMIFS($I$1:I15,$B$1:B15,B16,$I$1:I15,"&lt;0")))</f>
        <v>-135000</v>
      </c>
      <c r="J16" s="1">
        <f>IF(G16&lt;0,SUMIFS($D$1:D16,$B$1:B16,B16),"")</f>
        <v>100</v>
      </c>
      <c r="K16" s="1" t="str">
        <f>IF(G16&gt;0,SUMIFS($C$1:C16,$B$1:B16,B16),"")</f>
        <v/>
      </c>
      <c r="L16" s="1" t="str">
        <f>IF(G16&gt;0,SUMIFS($H$1:H16,$H$1:H16,"&gt;0",$B$1:B16,B16),"")</f>
        <v/>
      </c>
      <c r="M16" s="10" t="str">
        <f>IF(C16&gt;0,COUNTIFS($B$1:B16,B16,$C$1:C16,"&gt;0"),"")</f>
        <v/>
      </c>
      <c r="N16" s="10">
        <f>IF(D16&gt;0,COUNTIFS($B$1:$B16,$B16,D$1:D16,"&gt;0"),"")</f>
        <v>1</v>
      </c>
      <c r="O16" s="1">
        <f t="shared" si="1"/>
        <v>15000</v>
      </c>
      <c r="R16" s="1">
        <f>IF(C16&gt;0,MAX(SUMIFS($C$1:C16,$B$1:B16,B16)-SUMIFS($D$1:$D$24,$B$1:$B$24,B16)-SUMIFS($R$1:R15,$B$1:B15,B16),0),0)</f>
        <v>0</v>
      </c>
    </row>
    <row r="17" spans="1:18">
      <c r="A17" s="2">
        <v>41654</v>
      </c>
      <c r="B17" s="2" t="s">
        <v>19</v>
      </c>
      <c r="C17" s="4">
        <v>110</v>
      </c>
      <c r="D17" s="4"/>
      <c r="E17" s="1">
        <v>1000</v>
      </c>
      <c r="F17" s="9">
        <f>SUMIFS($C$1:C17,$B$1:B17,B17)-SUMIFS($D$1:D17,$B$1:B17,B17)</f>
        <v>110</v>
      </c>
      <c r="G17" s="1">
        <f t="shared" ref="G17:G19" si="4">C17-D17</f>
        <v>110</v>
      </c>
      <c r="H17" s="1">
        <f t="shared" si="0"/>
        <v>110000</v>
      </c>
      <c r="I17" s="11">
        <f t="array" ref="I17">IF(G17&gt;0,G17*E17,-(INDEX($L$1:$L$24,IFERROR(MATCH(J17:J17-1,IF($B$1:$B$24=B17,$K$1:$K$24),1),2))+((J17-INDEX($K$1:$K$24,IFERROR(MATCH(J17:J17-1,IF($B$1:$B$24=B17,$K$1:$K$24),1),2)))*INDEX($E$1:$E$24,MATCH(INDEX($M$1:$M$24,IFERROR(MATCH(J17:J17-1,IF($B$1:$B$24=B17,$K$1:$K$24),1),2))+1,IF($B$1:$B$24=B17,$M$1:$M$24),0)))+SUMIFS($I$1:I16,$B$1:B16,B17,$I$1:I16,"&lt;0")))</f>
        <v>110000</v>
      </c>
      <c r="J17" s="1" t="str">
        <f>IF(G17&lt;0,SUMIFS($D$1:D17,$B$1:B17,B17),"")</f>
        <v/>
      </c>
      <c r="K17" s="1">
        <f>IF(G17&gt;0,SUMIFS($C$1:C17,$B$1:B17,B17),"")</f>
        <v>110</v>
      </c>
      <c r="L17" s="1">
        <f>IF(G17&gt;0,SUMIFS($H$1:H17,$H$1:H17,"&gt;0",$B$1:B17,B17),"")</f>
        <v>110000</v>
      </c>
      <c r="M17" s="10">
        <f>IF(C17&gt;0,COUNTIFS($B$1:B17,B17,$C$1:C17,"&gt;0"),"")</f>
        <v>1</v>
      </c>
      <c r="N17" s="10" t="str">
        <f>IF(D17&gt;0,COUNTIFS($B$1:$B17,$B17,D$1:D17,"&gt;0"),"")</f>
        <v/>
      </c>
      <c r="O17" s="1" t="str">
        <f t="shared" si="1"/>
        <v/>
      </c>
      <c r="R17" s="1">
        <f>IF(C17&gt;0,MAX(SUMIFS($C$1:C17,$B$1:B17,B17)-SUMIFS($D$1:$D$24,$B$1:$B$24,B17)-SUMIFS($R$1:R16,$B$1:B16,B17),0),0)</f>
        <v>10</v>
      </c>
    </row>
    <row r="18" spans="1:18">
      <c r="A18" s="2">
        <v>41655</v>
      </c>
      <c r="B18" s="2" t="s">
        <v>19</v>
      </c>
      <c r="C18" s="4"/>
      <c r="D18" s="4">
        <v>100</v>
      </c>
      <c r="E18" s="1">
        <v>1200</v>
      </c>
      <c r="F18" s="9">
        <f>SUMIFS($C$1:C18,$B$1:B18,B18)-SUMIFS($D$1:D18,$B$1:B18,B18)</f>
        <v>10</v>
      </c>
      <c r="G18" s="1">
        <f t="shared" si="4"/>
        <v>-100</v>
      </c>
      <c r="H18" s="1">
        <f t="shared" si="0"/>
        <v>-120000</v>
      </c>
      <c r="I18" s="11">
        <f t="array" ref="I18">IF(G18&gt;0,G18*E18,-(INDEX($L$1:$L$24,IFERROR(MATCH(J18:J18-1,IF($B$1:$B$24=B18,$K$1:$K$24),1),2))+((J18-INDEX($K$1:$K$24,IFERROR(MATCH(J18:J18-1,IF($B$1:$B$24=B18,$K$1:$K$24),1),2)))*INDEX($E$1:$E$24,MATCH(INDEX($M$1:$M$24,IFERROR(MATCH(J18:J18-1,IF($B$1:$B$24=B18,$K$1:$K$24),1),2))+1,IF($B$1:$B$24=B18,$M$1:$M$24),0)))+SUMIFS($I$1:I17,$B$1:B17,B18,$I$1:I17,"&lt;0")))</f>
        <v>-100000</v>
      </c>
      <c r="J18" s="1">
        <f>IF(G18&lt;0,SUMIFS($D$1:D18,$B$1:B18,B18),"")</f>
        <v>100</v>
      </c>
      <c r="K18" s="1" t="str">
        <f>IF(G18&gt;0,SUMIFS($C$1:C18,$B$1:B18,B18),"")</f>
        <v/>
      </c>
      <c r="L18" s="1" t="str">
        <f>IF(G18&gt;0,SUMIFS($H$1:H18,$H$1:H18,"&gt;0",$B$1:B18,B18),"")</f>
        <v/>
      </c>
      <c r="M18" s="10" t="str">
        <f>IF(C18&gt;0,COUNTIFS($B$1:B18,B18,$C$1:C18,"&gt;0"),"")</f>
        <v/>
      </c>
      <c r="N18" s="10">
        <f>IF(D18&gt;0,COUNTIFS($B$1:$B18,$B18,D$1:D18,"&gt;0"),"")</f>
        <v>1</v>
      </c>
      <c r="O18" s="1">
        <f t="shared" si="1"/>
        <v>20000</v>
      </c>
      <c r="R18" s="1">
        <f>IF(C18&gt;0,MAX(SUMIFS($C$1:C18,$B$1:B18,B18)-SUMIFS($D$1:$D$24,$B$1:$B$24,B18)-SUMIFS($R$1:R17,$B$1:B17,B18),0),0)</f>
        <v>0</v>
      </c>
    </row>
    <row r="19" spans="1:18">
      <c r="A19" s="2">
        <v>41656</v>
      </c>
      <c r="B19" s="2" t="s">
        <v>24</v>
      </c>
      <c r="C19" s="4">
        <v>50</v>
      </c>
      <c r="D19" s="4"/>
      <c r="E19" s="4">
        <v>500</v>
      </c>
      <c r="F19" s="9">
        <f>SUMIFS($C$1:C19,$B$1:B19,B19)-SUMIFS($D$1:D19,$B$1:B19,B19)</f>
        <v>50</v>
      </c>
      <c r="G19" s="1">
        <f t="shared" si="4"/>
        <v>50</v>
      </c>
      <c r="H19" s="1">
        <f t="shared" si="0"/>
        <v>25000</v>
      </c>
      <c r="I19" s="11">
        <f t="array" ref="I19">IF(G19&gt;0,G19*E19,-(INDEX($L$1:$L$24,IFERROR(MATCH(J19:J19-1,IF($B$1:$B$24=B19,$K$1:$K$24),1),2))+((J19-INDEX($K$1:$K$24,IFERROR(MATCH(J19:J19-1,IF($B$1:$B$24=B19,$K$1:$K$24),1),2)))*INDEX($E$1:$E$24,MATCH(INDEX($M$1:$M$24,IFERROR(MATCH(J19:J19-1,IF($B$1:$B$24=B19,$K$1:$K$24),1),2))+1,IF($B$1:$B$24=B19,$M$1:$M$24),0)))+SUMIFS($I$1:I18,$B$1:B18,B19,$I$1:I18,"&lt;0")))</f>
        <v>25000</v>
      </c>
      <c r="J19" s="1" t="str">
        <f>IF(G19&lt;0,SUMIFS($D$1:D19,$B$1:B19,B19),"")</f>
        <v/>
      </c>
      <c r="K19" s="1">
        <f>IF(G19&gt;0,SUMIFS($C$1:C19,$B$1:B19,B19),"")</f>
        <v>50</v>
      </c>
      <c r="L19" s="1">
        <f>IF(G19&gt;0,SUMIFS($H$1:H19,$H$1:H19,"&gt;0",$B$1:B19,B19),"")</f>
        <v>25000</v>
      </c>
      <c r="M19" s="10">
        <f>IF(C19&gt;0,COUNTIFS($B$1:B19,B19,$C$1:C19,"&gt;0"),"")</f>
        <v>1</v>
      </c>
      <c r="N19" s="10" t="str">
        <f>IF(D19&gt;0,COUNTIFS($B$1:$B19,$B19,D$1:D19,"&gt;0"),"")</f>
        <v/>
      </c>
      <c r="O19" s="1" t="str">
        <f t="shared" si="1"/>
        <v/>
      </c>
      <c r="R19" s="1">
        <f>IF(C19&gt;0,MAX(SUMIFS($C$1:C19,$B$1:B19,B19)-SUMIFS($D$1:$D$24,$B$1:$B$24,B19)-SUMIFS($R$1:R18,$B$1:B18,B19),0),0)</f>
        <v>40</v>
      </c>
    </row>
    <row r="20" spans="1:18">
      <c r="A20" s="2">
        <v>41657</v>
      </c>
      <c r="B20" s="2" t="s">
        <v>24</v>
      </c>
      <c r="C20" s="4"/>
      <c r="D20" s="4">
        <v>10</v>
      </c>
      <c r="E20" s="4">
        <v>100</v>
      </c>
      <c r="F20" s="9">
        <f>SUMIFS($C$1:C20,$B$1:B20,B20)-SUMIFS($D$1:D20,$B$1:B20,B20)</f>
        <v>40</v>
      </c>
      <c r="G20" s="1">
        <f t="shared" ref="G20" si="5">C20-D20</f>
        <v>-10</v>
      </c>
      <c r="H20" s="1">
        <f t="shared" si="0"/>
        <v>-1000</v>
      </c>
      <c r="I20" s="11">
        <f t="array" ref="I20">IF(G20&gt;0,G20*E20,-(INDEX($L$1:$L$24,IFERROR(MATCH(J20:J20-1,IF($B$1:$B$24=B20,$K$1:$K$24),1),2))+((J20-INDEX($K$1:$K$24,IFERROR(MATCH(J20:J20-1,IF($B$1:$B$24=B20,$K$1:$K$24),1),2)))*INDEX($E$1:$E$24,MATCH(INDEX($M$1:$M$24,IFERROR(MATCH(J20:J20-1,IF($B$1:$B$24=B20,$K$1:$K$24),1),2))+1,IF($B$1:$B$24=B20,$M$1:$M$24),0)))+SUMIFS($I$1:I19,$B$1:B19,B20,$I$1:I19,"&lt;0")))</f>
        <v>-5000</v>
      </c>
      <c r="J20" s="1">
        <f>IF(G20&lt;0,SUMIFS($D$1:D20,$B$1:B20,B20),"")</f>
        <v>10</v>
      </c>
      <c r="K20" s="1" t="str">
        <f>IF(G20&gt;0,SUMIFS($C$1:C20,$B$1:B20,B20),"")</f>
        <v/>
      </c>
      <c r="L20" s="1" t="str">
        <f>IF(G20&gt;0,SUMIFS($H$1:H20,$H$1:H20,"&gt;0",$B$1:B20,B20),"")</f>
        <v/>
      </c>
      <c r="M20" s="10" t="str">
        <f>IF(C20&gt;0,COUNTIFS($B$1:B20,B20,$C$1:C20,"&gt;0"),"")</f>
        <v/>
      </c>
      <c r="N20" s="10">
        <f>IF(D20&gt;0,COUNTIFS($B$1:$B20,$B20,D$1:D20,"&gt;0"),"")</f>
        <v>1</v>
      </c>
      <c r="O20" s="1">
        <f t="shared" si="1"/>
        <v>-4000</v>
      </c>
      <c r="R20" s="1">
        <f>IF(C20&gt;0,MAX(SUMIFS($C$1:C20,$B$1:B20,B20)-SUMIFS($D$1:$D$24,$B$1:$B$24,B20)-SUMIFS($R$1:R19,$B$1:B19,B20),0),0)</f>
        <v>0</v>
      </c>
    </row>
    <row r="21" spans="1:18">
      <c r="A21" s="12">
        <v>41658</v>
      </c>
      <c r="B21" s="2" t="s">
        <v>15</v>
      </c>
      <c r="C21" s="4">
        <v>2000</v>
      </c>
      <c r="D21" s="4"/>
      <c r="E21" s="4">
        <v>1500</v>
      </c>
      <c r="F21" s="9">
        <f>SUMIFS($C$1:C21,$B$1:B21,B21)-SUMIFS($D$1:D21,$B$1:B21,B21)</f>
        <v>2100</v>
      </c>
      <c r="G21" s="1">
        <f t="shared" ref="G21" si="6">C21-D21</f>
        <v>2000</v>
      </c>
      <c r="H21" s="1">
        <f t="shared" si="0"/>
        <v>3000000</v>
      </c>
      <c r="I21" s="11">
        <f t="array" ref="I21">IF(G21&gt;0,G21*E21,-(INDEX($L$1:$L$24,IFERROR(MATCH(J21:J21-1,IF($B$1:$B$24=B21,$K$1:$K$24),1),2))+((J21-INDEX($K$1:$K$24,IFERROR(MATCH(J21:J21-1,IF($B$1:$B$24=B21,$K$1:$K$24),1),2)))*INDEX($E$1:$E$24,MATCH(INDEX($M$1:$M$24,IFERROR(MATCH(J21:J21-1,IF($B$1:$B$24=B21,$K$1:$K$24),1),2))+1,IF($B$1:$B$24=B21,$M$1:$M$24),0)))+SUMIFS($I$1:I20,$B$1:B20,B21,$I$1:I20,"&lt;0")))</f>
        <v>3000000</v>
      </c>
      <c r="J21" s="1" t="str">
        <f>IF(G21&lt;0,SUMIFS($D$1:D21,$B$1:B21,B21),"")</f>
        <v/>
      </c>
      <c r="K21" s="1">
        <f>IF(G21&gt;0,SUMIFS($C$1:C21,$B$1:B21,B21),"")</f>
        <v>2500</v>
      </c>
      <c r="L21" s="1">
        <f>IF(G21&gt;0,SUMIFS($H$1:H21,$H$1:H21,"&gt;0",$B$1:B21,B21),"")</f>
        <v>3396000</v>
      </c>
      <c r="M21" s="10">
        <f>IF(C21&gt;0,COUNTIFS($B$1:B21,B21,$C$1:C21,"&gt;0"),"")</f>
        <v>4</v>
      </c>
      <c r="N21" s="10" t="str">
        <f>IF(D21&gt;0,COUNTIFS($B$1:$B21,$B21,D$1:D21,"&gt;0"),"")</f>
        <v/>
      </c>
      <c r="O21" s="1" t="str">
        <f t="shared" si="1"/>
        <v/>
      </c>
      <c r="R21" s="1">
        <f>IF(C21&gt;0,MAX(SUMIFS($C$1:C21,$B$1:B21,B21)-SUMIFS($D$1:$D$24,$B$1:$B$24,B21)-SUMIFS($R$1:R20,$B$1:B20,B21),0),0)</f>
        <v>0</v>
      </c>
    </row>
    <row r="22" spans="1:18">
      <c r="A22" s="12">
        <v>41659</v>
      </c>
      <c r="B22" s="2" t="s">
        <v>15</v>
      </c>
      <c r="C22" s="4"/>
      <c r="D22" s="4">
        <v>2101</v>
      </c>
      <c r="E22" s="4">
        <v>1600</v>
      </c>
      <c r="F22" s="9">
        <f>SUMIFS($C$1:C22,$B$1:B22,B22)-SUMIFS($D$1:D22,$B$1:B22,B22)</f>
        <v>-1</v>
      </c>
      <c r="G22" s="1">
        <f t="shared" ref="G22" si="7">C22-D22</f>
        <v>-2101</v>
      </c>
      <c r="H22" s="1">
        <f t="shared" si="0"/>
        <v>-3361600</v>
      </c>
      <c r="I22" s="11" t="e">
        <f t="array" ref="I22">IF(G22&gt;0,G22*E22,-(INDEX($L$1:$L$24,IFERROR(MATCH(J22:J22-1,IF($B$1:$B$24=B22,$K$1:$K$24),1),2))+((J22-INDEX($K$1:$K$24,IFERROR(MATCH(J22:J22-1,IF($B$1:$B$24=B22,$K$1:$K$24),1),2)))*INDEX($E$1:$E$24,MATCH(INDEX($M$1:$M$24,IFERROR(MATCH(J22:J22-1,IF($B$1:$B$24=B22,$K$1:$K$24),1),2))+1,IF($B$1:$B$24=B22,$M$1:$M$24),0)))+SUMIFS($I$1:I21,$B$1:B21,B22,$I$1:I21,"&lt;0")))</f>
        <v>#N/A</v>
      </c>
      <c r="J22" s="1">
        <f>IF(G22&lt;0,SUMIFS($D$1:D22,$B$1:B22,B22),"")</f>
        <v>2501</v>
      </c>
      <c r="K22" s="1" t="str">
        <f>IF(G22&gt;0,SUMIFS($C$1:C22,$B$1:B22,B22),"")</f>
        <v/>
      </c>
      <c r="L22" s="1" t="str">
        <f>IF(G22&gt;0,SUMIFS($H$1:H22,$H$1:H22,"&gt;0",$B$1:B22,B22),"")</f>
        <v/>
      </c>
      <c r="M22" s="10" t="str">
        <f>IF(C22&gt;0,COUNTIFS($B$1:B22,B22,$C$1:C22,"&gt;0"),"")</f>
        <v/>
      </c>
      <c r="N22" s="10">
        <f>IF(D22&gt;0,COUNTIFS($B$1:$B22,$B22,D$1:D22,"&gt;0"),"")</f>
        <v>3</v>
      </c>
      <c r="O22" s="1" t="e">
        <f t="shared" si="1"/>
        <v>#N/A</v>
      </c>
      <c r="R22" s="1">
        <f>IF(C22&gt;0,MAX(SUMIFS($C$1:C22,$B$1:B22,B22)-SUMIFS($D$1:$D$24,$B$1:$B$24,B22)-SUMIFS($R$1:R21,$B$1:B21,B22),0),0)</f>
        <v>0</v>
      </c>
    </row>
    <row r="23" spans="1:18">
      <c r="A23" s="41">
        <v>41660</v>
      </c>
      <c r="B23" s="42"/>
      <c r="C23" s="43"/>
      <c r="D23" s="43"/>
      <c r="E23" s="43"/>
      <c r="F23" s="44">
        <f>SUMIFS($C$1:C23,$B$1:B23,B23)-SUMIFS($D$1:D23,$B$1:B23,B23)</f>
        <v>0</v>
      </c>
      <c r="G23" s="45">
        <f t="shared" ref="G23" si="8">C23-D23</f>
        <v>0</v>
      </c>
      <c r="H23" s="45">
        <f t="shared" ref="H23" si="9">(C23-D23)*E23</f>
        <v>0</v>
      </c>
      <c r="I23" s="46" t="e">
        <f t="array" ref="I23">IF(G23&gt;0,G23*E23,-(INDEX($L$1:$L$24,IFERROR(MATCH(J23:J23-1,IF($B$1:$B$24=B23,$K$1:$K$24),1),2))+((J23-INDEX($K$1:$K$24,IFERROR(MATCH(J23:J23-1,IF($B$1:$B$24=B23,$K$1:$K$24),1),2)))*INDEX($E$1:$E$24,MATCH(INDEX($M$1:$M$24,IFERROR(MATCH(J23:J23-1,IF($B$1:$B$24=B23,$K$1:$K$24),1),2))+1,IF($B$1:$B$24=B23,$M$1:$M$24),0)))+SUMIFS($I$1:I22,$B$1:B22,B23,$I$1:I22,"&lt;0")))</f>
        <v>#VALUE!</v>
      </c>
      <c r="J23" s="45" t="str">
        <f>IF(G23&lt;0,SUMIFS($D$1:D23,$B$1:B23,B23),"")</f>
        <v/>
      </c>
      <c r="K23" s="45" t="str">
        <f>IF(G23&gt;0,SUMIFS($C$1:C23,$B$1:B23,B23),"")</f>
        <v/>
      </c>
      <c r="L23" s="45" t="str">
        <f>IF(G23&gt;0,SUMIFS($H$1:H23,$H$1:H23,"&gt;0",$B$1:B23,B23),"")</f>
        <v/>
      </c>
      <c r="M23" s="47" t="str">
        <f>IF(C23&gt;0,COUNTIFS($B$1:B23,B23,$C$1:C23,"&gt;0"),"")</f>
        <v/>
      </c>
      <c r="N23" s="47" t="str">
        <f>IF(D23&gt;0,COUNTIFS($B$1:$B23,$B23,D$1:D23,"&gt;0"),"")</f>
        <v/>
      </c>
      <c r="O23" s="45" t="str">
        <f t="shared" ref="O23" si="10">IF(G23&lt;0,I23-H23,"")</f>
        <v/>
      </c>
      <c r="R23" s="4"/>
    </row>
    <row r="24" spans="1:18" ht="15.75" thickBot="1">
      <c r="A24" s="4"/>
      <c r="B24" s="2"/>
      <c r="C24" s="4"/>
      <c r="D24" s="4"/>
      <c r="E24" s="4"/>
      <c r="F24" s="13"/>
      <c r="G24" s="1"/>
      <c r="H24" s="1"/>
      <c r="I24" s="11"/>
      <c r="J24" s="1"/>
      <c r="K24" s="1"/>
      <c r="L24" s="1"/>
      <c r="M24" s="10"/>
      <c r="N24" s="10"/>
      <c r="O24" s="1"/>
      <c r="R24" s="4"/>
    </row>
    <row r="25" spans="1:18" s="3" customFormat="1" ht="15.75" thickBot="1">
      <c r="A25" s="5" t="s">
        <v>12</v>
      </c>
      <c r="B25" s="8"/>
      <c r="C25" s="6">
        <f>SUM(C3:C24)</f>
        <v>3210</v>
      </c>
      <c r="D25" s="6">
        <f>SUM(D3:D24)</f>
        <v>2961</v>
      </c>
      <c r="E25" s="6"/>
      <c r="F25" s="6"/>
      <c r="G25" s="6"/>
      <c r="H25" s="6">
        <f>SUM(H3:H24)</f>
        <v>-161600</v>
      </c>
      <c r="I25" s="6" t="e">
        <f>SUM(I3:I24)</f>
        <v>#N/A</v>
      </c>
      <c r="J25" s="6">
        <f>SUM(J3:J24)</f>
        <v>3661</v>
      </c>
      <c r="K25" s="6">
        <f>SUM(K3:K24)</f>
        <v>4860</v>
      </c>
      <c r="L25" s="6">
        <f>SUM(L3:L24)</f>
        <v>5109000</v>
      </c>
      <c r="M25" s="6"/>
      <c r="N25" s="6"/>
      <c r="O25" s="6" t="e">
        <f>SUM(O3:O24)</f>
        <v>#N/A</v>
      </c>
      <c r="R25" s="7"/>
    </row>
    <row r="27" spans="1:18">
      <c r="A27" s="14"/>
      <c r="B27" s="17" t="s">
        <v>21</v>
      </c>
      <c r="C27" s="15"/>
      <c r="D27" s="15"/>
      <c r="E27" s="16"/>
    </row>
    <row r="28" spans="1:18">
      <c r="A28" s="17" t="s">
        <v>13</v>
      </c>
      <c r="B28" s="14" t="s">
        <v>26</v>
      </c>
      <c r="C28" s="27" t="s">
        <v>25</v>
      </c>
      <c r="D28" s="27" t="s">
        <v>27</v>
      </c>
      <c r="E28" s="20" t="s">
        <v>22</v>
      </c>
    </row>
    <row r="29" spans="1:18">
      <c r="A29" s="14" t="s">
        <v>18</v>
      </c>
      <c r="B29" s="21">
        <v>100</v>
      </c>
      <c r="C29" s="31">
        <v>1350</v>
      </c>
      <c r="D29" s="28">
        <v>135000</v>
      </c>
      <c r="E29" s="22">
        <v>15000</v>
      </c>
    </row>
    <row r="30" spans="1:18">
      <c r="A30" s="18" t="s">
        <v>14</v>
      </c>
      <c r="B30" s="23">
        <v>100</v>
      </c>
      <c r="C30" s="32">
        <v>1300</v>
      </c>
      <c r="D30" s="29">
        <v>130000</v>
      </c>
      <c r="E30" s="24">
        <v>73000</v>
      </c>
    </row>
    <row r="31" spans="1:18">
      <c r="A31" s="18" t="s">
        <v>19</v>
      </c>
      <c r="B31" s="23">
        <v>10</v>
      </c>
      <c r="C31" s="32">
        <v>1000</v>
      </c>
      <c r="D31" s="29">
        <v>10000</v>
      </c>
      <c r="E31" s="24">
        <v>20000</v>
      </c>
    </row>
    <row r="32" spans="1:18">
      <c r="A32" s="18" t="s">
        <v>15</v>
      </c>
      <c r="B32" s="23">
        <v>600</v>
      </c>
      <c r="C32" s="32">
        <v>1500</v>
      </c>
      <c r="D32" s="29">
        <v>900000</v>
      </c>
      <c r="E32" s="24">
        <v>291000</v>
      </c>
    </row>
    <row r="33" spans="1:5">
      <c r="A33" s="18" t="s">
        <v>24</v>
      </c>
      <c r="B33" s="23">
        <v>40</v>
      </c>
      <c r="C33" s="32">
        <v>500</v>
      </c>
      <c r="D33" s="29">
        <v>20000</v>
      </c>
      <c r="E33" s="24">
        <v>-4000</v>
      </c>
    </row>
    <row r="34" spans="1:5">
      <c r="A34" s="19" t="s">
        <v>20</v>
      </c>
      <c r="B34" s="25">
        <v>850</v>
      </c>
      <c r="C34" s="33">
        <v>1405.8823529411766</v>
      </c>
      <c r="D34" s="30">
        <v>1195000</v>
      </c>
      <c r="E34" s="26">
        <v>395000</v>
      </c>
    </row>
  </sheetData>
  <mergeCells count="16">
    <mergeCell ref="P1:Q1"/>
    <mergeCell ref="L1:L2"/>
    <mergeCell ref="A1:A2"/>
    <mergeCell ref="B1:B2"/>
    <mergeCell ref="C1:C2"/>
    <mergeCell ref="D1:D2"/>
    <mergeCell ref="G1:G2"/>
    <mergeCell ref="E1:E2"/>
    <mergeCell ref="H1:H2"/>
    <mergeCell ref="I1:I2"/>
    <mergeCell ref="O1:O2"/>
    <mergeCell ref="J1:J2"/>
    <mergeCell ref="K1:K2"/>
    <mergeCell ref="M1:M2"/>
    <mergeCell ref="N1:N2"/>
    <mergeCell ref="F1:F2"/>
  </mergeCells>
  <conditionalFormatting sqref="F1:F25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2014-03-21T14:53:32Z</dcterms:modified>
</cp:coreProperties>
</file>