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6"/>
  </bookViews>
  <sheets>
    <sheet name="4" sheetId="3" r:id="rId1"/>
    <sheet name="7" sheetId="6" r:id="rId2"/>
    <sheet name="9" sheetId="7" r:id="rId3"/>
    <sheet name="10" sheetId="8" r:id="rId4"/>
    <sheet name="25" sheetId="2" r:id="rId5"/>
    <sheet name="28" sheetId="4" r:id="rId6"/>
    <sheet name="29" sheetId="5" r:id="rId7"/>
  </sheets>
  <calcPr calcId="124519"/>
</workbook>
</file>

<file path=xl/calcChain.xml><?xml version="1.0" encoding="utf-8"?>
<calcChain xmlns="http://schemas.openxmlformats.org/spreadsheetml/2006/main">
  <c r="G29" i="8"/>
  <c r="F29"/>
  <c r="E29"/>
  <c r="G20"/>
  <c r="G19"/>
  <c r="G18"/>
  <c r="G17"/>
  <c r="G16"/>
  <c r="E24"/>
  <c r="E22"/>
  <c r="B20"/>
  <c r="J35" i="7"/>
  <c r="H35"/>
  <c r="I35"/>
  <c r="G35"/>
  <c r="F36"/>
  <c r="F35"/>
  <c r="E33"/>
  <c r="K29"/>
  <c r="K28"/>
  <c r="K27"/>
  <c r="K26"/>
  <c r="K25"/>
  <c r="K31" s="1"/>
  <c r="K24"/>
  <c r="I31"/>
  <c r="I29"/>
  <c r="I28"/>
  <c r="I27"/>
  <c r="I26"/>
  <c r="I25"/>
  <c r="I24"/>
  <c r="G29"/>
  <c r="G28"/>
  <c r="G27"/>
  <c r="G26"/>
  <c r="G25"/>
  <c r="G24"/>
  <c r="F29"/>
  <c r="F28"/>
  <c r="F27"/>
  <c r="F26"/>
  <c r="F25"/>
  <c r="E29"/>
  <c r="E28"/>
  <c r="E27"/>
  <c r="E26"/>
  <c r="E25"/>
  <c r="D29"/>
  <c r="D28"/>
  <c r="D27"/>
  <c r="D26"/>
  <c r="D25"/>
  <c r="C29"/>
  <c r="C28"/>
  <c r="C27"/>
  <c r="C26"/>
  <c r="C25"/>
  <c r="H32" i="6"/>
  <c r="F32"/>
  <c r="G32"/>
  <c r="D33"/>
  <c r="E32" s="1"/>
  <c r="D32"/>
  <c r="K23"/>
  <c r="K22"/>
  <c r="K20"/>
  <c r="K19"/>
  <c r="K18"/>
  <c r="K17"/>
  <c r="K21"/>
  <c r="J22"/>
  <c r="J21"/>
  <c r="J20"/>
  <c r="J19"/>
  <c r="J18"/>
  <c r="D30"/>
  <c r="I21"/>
  <c r="E27"/>
  <c r="F27" s="1"/>
  <c r="E28"/>
  <c r="E22"/>
  <c r="F22" s="1"/>
  <c r="H22" s="1"/>
  <c r="E21"/>
  <c r="E20"/>
  <c r="E19"/>
  <c r="F19" s="1"/>
  <c r="H19" s="1"/>
  <c r="E18"/>
  <c r="H23"/>
  <c r="G23"/>
  <c r="F23"/>
  <c r="D23"/>
  <c r="H17"/>
  <c r="F21"/>
  <c r="H21" s="1"/>
  <c r="F20"/>
  <c r="H20" s="1"/>
  <c r="F18"/>
  <c r="H18" s="1"/>
  <c r="F17"/>
  <c r="D22"/>
  <c r="D21"/>
  <c r="D20"/>
  <c r="D19"/>
  <c r="D17"/>
  <c r="D18"/>
  <c r="C22"/>
  <c r="C21"/>
  <c r="C20"/>
  <c r="C19"/>
  <c r="C18"/>
  <c r="G22"/>
  <c r="G21"/>
  <c r="G20"/>
  <c r="G19"/>
  <c r="G18"/>
  <c r="J23" l="1"/>
  <c r="K25" s="1"/>
  <c r="H25"/>
  <c r="F15" i="3" l="1"/>
  <c r="F14"/>
  <c r="F13"/>
  <c r="E11"/>
  <c r="F12"/>
  <c r="F11"/>
  <c r="F10"/>
  <c r="E9"/>
  <c r="F9" s="1"/>
  <c r="D13"/>
  <c r="D12"/>
  <c r="D11"/>
  <c r="D9"/>
  <c r="B10"/>
  <c r="D10" s="1"/>
  <c r="D26" i="5"/>
  <c r="D20"/>
  <c r="F19"/>
  <c r="D19"/>
  <c r="F18"/>
  <c r="F22" s="1"/>
  <c r="F24" s="1"/>
  <c r="F26" s="1"/>
  <c r="D18"/>
  <c r="F17"/>
  <c r="D17"/>
  <c r="D22" s="1"/>
  <c r="E48" i="4"/>
  <c r="E62" s="1"/>
  <c r="D45"/>
  <c r="E45" s="1"/>
  <c r="E41"/>
  <c r="D62" s="1"/>
  <c r="D38"/>
  <c r="D28"/>
  <c r="E28" s="1"/>
  <c r="F28" s="1"/>
  <c r="G28" s="1"/>
  <c r="I28" s="1"/>
  <c r="C28"/>
  <c r="C29" s="1"/>
  <c r="C30" s="1"/>
  <c r="I27"/>
  <c r="M27" s="1"/>
  <c r="C18"/>
  <c r="C19" s="1"/>
  <c r="D19" s="1"/>
  <c r="I17"/>
  <c r="M17" s="1"/>
  <c r="F69" i="2"/>
  <c r="F68"/>
  <c r="G52"/>
  <c r="E52"/>
  <c r="G49"/>
  <c r="E49"/>
  <c r="F49" s="1"/>
  <c r="J43"/>
  <c r="J42"/>
  <c r="J41"/>
  <c r="J40"/>
  <c r="J39"/>
  <c r="J38"/>
  <c r="K37"/>
  <c r="J31"/>
  <c r="J30"/>
  <c r="J29"/>
  <c r="J28"/>
  <c r="J27"/>
  <c r="G37"/>
  <c r="C38"/>
  <c r="C39" s="1"/>
  <c r="C40" s="1"/>
  <c r="C41" s="1"/>
  <c r="C42" s="1"/>
  <c r="C43" s="1"/>
  <c r="B38"/>
  <c r="B39" s="1"/>
  <c r="I37"/>
  <c r="G26"/>
  <c r="I26" s="1"/>
  <c r="E27"/>
  <c r="C27"/>
  <c r="D27" s="1"/>
  <c r="B28"/>
  <c r="B29" s="1"/>
  <c r="B30" s="1"/>
  <c r="B31" s="1"/>
  <c r="C28"/>
  <c r="D17" i="3" l="1"/>
  <c r="D22" s="1"/>
  <c r="F17"/>
  <c r="F22" s="1"/>
  <c r="M28" i="4"/>
  <c r="D18"/>
  <c r="E18" s="1"/>
  <c r="E19"/>
  <c r="F19" s="1"/>
  <c r="G19" s="1"/>
  <c r="I19" s="1"/>
  <c r="C31"/>
  <c r="D30"/>
  <c r="C20"/>
  <c r="D29"/>
  <c r="G68" i="2"/>
  <c r="H68" s="1"/>
  <c r="I68" s="1"/>
  <c r="K26"/>
  <c r="K38"/>
  <c r="D39"/>
  <c r="D38"/>
  <c r="E38" s="1"/>
  <c r="F38" s="1"/>
  <c r="G38" s="1"/>
  <c r="I38" s="1"/>
  <c r="E39"/>
  <c r="F39" s="1"/>
  <c r="G39" s="1"/>
  <c r="I39" s="1"/>
  <c r="B40"/>
  <c r="D28"/>
  <c r="C29"/>
  <c r="F27"/>
  <c r="G27" s="1"/>
  <c r="I27" s="1"/>
  <c r="F18" i="4" l="1"/>
  <c r="G18" s="1"/>
  <c r="I18" s="1"/>
  <c r="M18" s="1"/>
  <c r="M19" s="1"/>
  <c r="E29"/>
  <c r="F29" s="1"/>
  <c r="G29" s="1"/>
  <c r="I29" s="1"/>
  <c r="D31"/>
  <c r="C32"/>
  <c r="D32" s="1"/>
  <c r="E30"/>
  <c r="F30" s="1"/>
  <c r="G30" s="1"/>
  <c r="I30" s="1"/>
  <c r="C21"/>
  <c r="D20"/>
  <c r="K39" i="2"/>
  <c r="K27"/>
  <c r="B41"/>
  <c r="D40"/>
  <c r="E28"/>
  <c r="F28" s="1"/>
  <c r="G28" s="1"/>
  <c r="D29"/>
  <c r="C30"/>
  <c r="L30" i="4" l="1"/>
  <c r="M29"/>
  <c r="M30" s="1"/>
  <c r="C22"/>
  <c r="D22" s="1"/>
  <c r="D21"/>
  <c r="E31"/>
  <c r="F31" s="1"/>
  <c r="G31" s="1"/>
  <c r="I31" s="1"/>
  <c r="L31" s="1"/>
  <c r="E20"/>
  <c r="F20" s="1"/>
  <c r="G20" s="1"/>
  <c r="I20" s="1"/>
  <c r="E32"/>
  <c r="F32" s="1"/>
  <c r="G32" s="1"/>
  <c r="I32" s="1"/>
  <c r="I28" i="2"/>
  <c r="K28"/>
  <c r="D41"/>
  <c r="B42"/>
  <c r="E40"/>
  <c r="F40" s="1"/>
  <c r="G40" s="1"/>
  <c r="E29"/>
  <c r="F29" s="1"/>
  <c r="G29" s="1"/>
  <c r="D30"/>
  <c r="C31"/>
  <c r="D31" s="1"/>
  <c r="L20" i="4" l="1"/>
  <c r="M20"/>
  <c r="E22"/>
  <c r="F22" s="1"/>
  <c r="G22" s="1"/>
  <c r="I22" s="1"/>
  <c r="E21"/>
  <c r="F21" s="1"/>
  <c r="G21" s="1"/>
  <c r="I21" s="1"/>
  <c r="D39" s="1"/>
  <c r="E38" s="1"/>
  <c r="M31"/>
  <c r="M32" s="1"/>
  <c r="I34"/>
  <c r="E51" s="1"/>
  <c r="I29" i="2"/>
  <c r="K29"/>
  <c r="D42"/>
  <c r="B43"/>
  <c r="D43" s="1"/>
  <c r="I40"/>
  <c r="K40"/>
  <c r="E42"/>
  <c r="F42" s="1"/>
  <c r="G42" s="1"/>
  <c r="F41"/>
  <c r="G41" s="1"/>
  <c r="E41"/>
  <c r="E30"/>
  <c r="F30" s="1"/>
  <c r="G30" s="1"/>
  <c r="E31"/>
  <c r="F31" s="1"/>
  <c r="G31" s="1"/>
  <c r="E57" i="4" l="1"/>
  <c r="E59" s="1"/>
  <c r="E66" s="1"/>
  <c r="E64"/>
  <c r="I24"/>
  <c r="D51" s="1"/>
  <c r="M21"/>
  <c r="M22" s="1"/>
  <c r="L21"/>
  <c r="I41" i="2"/>
  <c r="K41"/>
  <c r="E43"/>
  <c r="F43" s="1"/>
  <c r="G43" s="1"/>
  <c r="I30"/>
  <c r="L30" s="1"/>
  <c r="K30"/>
  <c r="I31"/>
  <c r="I33" s="1"/>
  <c r="K31"/>
  <c r="K33" s="1"/>
  <c r="I42"/>
  <c r="L42" s="1"/>
  <c r="K42"/>
  <c r="D64" i="4" l="1"/>
  <c r="D57"/>
  <c r="D59" s="1"/>
  <c r="D66" s="1"/>
  <c r="F65" i="2"/>
  <c r="G65" s="1"/>
  <c r="H65" s="1"/>
  <c r="I65" s="1"/>
  <c r="F66"/>
  <c r="D60"/>
  <c r="I43"/>
  <c r="K43"/>
  <c r="K45" s="1"/>
  <c r="E53" l="1"/>
  <c r="F52" s="1"/>
  <c r="I45"/>
  <c r="D61" s="1"/>
</calcChain>
</file>

<file path=xl/sharedStrings.xml><?xml version="1.0" encoding="utf-8"?>
<sst xmlns="http://schemas.openxmlformats.org/spreadsheetml/2006/main" count="294" uniqueCount="168">
  <si>
    <t>=</t>
  </si>
  <si>
    <t>Sum of Discounted Cash flow</t>
  </si>
  <si>
    <t>Initial Investment</t>
  </si>
  <si>
    <r>
      <rPr>
        <b/>
        <sz val="11"/>
        <rFont val="Arial Narrow"/>
        <family val="2"/>
      </rPr>
      <t>Question 29</t>
    </r>
  </si>
  <si>
    <r>
      <rPr>
        <i/>
        <sz val="11"/>
        <rFont val="Arial Narrow"/>
        <family val="2"/>
      </rPr>
      <t>APZ Limited is considering to select a machine between two machines 'A' and 'B'. The two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machines have identical capacity, do exactly the same job, but designed differently.</t>
    </r>
  </si>
  <si>
    <r>
      <rPr>
        <i/>
        <sz val="11"/>
        <rFont val="Arial Narrow"/>
        <family val="2"/>
      </rPr>
      <t xml:space="preserve">Machine 'A' costs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 xml:space="preserve">8,00,000, having useful life of three years. It costs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1,30,000 per year to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run.</t>
    </r>
  </si>
  <si>
    <r>
      <rPr>
        <i/>
        <sz val="11"/>
        <rFont val="Arial Narrow"/>
        <family val="2"/>
      </rPr>
      <t xml:space="preserve">Machine 'B' is an economy model costing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6,00,000, having useful life of two years. It costs</t>
    </r>
  </si>
  <si>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2,50,000 per year to run.</t>
    </r>
  </si>
  <si>
    <r>
      <rPr>
        <i/>
        <sz val="11"/>
        <rFont val="Arial Narrow"/>
        <family val="2"/>
      </rPr>
      <t>The cash flows of machine 'A' and 'B' are real cash flows. The costs are forecasted in rupees of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constant purchasing power. Ignore taxes.</t>
    </r>
  </si>
  <si>
    <r>
      <rPr>
        <i/>
        <sz val="11"/>
        <rFont val="Arial Narrow"/>
        <family val="2"/>
      </rPr>
      <t>The opportunity cost of capital is 10%.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The present value factors at 10% are :</t>
    </r>
  </si>
  <si>
    <r>
      <rPr>
        <i/>
        <sz val="11"/>
        <rFont val="Arial Narrow"/>
        <family val="2"/>
      </rPr>
      <t>Year</t>
    </r>
  </si>
  <si>
    <r>
      <rPr>
        <b/>
        <sz val="11"/>
        <rFont val="Arial Narrow"/>
        <family val="2"/>
      </rPr>
      <t>Which machine would you recommend the company to buy?</t>
    </r>
  </si>
  <si>
    <t>Year</t>
  </si>
  <si>
    <t>Cash flow</t>
  </si>
  <si>
    <t>PV</t>
  </si>
  <si>
    <r>
      <rPr>
        <i/>
        <sz val="12"/>
        <rFont val="Arial Narrow"/>
        <family val="2"/>
      </rPr>
      <t>PVIF0.10,t</t>
    </r>
  </si>
  <si>
    <r>
      <rPr>
        <i/>
        <sz val="12"/>
        <rFont val="Arial Narrow"/>
        <family val="2"/>
      </rPr>
      <t>PVIFA0.10,2  = 1.7355</t>
    </r>
  </si>
  <si>
    <r>
      <rPr>
        <i/>
        <sz val="12"/>
        <rFont val="Arial Narrow"/>
        <family val="2"/>
      </rPr>
      <t>PVIFA0.10,3   =  2.4868</t>
    </r>
  </si>
  <si>
    <t>t1</t>
  </si>
  <si>
    <t>t2</t>
  </si>
  <si>
    <t>t3</t>
  </si>
  <si>
    <t>NPV</t>
  </si>
  <si>
    <t>NPV of A</t>
  </si>
  <si>
    <t>NPV of B</t>
  </si>
  <si>
    <t>Ranking</t>
  </si>
  <si>
    <t>I</t>
  </si>
  <si>
    <t>II</t>
  </si>
  <si>
    <t>Annual NPV</t>
  </si>
  <si>
    <r>
      <rPr>
        <b/>
        <sz val="11"/>
        <rFont val="Arial Narrow"/>
        <family val="2"/>
      </rPr>
      <t>Question 28</t>
    </r>
  </si>
  <si>
    <r>
      <rPr>
        <i/>
        <sz val="11"/>
        <rFont val="Arial Narrow"/>
        <family val="2"/>
      </rPr>
      <t>PQR Company Ltd. Is considering to select a machine out of two mutually exclusive machines.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The company’s cost of capital is 12 per cent and corporate tax rate is 30 per cent. Other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information relating to both machines is as follows:</t>
    </r>
  </si>
  <si>
    <r>
      <rPr>
        <i/>
        <sz val="11"/>
        <rFont val="Arial Narrow"/>
        <family val="2"/>
      </rPr>
      <t>You are required to calculate:</t>
    </r>
  </si>
  <si>
    <r>
      <rPr>
        <i/>
        <sz val="11"/>
        <rFont val="Arial Narrow"/>
        <family val="2"/>
      </rPr>
      <t>(i)    Discounted Pay Back Period</t>
    </r>
  </si>
  <si>
    <r>
      <rPr>
        <i/>
        <sz val="11"/>
        <rFont val="Arial Narrow"/>
        <family val="2"/>
      </rPr>
      <t>(ii)    Net Present Value</t>
    </r>
  </si>
  <si>
    <r>
      <rPr>
        <i/>
        <sz val="11"/>
        <rFont val="Arial Narrow"/>
        <family val="2"/>
      </rPr>
      <t>(iii)   Profitability Index</t>
    </r>
  </si>
  <si>
    <r>
      <rPr>
        <i/>
        <sz val="11"/>
        <rFont val="Arial Narrow"/>
        <family val="2"/>
      </rPr>
      <t xml:space="preserve">The present value factors of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1 @ 12% are as follows:</t>
    </r>
  </si>
  <si>
    <r>
      <rPr>
        <i/>
        <sz val="11"/>
        <rFont val="Arial Narrow"/>
        <family val="2"/>
      </rPr>
      <t>PV factor @ 12%</t>
    </r>
  </si>
  <si>
    <t xml:space="preserve">Machine – I             </t>
  </si>
  <si>
    <t xml:space="preserve"> Machine – II</t>
  </si>
  <si>
    <t>Annual Income (Before Tax and Depreciation)</t>
  </si>
  <si>
    <t>Depreciation is to be charged on straight line basis:</t>
  </si>
  <si>
    <r>
      <rPr>
        <i/>
        <sz val="11"/>
        <rFont val="Arial Narrow"/>
        <family val="2"/>
      </rPr>
      <t xml:space="preserve">Cost of Machine                                                   </t>
    </r>
    <r>
      <rPr>
        <i/>
        <sz val="11"/>
        <rFont val="Times New Roman"/>
        <family val="1"/>
      </rPr>
      <t/>
    </r>
  </si>
  <si>
    <t>Annual Income Before Tax &amp; Dep.</t>
  </si>
  <si>
    <t>Depreciation</t>
  </si>
  <si>
    <t>Tax</t>
  </si>
  <si>
    <t>Income Before tax</t>
  </si>
  <si>
    <t>Net Income</t>
  </si>
  <si>
    <t xml:space="preserve">Expected Life                                                                 </t>
  </si>
  <si>
    <t xml:space="preserve">  5 Yrs.                   </t>
  </si>
  <si>
    <t xml:space="preserve">   5 Yrs.</t>
  </si>
  <si>
    <t>3 YEAR</t>
  </si>
  <si>
    <t>3 + (1500000-1267055)</t>
  </si>
  <si>
    <t>3+</t>
  </si>
  <si>
    <t>YEAR</t>
  </si>
  <si>
    <t xml:space="preserve">Machine – I         </t>
  </si>
  <si>
    <t>Machine – II</t>
  </si>
  <si>
    <t>Machine I</t>
  </si>
  <si>
    <t>Machine II</t>
  </si>
  <si>
    <t>3 + (2000000-1759465)</t>
  </si>
  <si>
    <t>(i)    Discounted Pay Back Period</t>
  </si>
  <si>
    <t>(ii)    Net Present Value</t>
  </si>
  <si>
    <t>(iii)   Profitability Index</t>
  </si>
  <si>
    <t>Rank</t>
  </si>
  <si>
    <t>Particulars</t>
  </si>
  <si>
    <t>4 th YEAR</t>
  </si>
  <si>
    <t>Cumm. NPV</t>
  </si>
  <si>
    <r>
      <rPr>
        <b/>
        <sz val="11"/>
        <rFont val="Arial Narrow"/>
        <family val="2"/>
      </rPr>
      <t>Question 25</t>
    </r>
  </si>
  <si>
    <r>
      <rPr>
        <i/>
        <sz val="11"/>
        <rFont val="Arial Narrow"/>
        <family val="2"/>
      </rPr>
      <t>Cost of machine</t>
    </r>
  </si>
  <si>
    <r>
      <rPr>
        <i/>
        <sz val="11"/>
        <rFont val="Arial Narrow"/>
        <family val="2"/>
      </rPr>
      <t>Expected life</t>
    </r>
  </si>
  <si>
    <r>
      <rPr>
        <i/>
        <sz val="11"/>
        <rFont val="Arial Narrow"/>
        <family val="2"/>
      </rPr>
      <t>Annual income before tax and depreciation</t>
    </r>
  </si>
  <si>
    <r>
      <rPr>
        <i/>
        <sz val="11"/>
        <rFont val="Arial Narrow"/>
        <family val="2"/>
      </rPr>
      <t>Depreciation is to be charged on straight line basis.</t>
    </r>
  </si>
  <si>
    <r>
      <rPr>
        <i/>
        <sz val="11"/>
        <rFont val="Arial Narrow"/>
        <family val="2"/>
      </rPr>
      <t>You are required to:</t>
    </r>
  </si>
  <si>
    <r>
      <rPr>
        <i/>
        <sz val="11"/>
        <rFont val="Arial Narrow"/>
        <family val="2"/>
      </rPr>
      <t>(ii)    Advise the management of P Limited as to which machine they should take up.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The present value factors of Re. 1 are as follows:</t>
    </r>
  </si>
  <si>
    <r>
      <rPr>
        <i/>
        <sz val="11"/>
        <rFont val="Arial Narrow"/>
        <family val="2"/>
      </rPr>
      <t>At 12%</t>
    </r>
  </si>
  <si>
    <r>
      <rPr>
        <i/>
        <sz val="11"/>
        <rFont val="Arial Narrow"/>
        <family val="2"/>
      </rPr>
      <t>At 13%</t>
    </r>
  </si>
  <si>
    <r>
      <rPr>
        <i/>
        <sz val="11"/>
        <rFont val="Arial Narrow"/>
        <family val="2"/>
      </rPr>
      <t>At 14%</t>
    </r>
  </si>
  <si>
    <r>
      <rPr>
        <i/>
        <sz val="11"/>
        <rFont val="Arial Narrow"/>
        <family val="2"/>
      </rPr>
      <t>At 15%</t>
    </r>
  </si>
  <si>
    <r>
      <rPr>
        <i/>
        <sz val="11"/>
        <rFont val="Arial Narrow"/>
        <family val="2"/>
      </rPr>
      <t>At 16%</t>
    </r>
  </si>
  <si>
    <r>
      <rPr>
        <i/>
        <sz val="11"/>
        <rFont val="Arial Narrow"/>
        <family val="2"/>
      </rPr>
      <t>The management of P Limited is considering selecting a machine out of two mutually exclusive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machines.  </t>
    </r>
  </si>
  <si>
    <t>The company’s cost of capital is 12 percent and corporate tax rate for the company is 30 percent.  Details of the machines are as follows:</t>
  </si>
  <si>
    <t>c.</t>
  </si>
  <si>
    <t>b.</t>
  </si>
  <si>
    <t>a.</t>
  </si>
  <si>
    <t>(i)    Calculate the following</t>
  </si>
  <si>
    <t xml:space="preserve">Discounted pay-back period, </t>
  </si>
  <si>
    <t xml:space="preserve">Net present value and </t>
  </si>
  <si>
    <t>Internal rate of return for each machine.</t>
  </si>
  <si>
    <t>Machine – I</t>
  </si>
  <si>
    <t>5 Year</t>
  </si>
  <si>
    <t>6 Year</t>
  </si>
  <si>
    <t>PV @ 12%</t>
  </si>
  <si>
    <t>Cash flow -I</t>
  </si>
  <si>
    <t>PV @ 16%</t>
  </si>
  <si>
    <t>Discounted pay-back period</t>
  </si>
  <si>
    <t>4 Year</t>
  </si>
  <si>
    <t>Years</t>
  </si>
  <si>
    <t>IRR</t>
  </si>
  <si>
    <t>P.I</t>
  </si>
  <si>
    <r>
      <rPr>
        <b/>
        <sz val="11"/>
        <rFont val="Arial Narrow"/>
        <family val="2"/>
      </rPr>
      <t>Question 4</t>
    </r>
  </si>
  <si>
    <r>
      <rPr>
        <i/>
        <sz val="11"/>
        <rFont val="Arial Narrow"/>
        <family val="2"/>
      </rPr>
      <t xml:space="preserve">If the supplier gives a discount of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5,000 for purchase, what would be your decision?  (The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present value factors at the end of years 0, 1, 2, 3, 4, 5 and 6 are respectively 1, 0.9091, 0.8264,</t>
    </r>
  </si>
  <si>
    <r>
      <rPr>
        <i/>
        <sz val="11"/>
        <rFont val="Arial Narrow"/>
        <family val="2"/>
      </rPr>
      <t>0.7513, 0.6830, 0.6209 and 0.5644).</t>
    </r>
  </si>
  <si>
    <r>
      <rPr>
        <i/>
        <sz val="11"/>
        <rFont val="Arial Narrow"/>
        <family val="2"/>
      </rPr>
      <t xml:space="preserve">A company wants to invest in a machinery that would cost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50,000 at the beginning of year 1.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It is estimated that the net cash inflows from operations will be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18,000 per annum for 3 years,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if the company opts to service a part of the machine at the end of year 1 at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10,000. In such a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case, the scrap value at the end of year 3 will be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12,500. However, if the company decides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not to service the part, then it will have to be replaced at the end of year 2 at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15,400.  But in this case, the machine will work for the 4th year also and get operational cash inflow of ` 18,000  for the 4th year. It will have to be scrapped at the end of year 4 at ` 9,000. Assuming cost of capital at 10% and ignoring taxes, will you recommend the purchase of this machine based on the net present value of its cash flows?</t>
    </r>
  </si>
  <si>
    <t>Cash Flow</t>
  </si>
  <si>
    <t>Dis. Cash Flow</t>
  </si>
  <si>
    <t>PV @ 10%</t>
  </si>
  <si>
    <t>if Supplier Give Dis. Of Rs. 5000/-</t>
  </si>
  <si>
    <t>Then NPV will be</t>
  </si>
  <si>
    <r>
      <rPr>
        <i/>
        <sz val="11"/>
        <rFont val="Arial Narrow"/>
        <family val="2"/>
      </rPr>
      <t>A Company is considering a proposal of installing a drying equipment. The equipment would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involve a Cash outlay of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 xml:space="preserve">6,00,000 and net Working Capital of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80,000. The expected life of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the project is 5 years without any salvage value. Assume that the company is allowed to charge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depreciation on straight-line basis for Income-tax purpose. The estimated before-tax cash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inflows are given below:</t>
    </r>
  </si>
  <si>
    <r>
      <rPr>
        <i/>
        <sz val="11"/>
        <rFont val="Arial Narrow"/>
        <family val="2"/>
      </rPr>
      <t>Before-tax Cash inflows (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‘000)</t>
    </r>
  </si>
  <si>
    <r>
      <rPr>
        <i/>
        <sz val="11"/>
        <rFont val="Arial Narrow"/>
        <family val="2"/>
      </rPr>
      <t>The applicable Income-tax rate to the Company is 35%.  If the Company’s opportunity Cost of</t>
    </r>
  </si>
  <si>
    <r>
      <rPr>
        <i/>
        <sz val="11"/>
        <rFont val="Arial Narrow"/>
        <family val="2"/>
      </rPr>
      <t>Capital is 12%, calculate the equipment’s discounted payback period, payback period, net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present value and internal rate of return.</t>
    </r>
  </si>
  <si>
    <r>
      <rPr>
        <i/>
        <sz val="11"/>
        <rFont val="Arial Narrow"/>
        <family val="2"/>
      </rPr>
      <t>The PV factors at 12%, 14% and 15% are:</t>
    </r>
  </si>
  <si>
    <r>
      <rPr>
        <i/>
        <sz val="11"/>
        <rFont val="Arial Narrow"/>
        <family val="2"/>
      </rPr>
      <t>PV factor at 12%</t>
    </r>
  </si>
  <si>
    <r>
      <rPr>
        <i/>
        <sz val="11"/>
        <rFont val="Arial Narrow"/>
        <family val="2"/>
      </rPr>
      <t>PV factor at 14%</t>
    </r>
  </si>
  <si>
    <r>
      <rPr>
        <i/>
        <sz val="11"/>
        <rFont val="Arial Narrow"/>
        <family val="2"/>
      </rPr>
      <t>PV factor at 15%</t>
    </r>
  </si>
  <si>
    <r>
      <rPr>
        <b/>
        <sz val="11"/>
        <rFont val="Arial Narrow"/>
        <family val="2"/>
      </rPr>
      <t>Question 7</t>
    </r>
  </si>
  <si>
    <t>Disc. Cash Flow</t>
  </si>
  <si>
    <t>CFBT</t>
  </si>
  <si>
    <t>TAX</t>
  </si>
  <si>
    <t>CFAT</t>
  </si>
  <si>
    <t>CASH FLOW</t>
  </si>
  <si>
    <t>DIS. CF</t>
  </si>
  <si>
    <t>TAX BENEFIT ON DEP.</t>
  </si>
  <si>
    <t>Dis. Payback Period</t>
  </si>
  <si>
    <t>PV @ 15%</t>
  </si>
  <si>
    <t>SIMILAR</t>
  </si>
  <si>
    <t>DPBP</t>
  </si>
  <si>
    <t>PI</t>
  </si>
  <si>
    <t>PAY BACK PERIOD</t>
  </si>
  <si>
    <r>
      <rPr>
        <i/>
        <sz val="11"/>
        <rFont val="Arial Narrow"/>
        <family val="2"/>
      </rPr>
      <t>A company is considering the proposal of taking up a new project which requires an investment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 xml:space="preserve">of </t>
    </r>
    <r>
      <rPr>
        <sz val="12"/>
        <rFont val="Arial"/>
        <family val="2"/>
      </rPr>
      <t xml:space="preserve">` </t>
    </r>
    <r>
      <rPr>
        <i/>
        <sz val="11"/>
        <rFont val="Arial Narrow"/>
        <family val="2"/>
      </rPr>
      <t>400 lakhs on machinery and other assets. The project is expected to yield the following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earnings (before depreciation and taxes) over the next five years:</t>
    </r>
  </si>
  <si>
    <r>
      <rPr>
        <i/>
        <sz val="11"/>
        <rFont val="Arial Narrow"/>
        <family val="2"/>
      </rPr>
      <t>Earnings (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  <r>
      <rPr>
        <i/>
        <sz val="11"/>
        <rFont val="Arial Narrow"/>
        <family val="2"/>
      </rPr>
      <t>in lakhs)</t>
    </r>
  </si>
  <si>
    <r>
      <rPr>
        <i/>
        <sz val="11"/>
        <rFont val="Arial Narrow"/>
        <family val="2"/>
      </rPr>
      <t>The cost of raising the additional capital is 12% and assets have to be depreciated at 20% on</t>
    </r>
  </si>
  <si>
    <r>
      <rPr>
        <i/>
        <sz val="11"/>
        <rFont val="Arial Narrow"/>
        <family val="2"/>
      </rPr>
      <t>‘Written Down Value’ basis.  The scrap value at the end of the five years’ period may be taken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as zero.  Income-tax applicable to the company is 50%.</t>
    </r>
  </si>
  <si>
    <r>
      <rPr>
        <i/>
        <sz val="11"/>
        <rFont val="Arial Narrow"/>
        <family val="2"/>
      </rPr>
      <t>You are required to calculate the net present value of the project and advise the management</t>
    </r>
    <r>
      <rPr>
        <i/>
        <sz val="11"/>
        <rFont val="Times New Roman"/>
        <family val="1"/>
      </rPr>
      <t xml:space="preserve"> </t>
    </r>
    <r>
      <rPr>
        <i/>
        <sz val="11"/>
        <rFont val="Arial Narrow"/>
        <family val="2"/>
      </rPr>
      <t>to take appropriate decision.  Also calculate the Internal Rate of Return of the Project.</t>
    </r>
  </si>
  <si>
    <r>
      <rPr>
        <i/>
        <sz val="11"/>
        <rFont val="Arial Narrow"/>
        <family val="2"/>
      </rPr>
      <t>Note: Present values of Re. 1 at different rates of interest are as follows:</t>
    </r>
  </si>
  <si>
    <r>
      <rPr>
        <i/>
        <sz val="11"/>
        <rFont val="Arial Narrow"/>
        <family val="2"/>
      </rPr>
      <t>10%</t>
    </r>
  </si>
  <si>
    <r>
      <rPr>
        <i/>
        <sz val="11"/>
        <rFont val="Arial Narrow"/>
        <family val="2"/>
      </rPr>
      <t>12%</t>
    </r>
  </si>
  <si>
    <r>
      <rPr>
        <i/>
        <sz val="11"/>
        <rFont val="Arial Narrow"/>
        <family val="2"/>
      </rPr>
      <t>14%</t>
    </r>
  </si>
  <si>
    <r>
      <rPr>
        <i/>
        <sz val="11"/>
        <rFont val="Arial Narrow"/>
        <family val="2"/>
      </rPr>
      <t>16%</t>
    </r>
  </si>
  <si>
    <t>EBDT</t>
  </si>
  <si>
    <t>DEP</t>
  </si>
  <si>
    <t>EBT</t>
  </si>
  <si>
    <t>T</t>
  </si>
  <si>
    <t>EAT</t>
  </si>
  <si>
    <t>PV @12%</t>
  </si>
  <si>
    <t>PV @16%</t>
  </si>
  <si>
    <r>
      <rPr>
        <b/>
        <sz val="11"/>
        <rFont val="Arial Narrow"/>
        <family val="2"/>
      </rPr>
      <t>Question 10</t>
    </r>
  </si>
  <si>
    <r>
      <rPr>
        <i/>
        <sz val="11"/>
        <rFont val="Arial Narrow"/>
        <family val="2"/>
      </rPr>
      <t>Given below are the data on a capital project 'M'.</t>
    </r>
  </si>
  <si>
    <r>
      <rPr>
        <i/>
        <sz val="11"/>
        <rFont val="Arial Narrow"/>
        <family val="2"/>
      </rPr>
      <t>You are required to calculate for this project M :</t>
    </r>
  </si>
  <si>
    <r>
      <rPr>
        <i/>
        <sz val="11"/>
        <rFont val="Arial Narrow"/>
        <family val="2"/>
      </rPr>
      <t>(i)     Cost of project</t>
    </r>
  </si>
  <si>
    <r>
      <rPr>
        <i/>
        <sz val="11"/>
        <rFont val="Arial Narrow"/>
        <family val="2"/>
      </rPr>
      <t>(ii)    Payback period</t>
    </r>
  </si>
  <si>
    <r>
      <rPr>
        <i/>
        <sz val="11"/>
        <rFont val="Arial Narrow"/>
        <family val="2"/>
      </rPr>
      <t>(iii)   Cost of capital</t>
    </r>
  </si>
  <si>
    <r>
      <rPr>
        <i/>
        <sz val="11"/>
        <rFont val="Arial Narrow"/>
        <family val="2"/>
      </rPr>
      <t>(iv)   Net present value</t>
    </r>
  </si>
  <si>
    <r>
      <rPr>
        <i/>
        <sz val="11"/>
        <rFont val="Arial Narrow"/>
        <family val="2"/>
      </rPr>
      <t>PV factors at different rates are given below:</t>
    </r>
  </si>
  <si>
    <r>
      <rPr>
        <i/>
        <sz val="11"/>
        <rFont val="Arial Narrow"/>
        <family val="2"/>
      </rPr>
      <t>Discount factor</t>
    </r>
  </si>
  <si>
    <r>
      <rPr>
        <i/>
        <sz val="11"/>
        <rFont val="Arial Narrow"/>
        <family val="2"/>
      </rPr>
      <t>15%</t>
    </r>
  </si>
  <si>
    <r>
      <rPr>
        <i/>
        <sz val="11"/>
        <rFont val="Arial Narrow"/>
        <family val="2"/>
      </rPr>
      <t>13%</t>
    </r>
  </si>
  <si>
    <r>
      <rPr>
        <i/>
        <sz val="11"/>
        <rFont val="Arial Narrow"/>
        <family val="2"/>
      </rPr>
      <t>1 year</t>
    </r>
  </si>
  <si>
    <r>
      <rPr>
        <i/>
        <sz val="11"/>
        <rFont val="Arial Narrow"/>
        <family val="2"/>
      </rPr>
      <t>2 year</t>
    </r>
  </si>
  <si>
    <r>
      <rPr>
        <i/>
        <sz val="11"/>
        <rFont val="Arial Narrow"/>
        <family val="2"/>
      </rPr>
      <t>3 year</t>
    </r>
  </si>
  <si>
    <r>
      <rPr>
        <i/>
        <sz val="11"/>
        <rFont val="Arial Narrow"/>
        <family val="2"/>
      </rPr>
      <t>4 year</t>
    </r>
  </si>
  <si>
    <r>
      <rPr>
        <i/>
        <sz val="11"/>
        <rFont val="Arial Narrow"/>
        <family val="2"/>
      </rPr>
      <t xml:space="preserve">Annual cash inflows                                                               </t>
    </r>
    <r>
      <rPr>
        <sz val="12"/>
        <rFont val="Arial"/>
        <family val="2"/>
      </rPr>
      <t>`</t>
    </r>
    <r>
      <rPr>
        <sz val="12"/>
        <rFont val="Arial Narrow"/>
        <family val="2"/>
      </rPr>
      <t xml:space="preserve"> </t>
    </r>
  </si>
  <si>
    <t xml:space="preserve">Useful life                                                                                      </t>
  </si>
  <si>
    <t>years</t>
  </si>
  <si>
    <t xml:space="preserve">Internal rate of return                                                                  </t>
  </si>
  <si>
    <t xml:space="preserve">Profitability index                                                                         </t>
  </si>
  <si>
    <t xml:space="preserve">Salvage value                                                                            </t>
  </si>
  <si>
    <t>Similar</t>
  </si>
  <si>
    <t>Q.No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</si>
</sst>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##0.0000;###0.0000"/>
    <numFmt numFmtId="165" formatCode="_(* #,##0.0000_);_(* \(#,##0.0000\);_(* &quot;-&quot;??_);_(@_)"/>
    <numFmt numFmtId="166" formatCode="###0.000;###0.000"/>
    <numFmt numFmtId="167" formatCode="###0;###0"/>
    <numFmt numFmtId="168" formatCode="###0.00;###0.00"/>
  </numFmts>
  <fonts count="26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Narrow"/>
    </font>
    <font>
      <b/>
      <sz val="11"/>
      <name val="Arial Narrow"/>
      <family val="2"/>
    </font>
    <font>
      <i/>
      <sz val="11"/>
      <name val="Arial Narrow"/>
      <family val="2"/>
    </font>
    <font>
      <i/>
      <sz val="11"/>
      <name val="Times New Roman"/>
      <family val="1"/>
    </font>
    <font>
      <sz val="12"/>
      <name val="Arial"/>
      <family val="2"/>
    </font>
    <font>
      <sz val="12"/>
      <name val="Arial Narrow"/>
      <family val="2"/>
    </font>
    <font>
      <i/>
      <sz val="11"/>
      <name val="Arial Narrow"/>
    </font>
    <font>
      <sz val="12"/>
      <color theme="1"/>
      <name val="Calibri"/>
      <family val="2"/>
      <scheme val="minor"/>
    </font>
    <font>
      <i/>
      <sz val="12"/>
      <name val="Arial Narrow"/>
      <family val="2"/>
    </font>
    <font>
      <i/>
      <sz val="11"/>
      <color rgb="FF000000"/>
      <name val="Arial Narrow"/>
      <family val="2"/>
    </font>
    <font>
      <u val="singleAccounting"/>
      <sz val="11"/>
      <color theme="1"/>
      <name val="Calibri"/>
      <family val="2"/>
      <scheme val="minor"/>
    </font>
    <font>
      <i/>
      <sz val="11"/>
      <name val="Calibri"/>
      <family val="2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name val="Arial Narrow"/>
      <family val="2"/>
    </font>
    <font>
      <b/>
      <i/>
      <u/>
      <sz val="11"/>
      <name val="Arial Narrow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Times New Roman"/>
      <charset val="204"/>
    </font>
    <font>
      <i/>
      <sz val="8"/>
      <name val="Arial Narrow"/>
      <family val="2"/>
    </font>
    <font>
      <sz val="8"/>
      <color theme="1"/>
      <name val="Calibri"/>
      <family val="2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/>
      <right style="thin">
        <color rgb="FF000000"/>
      </right>
      <top style="thin">
        <color rgb="FF000000"/>
      </top>
      <bottom style="thin">
        <color rgb="FFD9D9D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9D9D9"/>
      </top>
      <bottom style="thin">
        <color rgb="FF000000"/>
      </bottom>
      <diagonal/>
    </border>
    <border>
      <left/>
      <right/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 style="thin">
        <color rgb="FFD9D9D9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43" fontId="0" fillId="0" borderId="0" xfId="1" applyFont="1"/>
    <xf numFmtId="43" fontId="0" fillId="0" borderId="0" xfId="0" applyNumberFormat="1"/>
    <xf numFmtId="43" fontId="14" fillId="0" borderId="0" xfId="0" applyNumberFormat="1" applyFont="1"/>
    <xf numFmtId="0" fontId="0" fillId="0" borderId="0" xfId="0" applyAlignment="1">
      <alignment horizontal="center"/>
    </xf>
    <xf numFmtId="0" fontId="0" fillId="0" borderId="2" xfId="0" applyBorder="1"/>
    <xf numFmtId="43" fontId="0" fillId="0" borderId="2" xfId="1" applyFont="1" applyBorder="1"/>
    <xf numFmtId="43" fontId="13" fillId="0" borderId="2" xfId="1" applyFont="1" applyFill="1" applyBorder="1" applyAlignment="1">
      <alignment vertical="top" wrapText="1"/>
    </xf>
    <xf numFmtId="0" fontId="3" fillId="0" borderId="2" xfId="0" applyFont="1" applyBorder="1"/>
    <xf numFmtId="43" fontId="1" fillId="0" borderId="0" xfId="1" applyFont="1"/>
    <xf numFmtId="43" fontId="14" fillId="0" borderId="0" xfId="1" applyFont="1"/>
    <xf numFmtId="165" fontId="0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2" xfId="1" applyFont="1" applyBorder="1"/>
    <xf numFmtId="0" fontId="10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0" fillId="0" borderId="2" xfId="0" applyFill="1" applyBorder="1" applyAlignment="1">
      <alignment horizontal="left" vertical="top"/>
    </xf>
    <xf numFmtId="0" fontId="0" fillId="0" borderId="2" xfId="0" applyFill="1" applyBorder="1" applyAlignment="1">
      <alignment vertical="top" wrapText="1"/>
    </xf>
    <xf numFmtId="164" fontId="13" fillId="0" borderId="2" xfId="0" applyNumberFormat="1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vertical="top" wrapText="1"/>
    </xf>
    <xf numFmtId="164" fontId="13" fillId="0" borderId="3" xfId="0" applyNumberFormat="1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0" xfId="0" applyBorder="1"/>
    <xf numFmtId="164" fontId="13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43" fontId="0" fillId="0" borderId="0" xfId="1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wrapText="1"/>
    </xf>
    <xf numFmtId="43" fontId="0" fillId="0" borderId="2" xfId="0" applyNumberFormat="1" applyBorder="1"/>
    <xf numFmtId="43" fontId="0" fillId="0" borderId="2" xfId="1" applyNumberFormat="1" applyFont="1" applyBorder="1"/>
    <xf numFmtId="0" fontId="6" fillId="0" borderId="2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43" fontId="0" fillId="0" borderId="0" xfId="0" applyNumberFormat="1" applyBorder="1"/>
    <xf numFmtId="0" fontId="1" fillId="0" borderId="0" xfId="0" applyFont="1" applyBorder="1"/>
    <xf numFmtId="43" fontId="0" fillId="0" borderId="0" xfId="0" applyNumberFormat="1" applyAlignment="1">
      <alignment vertical="center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center"/>
    </xf>
    <xf numFmtId="166" fontId="13" fillId="0" borderId="5" xfId="0" applyNumberFormat="1" applyFont="1" applyFill="1" applyBorder="1" applyAlignment="1">
      <alignment vertical="top" wrapText="1"/>
    </xf>
    <xf numFmtId="166" fontId="13" fillId="0" borderId="6" xfId="0" applyNumberFormat="1" applyFont="1" applyFill="1" applyBorder="1" applyAlignment="1">
      <alignment vertical="top" wrapText="1"/>
    </xf>
    <xf numFmtId="166" fontId="13" fillId="0" borderId="7" xfId="0" applyNumberFormat="1" applyFont="1" applyFill="1" applyBorder="1" applyAlignment="1">
      <alignment vertical="top" wrapText="1"/>
    </xf>
    <xf numFmtId="167" fontId="13" fillId="2" borderId="1" xfId="0" applyNumberFormat="1" applyFont="1" applyFill="1" applyBorder="1" applyAlignment="1">
      <alignment horizontal="center" vertical="top" wrapText="1"/>
    </xf>
    <xf numFmtId="166" fontId="13" fillId="0" borderId="5" xfId="0" applyNumberFormat="1" applyFont="1" applyFill="1" applyBorder="1" applyAlignment="1">
      <alignment horizontal="left" vertical="top" wrapText="1"/>
    </xf>
    <xf numFmtId="166" fontId="13" fillId="0" borderId="6" xfId="0" applyNumberFormat="1" applyFont="1" applyFill="1" applyBorder="1" applyAlignment="1">
      <alignment horizontal="left" vertical="top" wrapText="1"/>
    </xf>
    <xf numFmtId="166" fontId="13" fillId="0" borderId="7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6" fillId="0" borderId="7" xfId="0" applyFont="1" applyFill="1" applyBorder="1" applyAlignment="1">
      <alignment vertical="top"/>
    </xf>
    <xf numFmtId="167" fontId="13" fillId="2" borderId="1" xfId="0" applyNumberFormat="1" applyFont="1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/>
    <xf numFmtId="0" fontId="6" fillId="0" borderId="2" xfId="0" applyFont="1" applyFill="1" applyBorder="1" applyAlignment="1">
      <alignment vertical="top" wrapText="1"/>
    </xf>
    <xf numFmtId="0" fontId="0" fillId="0" borderId="0" xfId="0" applyBorder="1" applyAlignment="1"/>
    <xf numFmtId="43" fontId="0" fillId="0" borderId="2" xfId="1" applyFont="1" applyBorder="1" applyAlignment="1"/>
    <xf numFmtId="0" fontId="0" fillId="0" borderId="2" xfId="0" applyBorder="1" applyAlignment="1">
      <alignment horizontal="center" vertical="center"/>
    </xf>
    <xf numFmtId="43" fontId="3" fillId="0" borderId="2" xfId="0" applyNumberFormat="1" applyFont="1" applyBorder="1"/>
    <xf numFmtId="166" fontId="6" fillId="0" borderId="2" xfId="0" applyNumberFormat="1" applyFont="1" applyFill="1" applyBorder="1" applyAlignment="1">
      <alignment vertical="top"/>
    </xf>
    <xf numFmtId="166" fontId="0" fillId="0" borderId="2" xfId="0" applyNumberFormat="1" applyBorder="1"/>
    <xf numFmtId="0" fontId="20" fillId="0" borderId="0" xfId="0" applyFont="1" applyFill="1" applyBorder="1" applyAlignment="1">
      <alignment horizontal="left" vertical="top"/>
    </xf>
    <xf numFmtId="9" fontId="0" fillId="0" borderId="0" xfId="0" applyNumberFormat="1"/>
    <xf numFmtId="0" fontId="10" fillId="0" borderId="0" xfId="0" applyFont="1" applyFill="1" applyBorder="1" applyAlignment="1">
      <alignment horizontal="left" vertical="top"/>
    </xf>
    <xf numFmtId="0" fontId="3" fillId="0" borderId="0" xfId="0" applyFont="1" applyBorder="1"/>
    <xf numFmtId="0" fontId="0" fillId="2" borderId="1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167" fontId="13" fillId="0" borderId="1" xfId="0" applyNumberFormat="1" applyFont="1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10" fillId="2" borderId="13" xfId="0" applyFont="1" applyFill="1" applyBorder="1" applyAlignment="1">
      <alignment vertical="top"/>
    </xf>
    <xf numFmtId="0" fontId="10" fillId="2" borderId="14" xfId="0" applyFont="1" applyFill="1" applyBorder="1" applyAlignment="1">
      <alignment vertical="top"/>
    </xf>
    <xf numFmtId="0" fontId="10" fillId="2" borderId="15" xfId="0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10" fillId="2" borderId="1" xfId="0" applyFont="1" applyFill="1" applyBorder="1" applyAlignment="1">
      <alignment vertical="top"/>
    </xf>
    <xf numFmtId="0" fontId="10" fillId="2" borderId="11" xfId="0" applyFont="1" applyFill="1" applyBorder="1" applyAlignment="1">
      <alignment vertical="top"/>
    </xf>
    <xf numFmtId="0" fontId="10" fillId="0" borderId="5" xfId="0" applyFont="1" applyFill="1" applyBorder="1" applyAlignment="1">
      <alignment vertical="top"/>
    </xf>
    <xf numFmtId="0" fontId="10" fillId="0" borderId="16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7" xfId="0" applyFont="1" applyFill="1" applyBorder="1" applyAlignment="1">
      <alignment vertical="top"/>
    </xf>
    <xf numFmtId="0" fontId="10" fillId="0" borderId="17" xfId="0" applyFont="1" applyFill="1" applyBorder="1" applyAlignment="1">
      <alignment vertical="top"/>
    </xf>
    <xf numFmtId="164" fontId="13" fillId="0" borderId="5" xfId="0" applyNumberFormat="1" applyFont="1" applyFill="1" applyBorder="1" applyAlignment="1">
      <alignment vertical="top"/>
    </xf>
    <xf numFmtId="164" fontId="13" fillId="0" borderId="6" xfId="0" applyNumberFormat="1" applyFont="1" applyFill="1" applyBorder="1" applyAlignment="1">
      <alignment vertical="top"/>
    </xf>
    <xf numFmtId="164" fontId="13" fillId="0" borderId="7" xfId="0" applyNumberFormat="1" applyFont="1" applyFill="1" applyBorder="1" applyAlignment="1">
      <alignment vertical="top"/>
    </xf>
    <xf numFmtId="43" fontId="13" fillId="0" borderId="2" xfId="1" applyFont="1" applyFill="1" applyBorder="1" applyAlignment="1">
      <alignment vertical="top"/>
    </xf>
    <xf numFmtId="164" fontId="13" fillId="0" borderId="2" xfId="0" applyNumberFormat="1" applyFont="1" applyFill="1" applyBorder="1" applyAlignment="1">
      <alignment vertical="top"/>
    </xf>
    <xf numFmtId="164" fontId="0" fillId="0" borderId="2" xfId="0" applyNumberFormat="1" applyBorder="1"/>
    <xf numFmtId="0" fontId="23" fillId="0" borderId="2" xfId="0" applyFont="1" applyFill="1" applyBorder="1" applyAlignment="1">
      <alignment vertical="top"/>
    </xf>
    <xf numFmtId="0" fontId="24" fillId="0" borderId="2" xfId="0" applyFont="1" applyBorder="1"/>
    <xf numFmtId="10" fontId="0" fillId="0" borderId="0" xfId="2" applyNumberFormat="1" applyFont="1"/>
    <xf numFmtId="10" fontId="0" fillId="0" borderId="0" xfId="0" applyNumberFormat="1"/>
    <xf numFmtId="0" fontId="0" fillId="3" borderId="0" xfId="0" applyFill="1" applyBorder="1" applyAlignment="1">
      <alignment horizontal="left" vertical="top"/>
    </xf>
    <xf numFmtId="0" fontId="6" fillId="3" borderId="1" xfId="0" applyFont="1" applyFill="1" applyBorder="1" applyAlignment="1">
      <alignment vertical="top" wrapText="1"/>
    </xf>
    <xf numFmtId="0" fontId="6" fillId="3" borderId="1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67" fontId="13" fillId="3" borderId="5" xfId="0" applyNumberFormat="1" applyFont="1" applyFill="1" applyBorder="1" applyAlignment="1">
      <alignment vertical="top" wrapText="1"/>
    </xf>
    <xf numFmtId="167" fontId="13" fillId="3" borderId="16" xfId="0" applyNumberFormat="1" applyFont="1" applyFill="1" applyBorder="1" applyAlignment="1">
      <alignment vertical="top" wrapText="1"/>
    </xf>
    <xf numFmtId="167" fontId="13" fillId="3" borderId="6" xfId="0" applyNumberFormat="1" applyFont="1" applyFill="1" applyBorder="1" applyAlignment="1">
      <alignment vertical="top" wrapText="1"/>
    </xf>
    <xf numFmtId="167" fontId="13" fillId="3" borderId="0" xfId="0" applyNumberFormat="1" applyFont="1" applyFill="1" applyBorder="1" applyAlignment="1">
      <alignment vertical="top" wrapText="1"/>
    </xf>
    <xf numFmtId="167" fontId="13" fillId="0" borderId="6" xfId="0" applyNumberFormat="1" applyFont="1" applyFill="1" applyBorder="1" applyAlignment="1">
      <alignment vertical="top" wrapText="1"/>
    </xf>
    <xf numFmtId="167" fontId="13" fillId="0" borderId="0" xfId="0" applyNumberFormat="1" applyFont="1" applyFill="1" applyBorder="1" applyAlignment="1">
      <alignment vertical="top" wrapText="1"/>
    </xf>
    <xf numFmtId="167" fontId="13" fillId="0" borderId="7" xfId="0" applyNumberFormat="1" applyFont="1" applyFill="1" applyBorder="1" applyAlignment="1">
      <alignment vertical="top" wrapText="1"/>
    </xf>
    <xf numFmtId="167" fontId="13" fillId="0" borderId="17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167" fontId="13" fillId="0" borderId="5" xfId="0" applyNumberFormat="1" applyFont="1" applyFill="1" applyBorder="1" applyAlignment="1">
      <alignment vertical="top" wrapText="1"/>
    </xf>
    <xf numFmtId="167" fontId="13" fillId="0" borderId="16" xfId="0" applyNumberFormat="1" applyFont="1" applyFill="1" applyBorder="1" applyAlignment="1">
      <alignment vertical="top" wrapText="1"/>
    </xf>
    <xf numFmtId="168" fontId="13" fillId="0" borderId="5" xfId="0" applyNumberFormat="1" applyFont="1" applyFill="1" applyBorder="1" applyAlignment="1">
      <alignment vertical="top" wrapText="1"/>
    </xf>
    <xf numFmtId="168" fontId="13" fillId="0" borderId="6" xfId="0" applyNumberFormat="1" applyFont="1" applyFill="1" applyBorder="1" applyAlignment="1">
      <alignment vertical="top" wrapText="1"/>
    </xf>
    <xf numFmtId="168" fontId="13" fillId="0" borderId="7" xfId="0" applyNumberFormat="1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167" fontId="13" fillId="0" borderId="2" xfId="0" applyNumberFormat="1" applyFont="1" applyFill="1" applyBorder="1" applyAlignment="1">
      <alignment vertical="top" wrapText="1"/>
    </xf>
    <xf numFmtId="43" fontId="13" fillId="3" borderId="2" xfId="1" applyFont="1" applyFill="1" applyBorder="1" applyAlignment="1">
      <alignment vertical="top" wrapText="1"/>
    </xf>
    <xf numFmtId="168" fontId="13" fillId="0" borderId="2" xfId="0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left" vertical="top"/>
    </xf>
    <xf numFmtId="3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left" vertical="top"/>
    </xf>
    <xf numFmtId="166" fontId="0" fillId="0" borderId="0" xfId="0" applyNumberFormat="1"/>
    <xf numFmtId="0" fontId="20" fillId="0" borderId="2" xfId="0" applyFont="1" applyBorder="1"/>
    <xf numFmtId="0" fontId="2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5" fillId="0" borderId="0" xfId="0" applyFont="1" applyFill="1" applyBorder="1" applyAlignment="1">
      <alignment horizontal="left" vertical="top" wrapText="1"/>
    </xf>
    <xf numFmtId="10" fontId="0" fillId="0" borderId="0" xfId="2" applyNumberFormat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3" fontId="0" fillId="0" borderId="0" xfId="0" applyNumberFormat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17</xdr:row>
      <xdr:rowOff>104775</xdr:rowOff>
    </xdr:from>
    <xdr:to>
      <xdr:col>10</xdr:col>
      <xdr:colOff>0</xdr:colOff>
      <xdr:row>19</xdr:row>
      <xdr:rowOff>133350</xdr:rowOff>
    </xdr:to>
    <xdr:cxnSp macro="">
      <xdr:nvCxnSpPr>
        <xdr:cNvPr id="2" name="Straight Connector 1"/>
        <xdr:cNvCxnSpPr/>
      </xdr:nvCxnSpPr>
      <xdr:spPr>
        <a:xfrm>
          <a:off x="8134350" y="7067550"/>
          <a:ext cx="495300" cy="447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209550</xdr:colOff>
      <xdr:row>19</xdr:row>
      <xdr:rowOff>123825</xdr:rowOff>
    </xdr:from>
    <xdr:to>
      <xdr:col>10</xdr:col>
      <xdr:colOff>9525</xdr:colOff>
      <xdr:row>19</xdr:row>
      <xdr:rowOff>142876</xdr:rowOff>
    </xdr:to>
    <xdr:cxnSp macro="">
      <xdr:nvCxnSpPr>
        <xdr:cNvPr id="3" name="Straight Connector 2"/>
        <xdr:cNvCxnSpPr/>
      </xdr:nvCxnSpPr>
      <xdr:spPr>
        <a:xfrm flipV="1">
          <a:off x="8229600" y="7505700"/>
          <a:ext cx="409575" cy="190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20</xdr:row>
      <xdr:rowOff>142875</xdr:rowOff>
    </xdr:from>
    <xdr:to>
      <xdr:col>9</xdr:col>
      <xdr:colOff>581025</xdr:colOff>
      <xdr:row>20</xdr:row>
      <xdr:rowOff>161925</xdr:rowOff>
    </xdr:to>
    <xdr:cxnSp macro="">
      <xdr:nvCxnSpPr>
        <xdr:cNvPr id="4" name="Straight Connector 3"/>
        <xdr:cNvCxnSpPr/>
      </xdr:nvCxnSpPr>
      <xdr:spPr>
        <a:xfrm flipV="1">
          <a:off x="8143875" y="7734300"/>
          <a:ext cx="4572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27</xdr:row>
      <xdr:rowOff>104775</xdr:rowOff>
    </xdr:from>
    <xdr:to>
      <xdr:col>10</xdr:col>
      <xdr:colOff>0</xdr:colOff>
      <xdr:row>29</xdr:row>
      <xdr:rowOff>133350</xdr:rowOff>
    </xdr:to>
    <xdr:cxnSp macro="">
      <xdr:nvCxnSpPr>
        <xdr:cNvPr id="5" name="Straight Connector 4"/>
        <xdr:cNvCxnSpPr/>
      </xdr:nvCxnSpPr>
      <xdr:spPr>
        <a:xfrm>
          <a:off x="8134350" y="9115425"/>
          <a:ext cx="495300" cy="447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209550</xdr:colOff>
      <xdr:row>29</xdr:row>
      <xdr:rowOff>123825</xdr:rowOff>
    </xdr:from>
    <xdr:to>
      <xdr:col>10</xdr:col>
      <xdr:colOff>9525</xdr:colOff>
      <xdr:row>29</xdr:row>
      <xdr:rowOff>142876</xdr:rowOff>
    </xdr:to>
    <xdr:cxnSp macro="">
      <xdr:nvCxnSpPr>
        <xdr:cNvPr id="6" name="Straight Connector 5"/>
        <xdr:cNvCxnSpPr/>
      </xdr:nvCxnSpPr>
      <xdr:spPr>
        <a:xfrm flipV="1">
          <a:off x="8229600" y="9553575"/>
          <a:ext cx="409575" cy="190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30</xdr:row>
      <xdr:rowOff>142875</xdr:rowOff>
    </xdr:from>
    <xdr:to>
      <xdr:col>9</xdr:col>
      <xdr:colOff>581025</xdr:colOff>
      <xdr:row>30</xdr:row>
      <xdr:rowOff>161925</xdr:rowOff>
    </xdr:to>
    <xdr:cxnSp macro="">
      <xdr:nvCxnSpPr>
        <xdr:cNvPr id="7" name="Straight Connector 6"/>
        <xdr:cNvCxnSpPr/>
      </xdr:nvCxnSpPr>
      <xdr:spPr>
        <a:xfrm flipV="1">
          <a:off x="8143875" y="9782175"/>
          <a:ext cx="4572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workbookViewId="0">
      <selection activeCell="A21" sqref="A21"/>
    </sheetView>
  </sheetViews>
  <sheetFormatPr defaultRowHeight="15"/>
  <cols>
    <col min="2" max="2" width="11.28515625" bestFit="1" customWidth="1"/>
    <col min="4" max="4" width="13.7109375" bestFit="1" customWidth="1"/>
    <col min="5" max="5" width="11.28515625" bestFit="1" customWidth="1"/>
    <col min="6" max="6" width="13.7109375" bestFit="1" customWidth="1"/>
  </cols>
  <sheetData>
    <row r="2" spans="1:16" ht="16.5">
      <c r="A2" s="2" t="s">
        <v>97</v>
      </c>
      <c r="B2" s="3"/>
    </row>
    <row r="3" spans="1:16" ht="102" customHeight="1">
      <c r="A3" s="137" t="s">
        <v>100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4" spans="1:16" ht="16.5">
      <c r="A4" s="3" t="s">
        <v>98</v>
      </c>
    </row>
    <row r="5" spans="1:16" ht="16.5">
      <c r="A5" s="73" t="s">
        <v>99</v>
      </c>
    </row>
    <row r="8" spans="1:16">
      <c r="A8" s="8" t="s">
        <v>12</v>
      </c>
      <c r="B8" s="8" t="s">
        <v>101</v>
      </c>
      <c r="C8" s="8" t="s">
        <v>103</v>
      </c>
      <c r="D8" s="8" t="s">
        <v>102</v>
      </c>
      <c r="E8" s="8" t="s">
        <v>101</v>
      </c>
      <c r="F8" s="8" t="s">
        <v>102</v>
      </c>
    </row>
    <row r="9" spans="1:16">
      <c r="A9" s="8">
        <v>0</v>
      </c>
      <c r="B9" s="9">
        <v>-50000</v>
      </c>
      <c r="C9" s="8">
        <v>1</v>
      </c>
      <c r="D9" s="9">
        <f>B9*C9</f>
        <v>-50000</v>
      </c>
      <c r="E9" s="36">
        <f>B9</f>
        <v>-50000</v>
      </c>
      <c r="F9" s="36">
        <f t="shared" ref="F9:F15" si="0">E9*C9</f>
        <v>-50000</v>
      </c>
    </row>
    <row r="10" spans="1:16">
      <c r="A10" s="8">
        <v>1</v>
      </c>
      <c r="B10" s="9">
        <f>18000-10000</f>
        <v>8000</v>
      </c>
      <c r="C10" s="8">
        <v>0.90910000000000002</v>
      </c>
      <c r="D10" s="9">
        <f>B10*C10</f>
        <v>7272.8</v>
      </c>
      <c r="E10" s="8">
        <v>18000</v>
      </c>
      <c r="F10" s="36">
        <f t="shared" si="0"/>
        <v>16363.800000000001</v>
      </c>
    </row>
    <row r="11" spans="1:16">
      <c r="A11" s="8">
        <v>2</v>
      </c>
      <c r="B11" s="9">
        <v>18000</v>
      </c>
      <c r="C11" s="8">
        <v>0.82640000000000002</v>
      </c>
      <c r="D11" s="9">
        <f>B11*C11</f>
        <v>14875.2</v>
      </c>
      <c r="E11" s="8">
        <f>18000-15400</f>
        <v>2600</v>
      </c>
      <c r="F11" s="36">
        <f t="shared" si="0"/>
        <v>2148.64</v>
      </c>
    </row>
    <row r="12" spans="1:16">
      <c r="A12" s="8">
        <v>3</v>
      </c>
      <c r="B12" s="9">
        <v>18000</v>
      </c>
      <c r="C12" s="8">
        <v>0.75129999999999997</v>
      </c>
      <c r="D12" s="9">
        <f>B12*C12</f>
        <v>13523.4</v>
      </c>
      <c r="E12" s="8">
        <v>18000</v>
      </c>
      <c r="F12" s="36">
        <f t="shared" si="0"/>
        <v>13523.4</v>
      </c>
    </row>
    <row r="13" spans="1:16">
      <c r="A13" s="8">
        <v>3</v>
      </c>
      <c r="B13" s="9">
        <v>12500</v>
      </c>
      <c r="C13" s="8">
        <v>0.75129999999999997</v>
      </c>
      <c r="D13" s="9">
        <f>B13*C13</f>
        <v>9391.25</v>
      </c>
      <c r="E13" s="8"/>
      <c r="F13" s="36">
        <f t="shared" si="0"/>
        <v>0</v>
      </c>
    </row>
    <row r="14" spans="1:16">
      <c r="A14" s="8">
        <v>4</v>
      </c>
      <c r="B14" s="9"/>
      <c r="C14" s="8">
        <v>0.68300000000000005</v>
      </c>
      <c r="D14" s="9"/>
      <c r="E14" s="8">
        <v>18000</v>
      </c>
      <c r="F14" s="36">
        <f t="shared" si="0"/>
        <v>12294.000000000002</v>
      </c>
    </row>
    <row r="15" spans="1:16">
      <c r="A15" s="8">
        <v>4</v>
      </c>
      <c r="B15" s="9"/>
      <c r="C15" s="8">
        <v>0.68300000000000005</v>
      </c>
      <c r="D15" s="9"/>
      <c r="E15" s="8">
        <v>9000</v>
      </c>
      <c r="F15" s="36">
        <f t="shared" si="0"/>
        <v>6147.0000000000009</v>
      </c>
    </row>
    <row r="16" spans="1:16">
      <c r="A16" s="8"/>
      <c r="B16" s="9"/>
      <c r="C16" s="8"/>
      <c r="D16" s="9"/>
      <c r="E16" s="8"/>
      <c r="F16" s="36"/>
    </row>
    <row r="17" spans="1:6" s="16" customFormat="1">
      <c r="A17" s="11"/>
      <c r="B17" s="11"/>
      <c r="C17" s="11"/>
      <c r="D17" s="17">
        <f>SUM(D9:D16)</f>
        <v>-4937.3499999999967</v>
      </c>
      <c r="E17" s="11"/>
      <c r="F17" s="17">
        <f>SUM(F9:F16)</f>
        <v>476.84000000000651</v>
      </c>
    </row>
    <row r="18" spans="1:6">
      <c r="A18" s="74"/>
    </row>
    <row r="19" spans="1:6">
      <c r="A19" s="74"/>
      <c r="D19" s="4"/>
      <c r="F19" s="4"/>
    </row>
    <row r="20" spans="1:6">
      <c r="A20" s="74"/>
      <c r="D20" s="4"/>
      <c r="F20" s="4"/>
    </row>
    <row r="21" spans="1:6">
      <c r="A21" t="s">
        <v>104</v>
      </c>
      <c r="D21" s="4">
        <v>5000</v>
      </c>
      <c r="F21" s="4">
        <v>5000</v>
      </c>
    </row>
    <row r="22" spans="1:6">
      <c r="A22" t="s">
        <v>105</v>
      </c>
      <c r="D22" s="5">
        <f>D17+D21</f>
        <v>62.650000000003274</v>
      </c>
      <c r="F22" s="5">
        <f>F17+F21</f>
        <v>5476.8400000000065</v>
      </c>
    </row>
  </sheetData>
  <mergeCells count="1">
    <mergeCell ref="A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topLeftCell="A25" workbookViewId="0">
      <selection activeCell="B36" sqref="B36"/>
    </sheetView>
  </sheetViews>
  <sheetFormatPr defaultRowHeight="15"/>
  <cols>
    <col min="1" max="1" width="13.140625" customWidth="1"/>
    <col min="2" max="2" width="12.28515625" bestFit="1" customWidth="1"/>
    <col min="3" max="3" width="10.5703125" bestFit="1" customWidth="1"/>
    <col min="4" max="4" width="12.28515625" bestFit="1" customWidth="1"/>
    <col min="5" max="5" width="18.28515625" customWidth="1"/>
    <col min="6" max="6" width="12.28515625" bestFit="1" customWidth="1"/>
    <col min="7" max="7" width="9.140625" customWidth="1"/>
    <col min="8" max="8" width="12.28515625" bestFit="1" customWidth="1"/>
    <col min="9" max="9" width="11.5703125" bestFit="1" customWidth="1"/>
    <col min="10" max="10" width="9.140625" customWidth="1"/>
    <col min="11" max="11" width="11.5703125" bestFit="1" customWidth="1"/>
  </cols>
  <sheetData>
    <row r="1" spans="1:15" ht="16.5">
      <c r="A1" s="2" t="s">
        <v>114</v>
      </c>
    </row>
    <row r="2" spans="1:15" ht="16.5" customHeight="1">
      <c r="A2" s="139" t="s">
        <v>106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1:15" ht="29.25" customHeight="1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1:15" ht="16.5">
      <c r="A5" s="78"/>
      <c r="B5" s="75" t="s">
        <v>107</v>
      </c>
      <c r="C5" s="76"/>
      <c r="D5" s="76"/>
      <c r="E5" s="76"/>
      <c r="F5" s="76"/>
      <c r="G5" s="79"/>
      <c r="H5" s="79"/>
      <c r="I5" s="79"/>
      <c r="J5" s="80"/>
    </row>
    <row r="6" spans="1:15" ht="16.5">
      <c r="A6" s="81" t="s">
        <v>10</v>
      </c>
      <c r="B6" s="61">
        <v>1</v>
      </c>
      <c r="C6" s="61">
        <v>2</v>
      </c>
      <c r="D6" s="61">
        <v>3</v>
      </c>
      <c r="E6" s="61">
        <v>4</v>
      </c>
      <c r="F6" s="61">
        <v>5</v>
      </c>
      <c r="G6" s="82"/>
      <c r="H6" s="82"/>
      <c r="I6" s="82"/>
      <c r="J6" s="83"/>
    </row>
    <row r="7" spans="1:15" ht="16.5">
      <c r="A7" s="84"/>
      <c r="B7" s="77">
        <v>240</v>
      </c>
      <c r="C7" s="77">
        <v>275</v>
      </c>
      <c r="D7" s="77">
        <v>210</v>
      </c>
      <c r="E7" s="77">
        <v>180</v>
      </c>
      <c r="F7" s="77">
        <v>160</v>
      </c>
      <c r="G7" s="85"/>
      <c r="H7" s="85"/>
      <c r="I7" s="85"/>
      <c r="J7" s="86"/>
    </row>
    <row r="8" spans="1:15" ht="16.5">
      <c r="A8" s="73" t="s">
        <v>108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6.5">
      <c r="A9" s="3" t="s">
        <v>109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6.5">
      <c r="A10" s="73" t="s">
        <v>110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6.5">
      <c r="A11" s="87" t="s">
        <v>10</v>
      </c>
      <c r="B11" s="61">
        <v>1</v>
      </c>
      <c r="C11" s="61">
        <v>2</v>
      </c>
      <c r="D11" s="61">
        <v>3</v>
      </c>
      <c r="E11" s="61">
        <v>4</v>
      </c>
      <c r="F11" s="61">
        <v>5</v>
      </c>
      <c r="G11" s="88"/>
      <c r="H11" s="88"/>
      <c r="I11" s="88"/>
      <c r="J11" s="88"/>
      <c r="K11" s="88"/>
      <c r="L11" s="88"/>
      <c r="M11" s="88"/>
      <c r="N11" s="88"/>
      <c r="O11" s="88"/>
    </row>
    <row r="12" spans="1:15" ht="16.5">
      <c r="A12" s="89" t="s">
        <v>111</v>
      </c>
      <c r="B12" s="95">
        <v>0.89290000000000003</v>
      </c>
      <c r="C12" s="95">
        <v>0.79720000000000002</v>
      </c>
      <c r="D12" s="95">
        <v>0.71179999999999999</v>
      </c>
      <c r="E12" s="95">
        <v>0.63549999999999995</v>
      </c>
      <c r="F12" s="95">
        <v>0.56740000000000002</v>
      </c>
      <c r="G12" s="90"/>
      <c r="H12" s="90"/>
      <c r="I12" s="90"/>
      <c r="J12" s="90"/>
      <c r="K12" s="90"/>
      <c r="L12" s="90"/>
      <c r="M12" s="90"/>
      <c r="N12" s="90"/>
      <c r="O12" s="90"/>
    </row>
    <row r="13" spans="1:15" ht="16.5">
      <c r="A13" s="91" t="s">
        <v>112</v>
      </c>
      <c r="B13" s="96">
        <v>0.87719999999999998</v>
      </c>
      <c r="C13" s="96">
        <v>0.76949999999999996</v>
      </c>
      <c r="D13" s="96">
        <v>0.67500000000000004</v>
      </c>
      <c r="E13" s="96">
        <v>0.59209999999999996</v>
      </c>
      <c r="F13" s="96">
        <v>0.51939999999999997</v>
      </c>
      <c r="G13" s="92"/>
      <c r="H13" s="92"/>
      <c r="I13" s="92"/>
      <c r="J13" s="92"/>
      <c r="K13" s="92"/>
      <c r="L13" s="92"/>
      <c r="M13" s="92"/>
      <c r="N13" s="92"/>
      <c r="O13" s="92"/>
    </row>
    <row r="14" spans="1:15" ht="16.5">
      <c r="A14" s="93" t="s">
        <v>113</v>
      </c>
      <c r="B14" s="97">
        <v>0.86960000000000004</v>
      </c>
      <c r="C14" s="97">
        <v>0.75609999999999999</v>
      </c>
      <c r="D14" s="97">
        <v>0.65749999999999997</v>
      </c>
      <c r="E14" s="97">
        <v>0.57179999999999997</v>
      </c>
      <c r="F14" s="97">
        <v>0.49719999999999998</v>
      </c>
      <c r="G14" s="94"/>
      <c r="H14" s="94"/>
      <c r="I14" s="94"/>
      <c r="J14" s="94"/>
      <c r="K14" s="94"/>
      <c r="L14" s="94"/>
      <c r="M14" s="94"/>
      <c r="N14" s="94"/>
      <c r="O14" s="94"/>
    </row>
    <row r="16" spans="1:15">
      <c r="A16" s="101" t="s">
        <v>12</v>
      </c>
      <c r="B16" s="102" t="s">
        <v>116</v>
      </c>
      <c r="C16" s="102" t="s">
        <v>117</v>
      </c>
      <c r="D16" s="102" t="s">
        <v>118</v>
      </c>
      <c r="E16" s="102" t="s">
        <v>121</v>
      </c>
      <c r="F16" s="102" t="s">
        <v>119</v>
      </c>
      <c r="G16" s="102" t="s">
        <v>89</v>
      </c>
      <c r="H16" s="102" t="s">
        <v>120</v>
      </c>
      <c r="J16" s="102" t="s">
        <v>123</v>
      </c>
      <c r="K16" s="102" t="s">
        <v>120</v>
      </c>
    </row>
    <row r="17" spans="1:11" ht="16.5">
      <c r="A17" s="8">
        <v>0</v>
      </c>
      <c r="B17" s="98">
        <v>-680000</v>
      </c>
      <c r="C17" s="8"/>
      <c r="D17" s="36">
        <f>B17-C17</f>
        <v>-680000</v>
      </c>
      <c r="E17" s="8"/>
      <c r="F17" s="36">
        <f t="shared" ref="F17:F23" si="0">D17+E17</f>
        <v>-680000</v>
      </c>
      <c r="G17" s="99">
        <v>1</v>
      </c>
      <c r="H17" s="9">
        <f t="shared" ref="H17:H23" si="1">G17*F17</f>
        <v>-680000</v>
      </c>
      <c r="J17" s="99">
        <v>1</v>
      </c>
      <c r="K17" s="9">
        <f t="shared" ref="K17:K20" si="2">J17*F17</f>
        <v>-680000</v>
      </c>
    </row>
    <row r="18" spans="1:11">
      <c r="A18" s="8">
        <v>1</v>
      </c>
      <c r="B18" s="9">
        <v>240000</v>
      </c>
      <c r="C18" s="9">
        <f>B18*35%</f>
        <v>84000</v>
      </c>
      <c r="D18" s="9">
        <f>B18-C18</f>
        <v>156000</v>
      </c>
      <c r="E18" s="9">
        <f>600000/5*35%</f>
        <v>42000</v>
      </c>
      <c r="F18" s="36">
        <f t="shared" si="0"/>
        <v>198000</v>
      </c>
      <c r="G18" s="100">
        <f>B12</f>
        <v>0.89290000000000003</v>
      </c>
      <c r="H18" s="9">
        <f t="shared" si="1"/>
        <v>176794.2</v>
      </c>
      <c r="J18" s="100">
        <f>B14</f>
        <v>0.86960000000000004</v>
      </c>
      <c r="K18" s="9">
        <f t="shared" si="2"/>
        <v>172180.80000000002</v>
      </c>
    </row>
    <row r="19" spans="1:11">
      <c r="A19" s="8">
        <v>2</v>
      </c>
      <c r="B19" s="9">
        <v>275000</v>
      </c>
      <c r="C19" s="9">
        <f>B19*35%</f>
        <v>96250</v>
      </c>
      <c r="D19" s="9">
        <f t="shared" ref="D19:D23" si="3">B19-C19</f>
        <v>178750</v>
      </c>
      <c r="E19" s="9">
        <f>600000/5*35%</f>
        <v>42000</v>
      </c>
      <c r="F19" s="36">
        <f t="shared" si="0"/>
        <v>220750</v>
      </c>
      <c r="G19" s="100">
        <f>C12</f>
        <v>0.79720000000000002</v>
      </c>
      <c r="H19" s="9">
        <f t="shared" si="1"/>
        <v>175981.9</v>
      </c>
      <c r="J19" s="100">
        <f>C14</f>
        <v>0.75609999999999999</v>
      </c>
      <c r="K19" s="9">
        <f t="shared" si="2"/>
        <v>166909.07500000001</v>
      </c>
    </row>
    <row r="20" spans="1:11">
      <c r="A20" s="8">
        <v>3</v>
      </c>
      <c r="B20" s="9">
        <v>210000</v>
      </c>
      <c r="C20" s="9">
        <f>B20*35%</f>
        <v>73500</v>
      </c>
      <c r="D20" s="9">
        <f t="shared" si="3"/>
        <v>136500</v>
      </c>
      <c r="E20" s="9">
        <f>600000/5*35%</f>
        <v>42000</v>
      </c>
      <c r="F20" s="36">
        <f t="shared" si="0"/>
        <v>178500</v>
      </c>
      <c r="G20" s="100">
        <f>D12</f>
        <v>0.71179999999999999</v>
      </c>
      <c r="H20" s="9">
        <f t="shared" si="1"/>
        <v>127056.3</v>
      </c>
      <c r="J20" s="100">
        <f>D14</f>
        <v>0.65749999999999997</v>
      </c>
      <c r="K20" s="9">
        <f t="shared" si="2"/>
        <v>117363.75</v>
      </c>
    </row>
    <row r="21" spans="1:11">
      <c r="A21" s="8">
        <v>4</v>
      </c>
      <c r="B21" s="9">
        <v>180000</v>
      </c>
      <c r="C21" s="9">
        <f>B21*35%</f>
        <v>62999.999999999993</v>
      </c>
      <c r="D21" s="9">
        <f t="shared" si="3"/>
        <v>117000</v>
      </c>
      <c r="E21" s="9">
        <f>600000/5*35%</f>
        <v>42000</v>
      </c>
      <c r="F21" s="36">
        <f t="shared" si="0"/>
        <v>159000</v>
      </c>
      <c r="G21" s="100">
        <f>E12</f>
        <v>0.63549999999999995</v>
      </c>
      <c r="H21" s="9">
        <f t="shared" si="1"/>
        <v>101044.49999999999</v>
      </c>
      <c r="I21" s="5">
        <f>H21+H20+H19+H18</f>
        <v>580876.89999999991</v>
      </c>
      <c r="J21" s="100">
        <f>E14</f>
        <v>0.57179999999999997</v>
      </c>
      <c r="K21" s="9">
        <f>J21*F21</f>
        <v>90916.2</v>
      </c>
    </row>
    <row r="22" spans="1:11">
      <c r="A22" s="8">
        <v>5</v>
      </c>
      <c r="B22" s="9">
        <v>160000</v>
      </c>
      <c r="C22" s="9">
        <f>B22*35%</f>
        <v>56000</v>
      </c>
      <c r="D22" s="9">
        <f t="shared" si="3"/>
        <v>104000</v>
      </c>
      <c r="E22" s="9">
        <f>600000/5*35%</f>
        <v>42000</v>
      </c>
      <c r="F22" s="36">
        <f t="shared" si="0"/>
        <v>146000</v>
      </c>
      <c r="G22" s="100">
        <f>F12</f>
        <v>0.56740000000000002</v>
      </c>
      <c r="H22" s="9">
        <f t="shared" si="1"/>
        <v>82840.400000000009</v>
      </c>
      <c r="J22" s="100">
        <f>F14</f>
        <v>0.49719999999999998</v>
      </c>
      <c r="K22" s="9">
        <f t="shared" ref="K22:K23" si="4">J22*F22</f>
        <v>72591.199999999997</v>
      </c>
    </row>
    <row r="23" spans="1:11">
      <c r="A23" s="8">
        <v>5</v>
      </c>
      <c r="B23" s="9">
        <v>80000</v>
      </c>
      <c r="C23" s="36"/>
      <c r="D23" s="36">
        <f t="shared" si="3"/>
        <v>80000</v>
      </c>
      <c r="E23" s="8"/>
      <c r="F23" s="36">
        <f t="shared" si="0"/>
        <v>80000</v>
      </c>
      <c r="G23" s="100">
        <f>G22</f>
        <v>0.56740000000000002</v>
      </c>
      <c r="H23" s="9">
        <f t="shared" si="1"/>
        <v>45392</v>
      </c>
      <c r="J23" s="100">
        <f>J22</f>
        <v>0.49719999999999998</v>
      </c>
      <c r="K23" s="9">
        <f t="shared" si="4"/>
        <v>39776</v>
      </c>
    </row>
    <row r="24" spans="1:11">
      <c r="A24" s="8"/>
      <c r="B24" s="8"/>
      <c r="C24" s="8"/>
      <c r="D24" s="8"/>
      <c r="E24" s="8"/>
      <c r="F24" s="8"/>
      <c r="G24" s="8"/>
      <c r="H24" s="9"/>
      <c r="J24" s="8"/>
      <c r="K24" s="9"/>
    </row>
    <row r="25" spans="1:11">
      <c r="A25" s="8"/>
      <c r="B25" s="8"/>
      <c r="C25" s="8"/>
      <c r="D25" s="8"/>
      <c r="E25" s="8"/>
      <c r="F25" s="8"/>
      <c r="G25" s="8"/>
      <c r="H25" s="9">
        <f>SUM(H17:H24)</f>
        <v>29109.299999999959</v>
      </c>
      <c r="J25" s="8"/>
      <c r="K25" s="9">
        <f>SUM(K17:K24)</f>
        <v>-20262.974999999933</v>
      </c>
    </row>
    <row r="27" spans="1:11" ht="17.25">
      <c r="A27">
        <v>1</v>
      </c>
      <c r="B27" t="s">
        <v>122</v>
      </c>
      <c r="D27">
        <v>4</v>
      </c>
      <c r="E27" s="6">
        <f>680000-I21</f>
        <v>99123.100000000093</v>
      </c>
      <c r="F27" s="4">
        <f>E27/E28</f>
        <v>0.77299574834441287</v>
      </c>
      <c r="G27" s="140" t="s">
        <v>0</v>
      </c>
      <c r="H27" s="140">
        <v>4.7699999999999996</v>
      </c>
      <c r="I27" s="140" t="s">
        <v>94</v>
      </c>
    </row>
    <row r="28" spans="1:11">
      <c r="E28" s="5">
        <f>H23+H22</f>
        <v>128232.40000000001</v>
      </c>
      <c r="G28" s="140"/>
      <c r="H28" s="140"/>
      <c r="I28" s="140"/>
    </row>
    <row r="30" spans="1:11">
      <c r="A30">
        <v>2</v>
      </c>
      <c r="B30" t="s">
        <v>21</v>
      </c>
      <c r="C30" t="s">
        <v>0</v>
      </c>
      <c r="D30" s="5">
        <f>H25</f>
        <v>29109.299999999959</v>
      </c>
    </row>
    <row r="32" spans="1:11" ht="17.25">
      <c r="A32">
        <v>3</v>
      </c>
      <c r="B32" t="s">
        <v>95</v>
      </c>
      <c r="C32" s="72">
        <v>0.12</v>
      </c>
      <c r="D32" s="6">
        <f>H25</f>
        <v>29109.299999999959</v>
      </c>
      <c r="E32" s="4">
        <f>D32/D33</f>
        <v>0.58958798232408827</v>
      </c>
      <c r="F32" s="72">
        <f>(15-12)%</f>
        <v>0.03</v>
      </c>
      <c r="G32" s="103">
        <f>F32*E32</f>
        <v>1.7687639469722648E-2</v>
      </c>
      <c r="H32" s="104">
        <f>G32+C32</f>
        <v>0.13768763946972265</v>
      </c>
    </row>
    <row r="33" spans="4:4">
      <c r="D33" s="5">
        <f>H25-K25</f>
        <v>49372.274999999892</v>
      </c>
    </row>
  </sheetData>
  <mergeCells count="4">
    <mergeCell ref="A2:O4"/>
    <mergeCell ref="G27:G28"/>
    <mergeCell ref="H27:H28"/>
    <mergeCell ref="I27:I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topLeftCell="A31" workbookViewId="0">
      <selection activeCell="K25" sqref="K25"/>
    </sheetView>
  </sheetViews>
  <sheetFormatPr defaultRowHeight="15"/>
  <cols>
    <col min="8" max="8" width="10.28515625" customWidth="1"/>
    <col min="10" max="10" width="11.7109375" customWidth="1"/>
  </cols>
  <sheetData>
    <row r="1" spans="1:14" ht="16.5" customHeight="1">
      <c r="A1" s="141" t="s">
        <v>128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6.5" customHeight="1">
      <c r="A5" s="106" t="s">
        <v>10</v>
      </c>
      <c r="B5" s="108" t="s">
        <v>129</v>
      </c>
      <c r="C5" s="107"/>
      <c r="D5" s="107"/>
      <c r="E5" s="107"/>
      <c r="F5" s="107"/>
      <c r="G5" s="107"/>
      <c r="H5" s="107"/>
    </row>
    <row r="6" spans="1:14" ht="16.5">
      <c r="A6" s="109">
        <v>1</v>
      </c>
      <c r="B6" s="109">
        <v>160</v>
      </c>
      <c r="C6" s="110"/>
      <c r="D6" s="110"/>
      <c r="E6" s="110"/>
      <c r="F6" s="110"/>
      <c r="G6" s="110"/>
      <c r="H6" s="110"/>
    </row>
    <row r="7" spans="1:14" ht="16.5">
      <c r="A7" s="111">
        <v>2</v>
      </c>
      <c r="B7" s="111">
        <v>160</v>
      </c>
      <c r="C7" s="112"/>
      <c r="D7" s="112"/>
      <c r="E7" s="112"/>
      <c r="F7" s="112"/>
      <c r="G7" s="112"/>
      <c r="H7" s="112"/>
    </row>
    <row r="8" spans="1:14" ht="16.5">
      <c r="A8" s="111">
        <v>3</v>
      </c>
      <c r="B8" s="111">
        <v>180</v>
      </c>
      <c r="C8" s="112"/>
      <c r="D8" s="112"/>
      <c r="E8" s="112"/>
      <c r="F8" s="112"/>
      <c r="G8" s="112"/>
      <c r="H8" s="112"/>
    </row>
    <row r="9" spans="1:14" ht="16.5">
      <c r="A9" s="113">
        <v>4</v>
      </c>
      <c r="B9" s="113">
        <v>180</v>
      </c>
      <c r="C9" s="114"/>
      <c r="D9" s="114"/>
      <c r="E9" s="114"/>
      <c r="F9" s="114"/>
      <c r="G9" s="114"/>
      <c r="H9" s="114"/>
    </row>
    <row r="10" spans="1:14" ht="16.5">
      <c r="A10" s="115">
        <v>5</v>
      </c>
      <c r="B10" s="115">
        <v>150</v>
      </c>
      <c r="C10" s="116"/>
      <c r="D10" s="116"/>
      <c r="E10" s="116"/>
      <c r="F10" s="116"/>
      <c r="G10" s="116"/>
      <c r="H10" s="116"/>
    </row>
    <row r="11" spans="1:14" ht="16.5">
      <c r="A11" s="31" t="s">
        <v>130</v>
      </c>
      <c r="B11" s="3"/>
      <c r="C11" s="3"/>
      <c r="D11" s="3"/>
      <c r="E11" s="3"/>
      <c r="F11" s="3"/>
      <c r="G11" s="3"/>
      <c r="H11" s="3"/>
    </row>
    <row r="12" spans="1:14" ht="16.5">
      <c r="A12" s="3" t="s">
        <v>131</v>
      </c>
      <c r="B12" s="3"/>
      <c r="C12" s="3"/>
      <c r="D12" s="3"/>
      <c r="E12" s="3"/>
      <c r="F12" s="3"/>
      <c r="G12" s="3"/>
      <c r="H12" s="3"/>
    </row>
    <row r="13" spans="1:14" ht="16.5">
      <c r="A13" s="3" t="s">
        <v>132</v>
      </c>
      <c r="B13" s="3"/>
      <c r="C13" s="3"/>
      <c r="D13" s="3"/>
      <c r="E13" s="3"/>
      <c r="F13" s="3"/>
      <c r="G13" s="3"/>
      <c r="H13" s="3"/>
    </row>
    <row r="14" spans="1:14" ht="16.5">
      <c r="A14" s="31" t="s">
        <v>133</v>
      </c>
      <c r="B14" s="3"/>
      <c r="C14" s="3"/>
      <c r="D14" s="3"/>
      <c r="E14" s="3"/>
      <c r="F14" s="3"/>
      <c r="G14" s="3"/>
      <c r="H14" s="3"/>
    </row>
    <row r="15" spans="1:14" ht="16.5">
      <c r="A15" s="117" t="s">
        <v>10</v>
      </c>
      <c r="B15" s="117" t="s">
        <v>134</v>
      </c>
      <c r="C15" s="117" t="s">
        <v>135</v>
      </c>
      <c r="D15" s="117" t="s">
        <v>136</v>
      </c>
      <c r="E15" s="117" t="s">
        <v>137</v>
      </c>
      <c r="F15" s="118"/>
      <c r="G15" s="118"/>
      <c r="H15" s="118"/>
    </row>
    <row r="16" spans="1:14" ht="16.5">
      <c r="A16" s="119">
        <v>1</v>
      </c>
      <c r="B16" s="121">
        <v>0.91</v>
      </c>
      <c r="C16" s="121">
        <v>0.89</v>
      </c>
      <c r="D16" s="121">
        <v>0.88</v>
      </c>
      <c r="E16" s="121">
        <v>0.86</v>
      </c>
      <c r="F16" s="120"/>
      <c r="G16" s="120"/>
      <c r="H16" s="120"/>
    </row>
    <row r="17" spans="1:11" ht="16.5">
      <c r="A17" s="113">
        <v>2</v>
      </c>
      <c r="B17" s="122">
        <v>0.83</v>
      </c>
      <c r="C17" s="122">
        <v>0.8</v>
      </c>
      <c r="D17" s="122">
        <v>0.77</v>
      </c>
      <c r="E17" s="122">
        <v>0.74</v>
      </c>
      <c r="F17" s="114"/>
      <c r="G17" s="114"/>
      <c r="H17" s="114"/>
    </row>
    <row r="18" spans="1:11" ht="16.5">
      <c r="A18" s="113">
        <v>3</v>
      </c>
      <c r="B18" s="122">
        <v>0.75</v>
      </c>
      <c r="C18" s="122">
        <v>0.71</v>
      </c>
      <c r="D18" s="122">
        <v>0.67</v>
      </c>
      <c r="E18" s="122">
        <v>0.64</v>
      </c>
      <c r="F18" s="114"/>
      <c r="G18" s="114"/>
      <c r="H18" s="114"/>
    </row>
    <row r="19" spans="1:11" ht="16.5">
      <c r="A19" s="113">
        <v>4</v>
      </c>
      <c r="B19" s="122">
        <v>0.68</v>
      </c>
      <c r="C19" s="122">
        <v>0.64</v>
      </c>
      <c r="D19" s="122">
        <v>0.59</v>
      </c>
      <c r="E19" s="122">
        <v>0.55000000000000004</v>
      </c>
      <c r="F19" s="114"/>
      <c r="G19" s="114"/>
      <c r="H19" s="114"/>
    </row>
    <row r="20" spans="1:11" ht="16.5">
      <c r="A20" s="115">
        <v>5</v>
      </c>
      <c r="B20" s="123">
        <v>0.62</v>
      </c>
      <c r="C20" s="123">
        <v>0.56999999999999995</v>
      </c>
      <c r="D20" s="123">
        <v>0.52</v>
      </c>
      <c r="E20" s="123">
        <v>0.48</v>
      </c>
      <c r="F20" s="116"/>
      <c r="G20" s="116"/>
      <c r="H20" s="116"/>
    </row>
    <row r="23" spans="1:11" ht="16.5">
      <c r="A23" s="8" t="s">
        <v>12</v>
      </c>
      <c r="B23" s="124" t="s">
        <v>138</v>
      </c>
      <c r="C23" s="8" t="s">
        <v>139</v>
      </c>
      <c r="D23" s="8" t="s">
        <v>140</v>
      </c>
      <c r="E23" s="8" t="s">
        <v>141</v>
      </c>
      <c r="F23" s="8" t="s">
        <v>142</v>
      </c>
      <c r="G23" s="8" t="s">
        <v>119</v>
      </c>
      <c r="H23" s="19" t="s">
        <v>143</v>
      </c>
      <c r="I23" s="8" t="s">
        <v>120</v>
      </c>
      <c r="J23" s="19" t="s">
        <v>144</v>
      </c>
      <c r="K23" s="8" t="s">
        <v>120</v>
      </c>
    </row>
    <row r="24" spans="1:11">
      <c r="A24" s="8">
        <v>0</v>
      </c>
      <c r="B24" s="9">
        <v>-400</v>
      </c>
      <c r="C24" s="8"/>
      <c r="D24" s="8"/>
      <c r="E24" s="8"/>
      <c r="F24" s="8"/>
      <c r="G24" s="36">
        <f>B24</f>
        <v>-400</v>
      </c>
      <c r="H24" s="8">
        <v>1</v>
      </c>
      <c r="I24" s="36">
        <f t="shared" ref="I24:I29" si="0">H24*G24</f>
        <v>-400</v>
      </c>
      <c r="J24" s="8">
        <v>1</v>
      </c>
      <c r="K24" s="36">
        <f>J24*G24</f>
        <v>-400</v>
      </c>
    </row>
    <row r="25" spans="1:11" ht="16.5">
      <c r="A25" s="125">
        <v>1</v>
      </c>
      <c r="B25" s="126">
        <v>160</v>
      </c>
      <c r="C25" s="8">
        <f>400*20%</f>
        <v>80</v>
      </c>
      <c r="D25" s="36">
        <f>B25-C25</f>
        <v>80</v>
      </c>
      <c r="E25" s="36">
        <f>D25*50%</f>
        <v>40</v>
      </c>
      <c r="F25" s="36">
        <f>D25-E25</f>
        <v>40</v>
      </c>
      <c r="G25" s="36">
        <f>F25+C25</f>
        <v>120</v>
      </c>
      <c r="H25" s="127">
        <v>0.89</v>
      </c>
      <c r="I25" s="36">
        <f t="shared" si="0"/>
        <v>106.8</v>
      </c>
      <c r="J25" s="127">
        <v>0.86</v>
      </c>
      <c r="K25" s="36">
        <f t="shared" ref="K25:K29" si="1">J25*G25</f>
        <v>103.2</v>
      </c>
    </row>
    <row r="26" spans="1:11" ht="16.5">
      <c r="A26" s="125">
        <v>2</v>
      </c>
      <c r="B26" s="126">
        <v>160</v>
      </c>
      <c r="C26" s="8">
        <f>C25*80%</f>
        <v>64</v>
      </c>
      <c r="D26" s="36">
        <f>B26-C26</f>
        <v>96</v>
      </c>
      <c r="E26" s="36">
        <f>D26*50%</f>
        <v>48</v>
      </c>
      <c r="F26" s="36">
        <f>D26-E26</f>
        <v>48</v>
      </c>
      <c r="G26" s="36">
        <f>F26+C26</f>
        <v>112</v>
      </c>
      <c r="H26" s="127">
        <v>0.8</v>
      </c>
      <c r="I26" s="36">
        <f t="shared" si="0"/>
        <v>89.600000000000009</v>
      </c>
      <c r="J26" s="127">
        <v>0.74</v>
      </c>
      <c r="K26" s="36">
        <f t="shared" si="1"/>
        <v>82.88</v>
      </c>
    </row>
    <row r="27" spans="1:11" ht="16.5">
      <c r="A27" s="125">
        <v>3</v>
      </c>
      <c r="B27" s="126">
        <v>180</v>
      </c>
      <c r="C27" s="8">
        <f>C26*80%</f>
        <v>51.2</v>
      </c>
      <c r="D27" s="36">
        <f>B27-C27</f>
        <v>128.80000000000001</v>
      </c>
      <c r="E27" s="36">
        <f>D27*50%</f>
        <v>64.400000000000006</v>
      </c>
      <c r="F27" s="36">
        <f>D27-E27</f>
        <v>64.400000000000006</v>
      </c>
      <c r="G27" s="36">
        <f>F27+C27</f>
        <v>115.60000000000001</v>
      </c>
      <c r="H27" s="127">
        <v>0.71</v>
      </c>
      <c r="I27" s="36">
        <f t="shared" si="0"/>
        <v>82.076000000000008</v>
      </c>
      <c r="J27" s="127">
        <v>0.64</v>
      </c>
      <c r="K27" s="36">
        <f t="shared" si="1"/>
        <v>73.984000000000009</v>
      </c>
    </row>
    <row r="28" spans="1:11" ht="16.5">
      <c r="A28" s="125">
        <v>4</v>
      </c>
      <c r="B28" s="10">
        <v>180</v>
      </c>
      <c r="C28" s="8">
        <f>C27*80%</f>
        <v>40.960000000000008</v>
      </c>
      <c r="D28" s="36">
        <f>B28-C28</f>
        <v>139.04</v>
      </c>
      <c r="E28" s="36">
        <f>D28*50%</f>
        <v>69.52</v>
      </c>
      <c r="F28" s="36">
        <f>D28-E28</f>
        <v>69.52</v>
      </c>
      <c r="G28" s="36">
        <f>F28+C28</f>
        <v>110.48</v>
      </c>
      <c r="H28" s="127">
        <v>0.64</v>
      </c>
      <c r="I28" s="36">
        <f t="shared" si="0"/>
        <v>70.7072</v>
      </c>
      <c r="J28" s="127">
        <v>0.55000000000000004</v>
      </c>
      <c r="K28" s="36">
        <f t="shared" si="1"/>
        <v>60.76400000000001</v>
      </c>
    </row>
    <row r="29" spans="1:11" ht="16.5">
      <c r="A29" s="125">
        <v>5</v>
      </c>
      <c r="B29" s="10">
        <v>150</v>
      </c>
      <c r="C29" s="8">
        <f>400-SUM(C25:C28)</f>
        <v>163.84</v>
      </c>
      <c r="D29" s="36">
        <f>B29-C29</f>
        <v>-13.840000000000003</v>
      </c>
      <c r="E29" s="36">
        <f>D29*50%</f>
        <v>-6.9200000000000017</v>
      </c>
      <c r="F29" s="36">
        <f>D29-E29</f>
        <v>-6.9200000000000017</v>
      </c>
      <c r="G29" s="36">
        <f>F29+C29</f>
        <v>156.92000000000002</v>
      </c>
      <c r="H29" s="127">
        <v>0.56999999999999995</v>
      </c>
      <c r="I29" s="36">
        <f t="shared" si="0"/>
        <v>89.444400000000002</v>
      </c>
      <c r="J29" s="127">
        <v>0.48</v>
      </c>
      <c r="K29" s="36">
        <f t="shared" si="1"/>
        <v>75.321600000000004</v>
      </c>
    </row>
    <row r="30" spans="1:11" ht="16.5">
      <c r="A30" s="125"/>
      <c r="B30" s="10"/>
      <c r="C30" s="8"/>
      <c r="D30" s="36"/>
      <c r="E30" s="36"/>
      <c r="F30" s="36"/>
      <c r="G30" s="36"/>
      <c r="H30" s="127"/>
      <c r="I30" s="36"/>
      <c r="J30" s="127"/>
      <c r="K30" s="36"/>
    </row>
    <row r="31" spans="1:11" s="16" customFormat="1">
      <c r="A31" s="11"/>
      <c r="B31" s="11"/>
      <c r="C31" s="11"/>
      <c r="D31" s="11"/>
      <c r="E31" s="11"/>
      <c r="F31" s="11"/>
      <c r="G31" s="11"/>
      <c r="H31" s="11"/>
      <c r="I31" s="68">
        <f>SUM(I24:I29)</f>
        <v>38.627600000000044</v>
      </c>
      <c r="J31" s="11"/>
      <c r="K31" s="68">
        <f>SUM(K24:K29)</f>
        <v>-3.8503999999999934</v>
      </c>
    </row>
    <row r="33" spans="3:11">
      <c r="C33" t="s">
        <v>21</v>
      </c>
      <c r="D33" t="s">
        <v>0</v>
      </c>
      <c r="E33" s="5">
        <f>I31</f>
        <v>38.627600000000044</v>
      </c>
    </row>
    <row r="35" spans="3:11" ht="17.25">
      <c r="C35" t="s">
        <v>95</v>
      </c>
      <c r="D35" t="s">
        <v>0</v>
      </c>
      <c r="E35" s="72">
        <v>0.12</v>
      </c>
      <c r="F35" s="6">
        <f>I31</f>
        <v>38.627600000000044</v>
      </c>
      <c r="G35">
        <f>F35/F36</f>
        <v>0.90935543104665972</v>
      </c>
      <c r="H35" s="104">
        <f>16%-12%</f>
        <v>4.0000000000000008E-2</v>
      </c>
      <c r="I35" s="103">
        <f>H35*G35</f>
        <v>3.6374217241866395E-2</v>
      </c>
      <c r="J35" s="104">
        <f>I35+E35</f>
        <v>0.1563742172418664</v>
      </c>
      <c r="K35" t="s">
        <v>52</v>
      </c>
    </row>
    <row r="36" spans="3:11">
      <c r="F36" s="5">
        <f>I31-K31</f>
        <v>42.478000000000037</v>
      </c>
    </row>
  </sheetData>
  <mergeCells count="1">
    <mergeCell ref="A1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34"/>
  <sheetViews>
    <sheetView topLeftCell="A18" workbookViewId="0">
      <selection activeCell="C35" sqref="C35"/>
    </sheetView>
  </sheetViews>
  <sheetFormatPr defaultRowHeight="15"/>
  <sheetData>
    <row r="2" spans="1:10" ht="16.5">
      <c r="A2" s="30" t="s">
        <v>145</v>
      </c>
      <c r="B2" s="3"/>
      <c r="C2" s="3"/>
      <c r="D2" s="3"/>
      <c r="E2" s="3"/>
      <c r="F2" s="3"/>
      <c r="G2" s="105"/>
      <c r="H2" s="3"/>
      <c r="I2" s="3"/>
      <c r="J2" s="3"/>
    </row>
    <row r="3" spans="1:10" ht="16.5">
      <c r="A3" s="31" t="s">
        <v>146</v>
      </c>
      <c r="B3" s="3"/>
      <c r="C3" s="3"/>
      <c r="D3" s="3"/>
      <c r="E3" s="3"/>
      <c r="F3" s="3"/>
      <c r="G3" s="105"/>
      <c r="H3" s="3"/>
      <c r="I3" s="3"/>
      <c r="J3" s="3"/>
    </row>
    <row r="4" spans="1:10" ht="16.5">
      <c r="A4" s="132" t="s">
        <v>160</v>
      </c>
      <c r="B4" s="3"/>
      <c r="C4" s="3"/>
      <c r="D4" s="3"/>
      <c r="E4" s="133">
        <v>60000</v>
      </c>
      <c r="F4" s="3"/>
      <c r="G4" s="105"/>
      <c r="H4" s="3"/>
      <c r="I4" s="3"/>
      <c r="J4" s="3"/>
    </row>
    <row r="5" spans="1:10" ht="16.5">
      <c r="A5" s="31" t="s">
        <v>161</v>
      </c>
      <c r="B5" s="3"/>
      <c r="C5" s="3"/>
      <c r="D5" s="3"/>
      <c r="E5" s="3">
        <v>4</v>
      </c>
      <c r="F5" s="3" t="s">
        <v>162</v>
      </c>
      <c r="G5" s="105"/>
      <c r="H5" s="3"/>
      <c r="I5" s="3"/>
      <c r="J5" s="3"/>
    </row>
    <row r="6" spans="1:10" ht="16.5">
      <c r="A6" s="31" t="s">
        <v>163</v>
      </c>
      <c r="B6" s="3"/>
      <c r="C6" s="3"/>
      <c r="D6" s="3"/>
      <c r="E6" s="134">
        <v>0.15</v>
      </c>
      <c r="F6" s="3"/>
      <c r="G6" s="105"/>
      <c r="H6" s="3"/>
      <c r="I6" s="3"/>
      <c r="J6" s="3"/>
    </row>
    <row r="7" spans="1:10" ht="16.5">
      <c r="A7" s="31" t="s">
        <v>164</v>
      </c>
      <c r="B7" s="3"/>
      <c r="C7" s="3"/>
      <c r="D7" s="3"/>
      <c r="E7" s="3">
        <v>1.0640000000000001</v>
      </c>
      <c r="F7" s="3"/>
      <c r="G7" s="105"/>
      <c r="H7" s="3"/>
      <c r="I7" s="3"/>
      <c r="J7" s="3"/>
    </row>
    <row r="8" spans="1:10" ht="16.5">
      <c r="A8" s="31" t="s">
        <v>165</v>
      </c>
      <c r="B8" s="3"/>
      <c r="C8" s="3"/>
      <c r="D8" s="3"/>
      <c r="E8" s="3">
        <v>0</v>
      </c>
      <c r="F8" s="3"/>
      <c r="G8" s="3"/>
      <c r="H8" s="3"/>
      <c r="I8" s="3"/>
      <c r="J8" s="3"/>
    </row>
    <row r="9" spans="1:10" ht="16.5">
      <c r="A9" s="31" t="s">
        <v>147</v>
      </c>
      <c r="B9" s="3"/>
      <c r="C9" s="3"/>
      <c r="D9" s="3"/>
      <c r="E9" s="3"/>
      <c r="F9" s="3"/>
      <c r="G9" s="3"/>
      <c r="H9" s="3"/>
      <c r="I9" s="3"/>
      <c r="J9" s="3"/>
    </row>
    <row r="10" spans="1:10" ht="16.5">
      <c r="A10" s="31" t="s">
        <v>148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6.5">
      <c r="A11" s="31" t="s">
        <v>149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16.5">
      <c r="A12" s="31" t="s">
        <v>150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16.5">
      <c r="A13" s="31" t="s">
        <v>151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6.5">
      <c r="A14" s="31" t="s">
        <v>152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6.5" customHeight="1">
      <c r="A15" s="117" t="s">
        <v>153</v>
      </c>
      <c r="B15" s="117" t="s">
        <v>154</v>
      </c>
      <c r="C15" s="117" t="s">
        <v>136</v>
      </c>
      <c r="D15" s="117" t="s">
        <v>155</v>
      </c>
      <c r="E15" s="117" t="s">
        <v>135</v>
      </c>
      <c r="F15" s="118"/>
    </row>
    <row r="16" spans="1:10" ht="16.5">
      <c r="A16" s="128" t="s">
        <v>156</v>
      </c>
      <c r="B16" s="49">
        <v>0.86899999999999999</v>
      </c>
      <c r="C16" s="49">
        <v>0.877</v>
      </c>
      <c r="D16" s="49">
        <v>0.88500000000000001</v>
      </c>
      <c r="E16" s="49">
        <v>0.89300000000000002</v>
      </c>
      <c r="F16" s="129">
        <v>60000</v>
      </c>
      <c r="G16">
        <f>F16*E16</f>
        <v>53580</v>
      </c>
    </row>
    <row r="17" spans="1:7" ht="16.5">
      <c r="A17" s="130" t="s">
        <v>157</v>
      </c>
      <c r="B17" s="50">
        <v>0.75600000000000001</v>
      </c>
      <c r="C17" s="50">
        <v>0.76900000000000002</v>
      </c>
      <c r="D17" s="50">
        <v>0.78300000000000003</v>
      </c>
      <c r="E17" s="50">
        <v>0.79700000000000004</v>
      </c>
      <c r="F17" s="129">
        <v>60000</v>
      </c>
      <c r="G17">
        <f>F17*E17</f>
        <v>47820</v>
      </c>
    </row>
    <row r="18" spans="1:7" ht="16.5">
      <c r="A18" s="130" t="s">
        <v>158</v>
      </c>
      <c r="B18" s="50">
        <v>0.65800000000000003</v>
      </c>
      <c r="C18" s="50">
        <v>0.67500000000000004</v>
      </c>
      <c r="D18" s="50">
        <v>0.69299999999999995</v>
      </c>
      <c r="E18" s="50">
        <v>0.71199999999999997</v>
      </c>
      <c r="F18" s="129">
        <v>60000</v>
      </c>
      <c r="G18">
        <f>F18*E18</f>
        <v>42720</v>
      </c>
    </row>
    <row r="19" spans="1:7" ht="16.5">
      <c r="A19" s="131" t="s">
        <v>159</v>
      </c>
      <c r="B19" s="51">
        <v>0.57199999999999995</v>
      </c>
      <c r="C19" s="51">
        <v>0.59199999999999997</v>
      </c>
      <c r="D19" s="51">
        <v>0.61299999999999999</v>
      </c>
      <c r="E19" s="51">
        <v>0.63600000000000001</v>
      </c>
      <c r="F19" s="129">
        <v>60000</v>
      </c>
      <c r="G19">
        <f>F19*E19</f>
        <v>38160</v>
      </c>
    </row>
    <row r="20" spans="1:7">
      <c r="B20" s="135">
        <f>SUM(B16:B19)</f>
        <v>2.855</v>
      </c>
      <c r="G20">
        <f>SUM(G16:G19)</f>
        <v>182280</v>
      </c>
    </row>
    <row r="22" spans="1:7" ht="16.5">
      <c r="A22" s="31" t="s">
        <v>148</v>
      </c>
      <c r="C22" t="s">
        <v>0</v>
      </c>
      <c r="D22" t="s">
        <v>95</v>
      </c>
      <c r="E22">
        <f>B20*E4</f>
        <v>171300</v>
      </c>
    </row>
    <row r="23" spans="1:7" ht="16.5">
      <c r="A23" s="31"/>
    </row>
    <row r="24" spans="1:7" ht="16.5">
      <c r="A24" s="31" t="s">
        <v>149</v>
      </c>
      <c r="C24" t="s">
        <v>0</v>
      </c>
      <c r="E24">
        <f>E22/E4</f>
        <v>2.855</v>
      </c>
      <c r="F24" t="s">
        <v>94</v>
      </c>
    </row>
    <row r="25" spans="1:7" ht="16.5">
      <c r="A25" s="31"/>
    </row>
    <row r="26" spans="1:7" ht="16.5">
      <c r="A26" s="31"/>
    </row>
    <row r="27" spans="1:7" ht="16.5">
      <c r="A27" s="31" t="s">
        <v>150</v>
      </c>
      <c r="C27" t="s">
        <v>0</v>
      </c>
      <c r="D27" s="72">
        <v>0.12</v>
      </c>
    </row>
    <row r="28" spans="1:7" ht="16.5">
      <c r="A28" s="31"/>
    </row>
    <row r="29" spans="1:7" ht="16.5">
      <c r="A29" s="31" t="s">
        <v>151</v>
      </c>
      <c r="E29">
        <f>(E22*E7)</f>
        <v>182263.2</v>
      </c>
      <c r="F29">
        <f>E22</f>
        <v>171300</v>
      </c>
      <c r="G29">
        <f>E29-F29</f>
        <v>10963.200000000012</v>
      </c>
    </row>
    <row r="32" spans="1:7">
      <c r="B32" t="s">
        <v>166</v>
      </c>
      <c r="C32" t="s">
        <v>167</v>
      </c>
    </row>
    <row r="33" spans="3:3">
      <c r="C33">
        <v>19</v>
      </c>
    </row>
    <row r="34" spans="3:3">
      <c r="C34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75"/>
  <sheetViews>
    <sheetView topLeftCell="A56" workbookViewId="0">
      <selection activeCell="B72" sqref="B72:G75"/>
    </sheetView>
  </sheetViews>
  <sheetFormatPr defaultRowHeight="15"/>
  <cols>
    <col min="1" max="1" width="9.140625" customWidth="1"/>
    <col min="2" max="2" width="19.7109375" customWidth="1"/>
    <col min="3" max="4" width="13.28515625" bestFit="1" customWidth="1"/>
    <col min="5" max="6" width="11.5703125" bestFit="1" customWidth="1"/>
    <col min="7" max="7" width="14" bestFit="1" customWidth="1"/>
    <col min="9" max="9" width="14" bestFit="1" customWidth="1"/>
    <col min="11" max="11" width="14" bestFit="1" customWidth="1"/>
    <col min="12" max="12" width="13.28515625" bestFit="1" customWidth="1"/>
  </cols>
  <sheetData>
    <row r="2" spans="1:7" ht="16.5">
      <c r="A2" s="30" t="s">
        <v>65</v>
      </c>
      <c r="B2" s="3"/>
      <c r="C2" s="3"/>
      <c r="D2" s="3"/>
      <c r="E2" s="3"/>
      <c r="F2" s="3"/>
      <c r="G2" s="3"/>
    </row>
    <row r="3" spans="1:7" ht="16.5">
      <c r="A3" s="32" t="s">
        <v>77</v>
      </c>
      <c r="B3" s="3"/>
      <c r="C3" s="3"/>
      <c r="D3" s="3"/>
      <c r="E3" s="3"/>
      <c r="F3" s="3"/>
      <c r="G3" s="3"/>
    </row>
    <row r="4" spans="1:7">
      <c r="A4" s="3" t="s">
        <v>78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 ht="16.5" customHeight="1">
      <c r="A6" s="62"/>
      <c r="B6" s="63"/>
      <c r="C6" s="63" t="s">
        <v>86</v>
      </c>
      <c r="D6" s="63" t="s">
        <v>54</v>
      </c>
      <c r="E6" s="65"/>
      <c r="F6" s="65"/>
      <c r="G6" s="65"/>
    </row>
    <row r="7" spans="1:7" ht="16.5" customHeight="1">
      <c r="A7" s="38" t="s">
        <v>66</v>
      </c>
      <c r="B7" s="63"/>
      <c r="C7" s="66">
        <v>1000000</v>
      </c>
      <c r="D7" s="66">
        <v>1500000</v>
      </c>
      <c r="E7" s="65"/>
      <c r="F7" s="65"/>
      <c r="G7" s="65"/>
    </row>
    <row r="8" spans="1:7" ht="16.5" customHeight="1">
      <c r="A8" s="64" t="s">
        <v>67</v>
      </c>
      <c r="B8" s="63"/>
      <c r="C8" s="67" t="s">
        <v>87</v>
      </c>
      <c r="D8" s="67" t="s">
        <v>88</v>
      </c>
      <c r="E8" s="65"/>
      <c r="F8" s="65"/>
      <c r="G8" s="65"/>
    </row>
    <row r="9" spans="1:7" ht="16.5" customHeight="1">
      <c r="A9" s="64" t="s">
        <v>68</v>
      </c>
      <c r="B9" s="63"/>
      <c r="C9" s="66">
        <v>345000</v>
      </c>
      <c r="D9" s="66">
        <v>455000</v>
      </c>
      <c r="E9" s="65"/>
      <c r="F9" s="65"/>
      <c r="G9" s="65"/>
    </row>
    <row r="10" spans="1:7" ht="16.5">
      <c r="A10" s="31" t="s">
        <v>69</v>
      </c>
      <c r="B10" s="3"/>
      <c r="C10" s="3"/>
      <c r="D10" s="3"/>
      <c r="E10" s="3"/>
      <c r="F10" s="3"/>
      <c r="G10" s="3"/>
    </row>
    <row r="11" spans="1:7" ht="16.5">
      <c r="A11" s="31" t="s">
        <v>70</v>
      </c>
      <c r="B11" s="3"/>
      <c r="C11" s="3"/>
      <c r="D11" s="3"/>
      <c r="E11" s="3"/>
      <c r="F11" s="3"/>
      <c r="G11" s="3"/>
    </row>
    <row r="12" spans="1:7" ht="16.5">
      <c r="A12" s="45" t="s">
        <v>82</v>
      </c>
      <c r="B12" s="3"/>
      <c r="C12" s="3"/>
      <c r="D12" s="3"/>
      <c r="E12" s="3"/>
      <c r="F12" s="3"/>
      <c r="G12" s="3"/>
    </row>
    <row r="13" spans="1:7">
      <c r="A13" s="56" t="s">
        <v>81</v>
      </c>
      <c r="B13" s="3" t="s">
        <v>83</v>
      </c>
      <c r="C13" s="3"/>
      <c r="D13" s="3"/>
      <c r="E13" s="3"/>
      <c r="F13" s="3"/>
      <c r="G13" s="3"/>
    </row>
    <row r="14" spans="1:7">
      <c r="A14" s="56" t="s">
        <v>80</v>
      </c>
      <c r="B14" s="3" t="s">
        <v>84</v>
      </c>
      <c r="C14" s="3"/>
      <c r="D14" s="3"/>
      <c r="E14" s="3"/>
      <c r="F14" s="3"/>
      <c r="G14" s="3"/>
    </row>
    <row r="15" spans="1:7">
      <c r="A15" s="56" t="s">
        <v>79</v>
      </c>
      <c r="B15" s="3" t="s">
        <v>85</v>
      </c>
      <c r="C15" s="3"/>
      <c r="D15" s="3"/>
      <c r="E15" s="3"/>
      <c r="F15" s="3"/>
      <c r="G15" s="3"/>
    </row>
    <row r="16" spans="1:7" ht="16.5">
      <c r="A16" s="3" t="s">
        <v>71</v>
      </c>
      <c r="B16" s="3"/>
      <c r="C16" s="3"/>
      <c r="D16" s="3"/>
      <c r="E16" s="3"/>
      <c r="F16" s="3"/>
      <c r="G16" s="3"/>
    </row>
    <row r="17" spans="1:12" ht="16.5">
      <c r="A17" s="57" t="s">
        <v>10</v>
      </c>
      <c r="B17" s="52">
        <v>1</v>
      </c>
      <c r="C17" s="61">
        <v>2</v>
      </c>
      <c r="D17" s="61">
        <v>3</v>
      </c>
      <c r="E17" s="61">
        <v>4</v>
      </c>
      <c r="F17" s="61">
        <v>5</v>
      </c>
      <c r="G17" s="61">
        <v>6</v>
      </c>
    </row>
    <row r="18" spans="1:12" ht="15" customHeight="1">
      <c r="A18" s="58" t="s">
        <v>72</v>
      </c>
      <c r="B18" s="53">
        <v>0.89300000000000002</v>
      </c>
      <c r="C18" s="53">
        <v>0.79700000000000004</v>
      </c>
      <c r="D18" s="49">
        <v>0.71199999999999997</v>
      </c>
      <c r="E18" s="49">
        <v>0.63600000000000001</v>
      </c>
      <c r="F18" s="49">
        <v>0.56699999999999995</v>
      </c>
      <c r="G18" s="49">
        <v>0.50700000000000001</v>
      </c>
    </row>
    <row r="19" spans="1:12" ht="16.5">
      <c r="A19" s="59" t="s">
        <v>73</v>
      </c>
      <c r="B19" s="54">
        <v>0.88500000000000001</v>
      </c>
      <c r="C19" s="54">
        <v>0.78300000000000003</v>
      </c>
      <c r="D19" s="50">
        <v>0.69299999999999995</v>
      </c>
      <c r="E19" s="50">
        <v>0.61299999999999999</v>
      </c>
      <c r="F19" s="50">
        <v>0.54300000000000004</v>
      </c>
      <c r="G19" s="50">
        <v>0.48</v>
      </c>
    </row>
    <row r="20" spans="1:12" ht="16.5">
      <c r="A20" s="59" t="s">
        <v>74</v>
      </c>
      <c r="B20" s="54">
        <v>0.877</v>
      </c>
      <c r="C20" s="54">
        <v>0.76900000000000002</v>
      </c>
      <c r="D20" s="50">
        <v>0.67500000000000004</v>
      </c>
      <c r="E20" s="50">
        <v>0.59199999999999997</v>
      </c>
      <c r="F20" s="50">
        <v>0.51900000000000002</v>
      </c>
      <c r="G20" s="50">
        <v>0.45600000000000002</v>
      </c>
    </row>
    <row r="21" spans="1:12" ht="16.5">
      <c r="A21" s="59" t="s">
        <v>75</v>
      </c>
      <c r="B21" s="54">
        <v>0.87</v>
      </c>
      <c r="C21" s="54">
        <v>0.75600000000000001</v>
      </c>
      <c r="D21" s="50">
        <v>0.65800000000000003</v>
      </c>
      <c r="E21" s="50">
        <v>0.57199999999999995</v>
      </c>
      <c r="F21" s="50">
        <v>0.497</v>
      </c>
      <c r="G21" s="50">
        <v>0.432</v>
      </c>
    </row>
    <row r="22" spans="1:12" ht="16.5">
      <c r="A22" s="60" t="s">
        <v>76</v>
      </c>
      <c r="B22" s="55">
        <v>0.86199999999999999</v>
      </c>
      <c r="C22" s="55">
        <v>0.74299999999999999</v>
      </c>
      <c r="D22" s="51">
        <v>0.64100000000000001</v>
      </c>
      <c r="E22" s="51">
        <v>0.55200000000000005</v>
      </c>
      <c r="F22" s="51">
        <v>0.47599999999999998</v>
      </c>
      <c r="G22" s="51">
        <v>0.41</v>
      </c>
    </row>
    <row r="24" spans="1:12" ht="18.75">
      <c r="A24" s="148" t="s">
        <v>53</v>
      </c>
      <c r="B24" s="148"/>
      <c r="C24" s="148"/>
      <c r="D24" s="148"/>
      <c r="E24" s="148"/>
      <c r="F24" s="148"/>
      <c r="G24" s="148"/>
      <c r="H24" s="148"/>
      <c r="I24" s="148"/>
    </row>
    <row r="25" spans="1:12">
      <c r="A25" s="40" t="s">
        <v>12</v>
      </c>
      <c r="B25" s="41" t="s">
        <v>41</v>
      </c>
      <c r="C25" s="41" t="s">
        <v>42</v>
      </c>
      <c r="D25" s="41" t="s">
        <v>44</v>
      </c>
      <c r="E25" s="41" t="s">
        <v>43</v>
      </c>
      <c r="F25" s="41" t="s">
        <v>45</v>
      </c>
      <c r="G25" s="41" t="s">
        <v>90</v>
      </c>
      <c r="H25" s="41" t="s">
        <v>89</v>
      </c>
      <c r="I25" s="41" t="s">
        <v>115</v>
      </c>
      <c r="J25" s="41" t="s">
        <v>91</v>
      </c>
      <c r="K25" s="41" t="s">
        <v>115</v>
      </c>
    </row>
    <row r="26" spans="1:12">
      <c r="A26" s="8">
        <v>0</v>
      </c>
      <c r="B26" s="9"/>
      <c r="C26" s="9"/>
      <c r="D26" s="9"/>
      <c r="E26" s="9"/>
      <c r="F26" s="9"/>
      <c r="G26" s="9">
        <f>-C7</f>
        <v>-1000000</v>
      </c>
      <c r="H26" s="9">
        <v>1</v>
      </c>
      <c r="I26" s="36">
        <f t="shared" ref="I26:I31" si="0">G26*H26</f>
        <v>-1000000</v>
      </c>
      <c r="J26" s="9">
        <v>1</v>
      </c>
      <c r="K26" s="36">
        <f>G26*J26</f>
        <v>-1000000</v>
      </c>
    </row>
    <row r="27" spans="1:12" ht="16.5">
      <c r="A27" s="8">
        <v>1</v>
      </c>
      <c r="B27" s="9">
        <v>345000</v>
      </c>
      <c r="C27" s="37">
        <f>C7/5</f>
        <v>200000</v>
      </c>
      <c r="D27" s="9">
        <f>B27-C27</f>
        <v>145000</v>
      </c>
      <c r="E27" s="9">
        <f>D27*30%</f>
        <v>43500</v>
      </c>
      <c r="F27" s="9">
        <f>D27-E27</f>
        <v>101500</v>
      </c>
      <c r="G27" s="9">
        <f>F27+C27</f>
        <v>301500</v>
      </c>
      <c r="H27" s="38">
        <v>0.89300000000000002</v>
      </c>
      <c r="I27" s="36">
        <f t="shared" si="0"/>
        <v>269239.5</v>
      </c>
      <c r="J27" s="69">
        <f>B22</f>
        <v>0.86199999999999999</v>
      </c>
      <c r="K27" s="36">
        <f t="shared" ref="K27:K31" si="1">G27*J27</f>
        <v>259893</v>
      </c>
    </row>
    <row r="28" spans="1:12" ht="16.5">
      <c r="A28" s="8">
        <v>2</v>
      </c>
      <c r="B28" s="9">
        <f>B27</f>
        <v>345000</v>
      </c>
      <c r="C28" s="9">
        <f>C27</f>
        <v>200000</v>
      </c>
      <c r="D28" s="9">
        <f>B28-C28</f>
        <v>145000</v>
      </c>
      <c r="E28" s="9">
        <f t="shared" ref="E28:E31" si="2">D28*30%</f>
        <v>43500</v>
      </c>
      <c r="F28" s="9">
        <f t="shared" ref="F28:F31" si="3">D28-E28</f>
        <v>101500</v>
      </c>
      <c r="G28" s="9">
        <f t="shared" ref="G28:G31" si="4">F28+C28</f>
        <v>301500</v>
      </c>
      <c r="H28" s="38">
        <v>0.79700000000000004</v>
      </c>
      <c r="I28" s="36">
        <f t="shared" si="0"/>
        <v>240295.5</v>
      </c>
      <c r="J28" s="69">
        <f>C22</f>
        <v>0.74299999999999999</v>
      </c>
      <c r="K28" s="36">
        <f t="shared" si="1"/>
        <v>224014.5</v>
      </c>
    </row>
    <row r="29" spans="1:12" ht="16.5">
      <c r="A29" s="8">
        <v>3</v>
      </c>
      <c r="B29" s="9">
        <f t="shared" ref="B29:B31" si="5">B28</f>
        <v>345000</v>
      </c>
      <c r="C29" s="9">
        <f t="shared" ref="C29:C31" si="6">C28</f>
        <v>200000</v>
      </c>
      <c r="D29" s="9">
        <f>B29-C29</f>
        <v>145000</v>
      </c>
      <c r="E29" s="9">
        <f t="shared" si="2"/>
        <v>43500</v>
      </c>
      <c r="F29" s="9">
        <f t="shared" si="3"/>
        <v>101500</v>
      </c>
      <c r="G29" s="9">
        <f t="shared" si="4"/>
        <v>301500</v>
      </c>
      <c r="H29" s="38">
        <v>0.71199999999999997</v>
      </c>
      <c r="I29" s="36">
        <f t="shared" si="0"/>
        <v>214668</v>
      </c>
      <c r="J29" s="69">
        <f>D22</f>
        <v>0.64100000000000001</v>
      </c>
      <c r="K29" s="36">
        <f t="shared" si="1"/>
        <v>193261.5</v>
      </c>
    </row>
    <row r="30" spans="1:12" ht="16.5">
      <c r="A30" s="8">
        <v>4</v>
      </c>
      <c r="B30" s="9">
        <f t="shared" si="5"/>
        <v>345000</v>
      </c>
      <c r="C30" s="9">
        <f t="shared" si="6"/>
        <v>200000</v>
      </c>
      <c r="D30" s="9">
        <f>B30-C30</f>
        <v>145000</v>
      </c>
      <c r="E30" s="9">
        <f t="shared" si="2"/>
        <v>43500</v>
      </c>
      <c r="F30" s="9">
        <f t="shared" si="3"/>
        <v>101500</v>
      </c>
      <c r="G30" s="9">
        <f t="shared" si="4"/>
        <v>301500</v>
      </c>
      <c r="H30" s="38">
        <v>0.63600000000000001</v>
      </c>
      <c r="I30" s="36">
        <f t="shared" si="0"/>
        <v>191754</v>
      </c>
      <c r="J30" s="69">
        <f>E22</f>
        <v>0.55200000000000005</v>
      </c>
      <c r="K30" s="36">
        <f t="shared" si="1"/>
        <v>166428</v>
      </c>
      <c r="L30" s="5">
        <f>I30+I29+I28+I27</f>
        <v>915957</v>
      </c>
    </row>
    <row r="31" spans="1:12" ht="16.5">
      <c r="A31" s="8">
        <v>5</v>
      </c>
      <c r="B31" s="9">
        <f t="shared" si="5"/>
        <v>345000</v>
      </c>
      <c r="C31" s="9">
        <f t="shared" si="6"/>
        <v>200000</v>
      </c>
      <c r="D31" s="9">
        <f>B31-C31</f>
        <v>145000</v>
      </c>
      <c r="E31" s="9">
        <f t="shared" si="2"/>
        <v>43500</v>
      </c>
      <c r="F31" s="9">
        <f t="shared" si="3"/>
        <v>101500</v>
      </c>
      <c r="G31" s="9">
        <f t="shared" si="4"/>
        <v>301500</v>
      </c>
      <c r="H31" s="38">
        <v>0.56699999999999995</v>
      </c>
      <c r="I31" s="36">
        <f t="shared" si="0"/>
        <v>170950.49999999997</v>
      </c>
      <c r="J31" s="69">
        <f>F22</f>
        <v>0.47599999999999998</v>
      </c>
      <c r="K31" s="36">
        <f t="shared" si="1"/>
        <v>143514</v>
      </c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2">
      <c r="A33" s="8"/>
      <c r="B33" s="8"/>
      <c r="C33" s="8"/>
      <c r="D33" s="8"/>
      <c r="E33" s="8"/>
      <c r="F33" s="8"/>
      <c r="G33" s="149" t="s">
        <v>21</v>
      </c>
      <c r="H33" s="150"/>
      <c r="I33" s="68">
        <f>SUM(I26:I32)</f>
        <v>86907.499999999971</v>
      </c>
      <c r="J33" s="8"/>
      <c r="K33" s="68">
        <f>SUM(K26:K32)</f>
        <v>-12889</v>
      </c>
    </row>
    <row r="35" spans="1:12" ht="18.75">
      <c r="A35" s="148" t="s">
        <v>54</v>
      </c>
      <c r="B35" s="148"/>
      <c r="C35" s="148"/>
      <c r="D35" s="148"/>
      <c r="E35" s="148"/>
      <c r="F35" s="148"/>
      <c r="G35" s="148"/>
      <c r="H35" s="148"/>
      <c r="I35" s="148"/>
    </row>
    <row r="36" spans="1:12">
      <c r="A36" s="40" t="s">
        <v>12</v>
      </c>
      <c r="B36" s="41" t="s">
        <v>41</v>
      </c>
      <c r="C36" s="41" t="s">
        <v>42</v>
      </c>
      <c r="D36" s="41" t="s">
        <v>44</v>
      </c>
      <c r="E36" s="41" t="s">
        <v>43</v>
      </c>
      <c r="F36" s="41" t="s">
        <v>45</v>
      </c>
      <c r="G36" s="41" t="s">
        <v>90</v>
      </c>
      <c r="H36" s="41" t="s">
        <v>89</v>
      </c>
      <c r="I36" s="41" t="s">
        <v>115</v>
      </c>
      <c r="J36" s="41" t="s">
        <v>91</v>
      </c>
      <c r="K36" s="41" t="s">
        <v>115</v>
      </c>
    </row>
    <row r="37" spans="1:12">
      <c r="A37" s="8">
        <v>0</v>
      </c>
      <c r="B37" s="9"/>
      <c r="C37" s="9"/>
      <c r="D37" s="9"/>
      <c r="E37" s="9"/>
      <c r="F37" s="9"/>
      <c r="G37" s="9">
        <f>-D7</f>
        <v>-1500000</v>
      </c>
      <c r="H37" s="9">
        <v>1</v>
      </c>
      <c r="I37" s="36">
        <f t="shared" ref="I37:I43" si="7">G37*H37</f>
        <v>-1500000</v>
      </c>
      <c r="J37" s="9">
        <v>1</v>
      </c>
      <c r="K37" s="36">
        <f>G37*J37</f>
        <v>-1500000</v>
      </c>
    </row>
    <row r="38" spans="1:12" ht="16.5">
      <c r="A38" s="8">
        <v>1</v>
      </c>
      <c r="B38" s="9">
        <f>D9</f>
        <v>455000</v>
      </c>
      <c r="C38" s="37">
        <f>D7/6</f>
        <v>250000</v>
      </c>
      <c r="D38" s="9">
        <f t="shared" ref="D38:D43" si="8">B38-C38</f>
        <v>205000</v>
      </c>
      <c r="E38" s="9">
        <f>D38*30%</f>
        <v>61500</v>
      </c>
      <c r="F38" s="9">
        <f>D38-E38</f>
        <v>143500</v>
      </c>
      <c r="G38" s="9">
        <f>F38+C38</f>
        <v>393500</v>
      </c>
      <c r="H38" s="38">
        <v>0.89300000000000002</v>
      </c>
      <c r="I38" s="36">
        <f t="shared" si="7"/>
        <v>351395.5</v>
      </c>
      <c r="J38" s="69">
        <f>B22</f>
        <v>0.86199999999999999</v>
      </c>
      <c r="K38" s="36">
        <f t="shared" ref="K38:K43" si="9">G38*J38</f>
        <v>339197</v>
      </c>
    </row>
    <row r="39" spans="1:12" ht="16.5">
      <c r="A39" s="8">
        <v>2</v>
      </c>
      <c r="B39" s="9">
        <f>B38</f>
        <v>455000</v>
      </c>
      <c r="C39" s="9">
        <f>C38</f>
        <v>250000</v>
      </c>
      <c r="D39" s="9">
        <f t="shared" si="8"/>
        <v>205000</v>
      </c>
      <c r="E39" s="9">
        <f t="shared" ref="E39:E43" si="10">D39*30%</f>
        <v>61500</v>
      </c>
      <c r="F39" s="9">
        <f t="shared" ref="F39:F43" si="11">D39-E39</f>
        <v>143500</v>
      </c>
      <c r="G39" s="9">
        <f t="shared" ref="G39:G43" si="12">F39+C39</f>
        <v>393500</v>
      </c>
      <c r="H39" s="38">
        <v>0.79700000000000004</v>
      </c>
      <c r="I39" s="36">
        <f t="shared" si="7"/>
        <v>313619.5</v>
      </c>
      <c r="J39" s="69">
        <f>C22</f>
        <v>0.74299999999999999</v>
      </c>
      <c r="K39" s="36">
        <f t="shared" si="9"/>
        <v>292370.5</v>
      </c>
    </row>
    <row r="40" spans="1:12" ht="16.5">
      <c r="A40" s="8">
        <v>3</v>
      </c>
      <c r="B40" s="9">
        <f t="shared" ref="B40:B43" si="13">B39</f>
        <v>455000</v>
      </c>
      <c r="C40" s="9">
        <f t="shared" ref="C40:C43" si="14">C39</f>
        <v>250000</v>
      </c>
      <c r="D40" s="9">
        <f t="shared" si="8"/>
        <v>205000</v>
      </c>
      <c r="E40" s="9">
        <f t="shared" si="10"/>
        <v>61500</v>
      </c>
      <c r="F40" s="9">
        <f t="shared" si="11"/>
        <v>143500</v>
      </c>
      <c r="G40" s="9">
        <f t="shared" si="12"/>
        <v>393500</v>
      </c>
      <c r="H40" s="38">
        <v>0.71199999999999997</v>
      </c>
      <c r="I40" s="36">
        <f t="shared" si="7"/>
        <v>280172</v>
      </c>
      <c r="J40" s="69">
        <f>D22</f>
        <v>0.64100000000000001</v>
      </c>
      <c r="K40" s="36">
        <f t="shared" si="9"/>
        <v>252233.5</v>
      </c>
    </row>
    <row r="41" spans="1:12" ht="16.5">
      <c r="A41" s="8">
        <v>4</v>
      </c>
      <c r="B41" s="9">
        <f t="shared" si="13"/>
        <v>455000</v>
      </c>
      <c r="C41" s="9">
        <f t="shared" si="14"/>
        <v>250000</v>
      </c>
      <c r="D41" s="9">
        <f t="shared" si="8"/>
        <v>205000</v>
      </c>
      <c r="E41" s="9">
        <f t="shared" si="10"/>
        <v>61500</v>
      </c>
      <c r="F41" s="9">
        <f t="shared" si="11"/>
        <v>143500</v>
      </c>
      <c r="G41" s="9">
        <f t="shared" si="12"/>
        <v>393500</v>
      </c>
      <c r="H41" s="38">
        <v>0.63600000000000001</v>
      </c>
      <c r="I41" s="36">
        <f t="shared" si="7"/>
        <v>250266</v>
      </c>
      <c r="J41" s="69">
        <f>E22</f>
        <v>0.55200000000000005</v>
      </c>
      <c r="K41" s="36">
        <f t="shared" si="9"/>
        <v>217212.00000000003</v>
      </c>
    </row>
    <row r="42" spans="1:12" ht="16.5">
      <c r="A42" s="8">
        <v>5</v>
      </c>
      <c r="B42" s="9">
        <f t="shared" si="13"/>
        <v>455000</v>
      </c>
      <c r="C42" s="9">
        <f t="shared" si="14"/>
        <v>250000</v>
      </c>
      <c r="D42" s="9">
        <f t="shared" si="8"/>
        <v>205000</v>
      </c>
      <c r="E42" s="9">
        <f t="shared" si="10"/>
        <v>61500</v>
      </c>
      <c r="F42" s="9">
        <f t="shared" si="11"/>
        <v>143500</v>
      </c>
      <c r="G42" s="9">
        <f t="shared" si="12"/>
        <v>393500</v>
      </c>
      <c r="H42" s="38">
        <v>0.56699999999999995</v>
      </c>
      <c r="I42" s="36">
        <f t="shared" si="7"/>
        <v>223114.49999999997</v>
      </c>
      <c r="J42" s="69">
        <f>F22</f>
        <v>0.47599999999999998</v>
      </c>
      <c r="K42" s="36">
        <f t="shared" si="9"/>
        <v>187306</v>
      </c>
      <c r="L42" s="5">
        <f>I42+I41+I40+I39+I38</f>
        <v>1418567.5</v>
      </c>
    </row>
    <row r="43" spans="1:12" ht="16.5">
      <c r="A43" s="8">
        <v>6</v>
      </c>
      <c r="B43" s="9">
        <f t="shared" si="13"/>
        <v>455000</v>
      </c>
      <c r="C43" s="9">
        <f t="shared" si="14"/>
        <v>250000</v>
      </c>
      <c r="D43" s="9">
        <f t="shared" si="8"/>
        <v>205000</v>
      </c>
      <c r="E43" s="9">
        <f t="shared" si="10"/>
        <v>61500</v>
      </c>
      <c r="F43" s="9">
        <f t="shared" si="11"/>
        <v>143500</v>
      </c>
      <c r="G43" s="9">
        <f t="shared" si="12"/>
        <v>393500</v>
      </c>
      <c r="H43" s="38">
        <v>0.50700000000000001</v>
      </c>
      <c r="I43" s="36">
        <f t="shared" si="7"/>
        <v>199504.5</v>
      </c>
      <c r="J43" s="70">
        <f>G22</f>
        <v>0.41</v>
      </c>
      <c r="K43" s="36">
        <f t="shared" si="9"/>
        <v>161335</v>
      </c>
    </row>
    <row r="44" spans="1:12" ht="16.5">
      <c r="A44" s="8"/>
      <c r="B44" s="9"/>
      <c r="C44" s="9"/>
      <c r="D44" s="9"/>
      <c r="E44" s="9"/>
      <c r="F44" s="9"/>
      <c r="G44" s="9"/>
      <c r="H44" s="38"/>
      <c r="I44" s="36"/>
      <c r="J44" s="8"/>
      <c r="K44" s="68"/>
    </row>
    <row r="45" spans="1:12">
      <c r="A45" s="8"/>
      <c r="B45" s="8"/>
      <c r="C45" s="8"/>
      <c r="D45" s="8"/>
      <c r="E45" s="8"/>
      <c r="F45" s="8"/>
      <c r="G45" s="149" t="s">
        <v>21</v>
      </c>
      <c r="H45" s="150"/>
      <c r="I45" s="68">
        <f>SUM(I37:I43)</f>
        <v>118071.99999999997</v>
      </c>
      <c r="J45" s="8"/>
      <c r="K45" s="68">
        <f>SUM(K37:K43)</f>
        <v>-50346</v>
      </c>
    </row>
    <row r="47" spans="1:12">
      <c r="A47" s="56" t="s">
        <v>81</v>
      </c>
      <c r="B47" s="71" t="s">
        <v>92</v>
      </c>
    </row>
    <row r="49" spans="1:8">
      <c r="B49" s="16" t="s">
        <v>55</v>
      </c>
      <c r="D49" s="145" t="s">
        <v>93</v>
      </c>
      <c r="E49" s="12">
        <f>1000000-915957</f>
        <v>84043</v>
      </c>
      <c r="F49" s="146">
        <f>E49/E50</f>
        <v>0.49162184375009138</v>
      </c>
      <c r="G49" s="147">
        <f>4.49</f>
        <v>4.49</v>
      </c>
      <c r="H49" s="147" t="s">
        <v>94</v>
      </c>
    </row>
    <row r="50" spans="1:8">
      <c r="A50" s="56"/>
      <c r="B50" s="3"/>
      <c r="D50" s="145"/>
      <c r="E50" s="4">
        <v>170950.5</v>
      </c>
      <c r="F50" s="146"/>
      <c r="G50" s="147"/>
      <c r="H50" s="147"/>
    </row>
    <row r="51" spans="1:8">
      <c r="A51" s="56"/>
      <c r="B51" s="3"/>
    </row>
    <row r="52" spans="1:8">
      <c r="A52" s="56"/>
      <c r="B52" s="16" t="s">
        <v>56</v>
      </c>
      <c r="D52" s="145" t="s">
        <v>87</v>
      </c>
      <c r="E52" s="12">
        <f>1500000-1418567.5</f>
        <v>81432.5</v>
      </c>
      <c r="F52" s="146">
        <f>E52/E53</f>
        <v>0.40817375046678145</v>
      </c>
      <c r="G52" s="147">
        <f>5.41</f>
        <v>5.41</v>
      </c>
      <c r="H52" s="147" t="s">
        <v>94</v>
      </c>
    </row>
    <row r="53" spans="1:8">
      <c r="A53" s="56"/>
      <c r="B53" s="3"/>
      <c r="D53" s="145"/>
      <c r="E53" s="4">
        <f>I43</f>
        <v>199504.5</v>
      </c>
      <c r="F53" s="146"/>
      <c r="G53" s="147"/>
      <c r="H53" s="147"/>
    </row>
    <row r="54" spans="1:8">
      <c r="A54" s="56"/>
      <c r="B54" s="3"/>
    </row>
    <row r="55" spans="1:8">
      <c r="A55" s="56"/>
      <c r="B55" s="3"/>
    </row>
    <row r="56" spans="1:8">
      <c r="A56" s="56"/>
      <c r="B56" s="3"/>
    </row>
    <row r="57" spans="1:8">
      <c r="A57" s="56"/>
      <c r="B57" s="3"/>
    </row>
    <row r="58" spans="1:8">
      <c r="A58" s="56" t="s">
        <v>80</v>
      </c>
      <c r="B58" s="71" t="s">
        <v>84</v>
      </c>
    </row>
    <row r="59" spans="1:8">
      <c r="A59" s="56"/>
      <c r="B59" s="3"/>
    </row>
    <row r="60" spans="1:8">
      <c r="A60" s="56"/>
      <c r="B60" s="16" t="s">
        <v>55</v>
      </c>
      <c r="C60" t="s">
        <v>0</v>
      </c>
      <c r="D60" s="5">
        <f>I33</f>
        <v>86907.499999999971</v>
      </c>
    </row>
    <row r="61" spans="1:8">
      <c r="A61" s="56"/>
      <c r="B61" s="16" t="s">
        <v>56</v>
      </c>
      <c r="C61" t="s">
        <v>0</v>
      </c>
      <c r="D61" s="5">
        <f>I45</f>
        <v>118071.99999999997</v>
      </c>
    </row>
    <row r="62" spans="1:8">
      <c r="A62" s="56"/>
      <c r="B62" s="3"/>
    </row>
    <row r="63" spans="1:8">
      <c r="A63" s="56" t="s">
        <v>79</v>
      </c>
      <c r="B63" s="71" t="s">
        <v>85</v>
      </c>
    </row>
    <row r="64" spans="1:8">
      <c r="A64" s="56"/>
      <c r="B64" s="71"/>
    </row>
    <row r="65" spans="2:9" ht="17.25">
      <c r="B65" s="16" t="s">
        <v>55</v>
      </c>
      <c r="E65" s="72">
        <v>0.12</v>
      </c>
      <c r="F65" s="6">
        <f>I33</f>
        <v>86907.499999999971</v>
      </c>
      <c r="G65" s="143">
        <f>F65/F66</f>
        <v>0.87084717399908806</v>
      </c>
      <c r="H65" s="142">
        <f>G65*4/100</f>
        <v>3.483388695996352E-2</v>
      </c>
      <c r="I65" s="142">
        <f>H65+E65</f>
        <v>0.15483388695996353</v>
      </c>
    </row>
    <row r="66" spans="2:9">
      <c r="F66" s="5">
        <f>I33-K33</f>
        <v>99796.499999999971</v>
      </c>
      <c r="G66" s="143"/>
      <c r="H66" s="142"/>
      <c r="I66" s="142"/>
    </row>
    <row r="68" spans="2:9" ht="17.25">
      <c r="B68" s="16" t="s">
        <v>56</v>
      </c>
      <c r="E68" s="72">
        <v>0.12</v>
      </c>
      <c r="F68" s="6">
        <f>I45</f>
        <v>118071.99999999997</v>
      </c>
      <c r="G68" s="143">
        <f>F68/F69</f>
        <v>0.70106520680687334</v>
      </c>
      <c r="H68" s="144">
        <f>G68*4/100</f>
        <v>2.8042608272274935E-2</v>
      </c>
      <c r="I68" s="142">
        <f>H68+E68</f>
        <v>0.14804260827227494</v>
      </c>
    </row>
    <row r="69" spans="2:9">
      <c r="F69" s="5">
        <f>I45-K45</f>
        <v>168417.99999999997</v>
      </c>
      <c r="G69" s="143"/>
      <c r="H69" s="144"/>
      <c r="I69" s="142"/>
    </row>
    <row r="72" spans="2:9">
      <c r="B72" s="136" t="s">
        <v>166</v>
      </c>
      <c r="C72" s="8" t="s">
        <v>167</v>
      </c>
      <c r="D72" s="8" t="s">
        <v>167</v>
      </c>
      <c r="E72" s="8" t="s">
        <v>167</v>
      </c>
      <c r="F72" s="8" t="s">
        <v>167</v>
      </c>
      <c r="G72" s="8" t="s">
        <v>167</v>
      </c>
    </row>
    <row r="73" spans="2:9">
      <c r="B73" s="8" t="s">
        <v>21</v>
      </c>
      <c r="C73" s="8"/>
      <c r="D73" s="8">
        <v>3</v>
      </c>
      <c r="E73" s="8">
        <v>14</v>
      </c>
      <c r="F73" s="8">
        <v>17</v>
      </c>
      <c r="G73" s="8">
        <v>23</v>
      </c>
    </row>
    <row r="74" spans="2:9">
      <c r="B74" s="8" t="s">
        <v>96</v>
      </c>
      <c r="C74" s="8"/>
      <c r="D74" s="8">
        <v>3</v>
      </c>
      <c r="E74" s="8"/>
      <c r="F74" s="8"/>
      <c r="G74" s="8">
        <v>23</v>
      </c>
    </row>
    <row r="75" spans="2:9">
      <c r="B75" s="8" t="s">
        <v>95</v>
      </c>
      <c r="C75" s="8">
        <v>2</v>
      </c>
      <c r="D75" s="8">
        <v>3</v>
      </c>
      <c r="E75" s="8">
        <v>14</v>
      </c>
      <c r="F75" s="8">
        <v>17</v>
      </c>
      <c r="G75" s="8">
        <v>23</v>
      </c>
    </row>
  </sheetData>
  <mergeCells count="18">
    <mergeCell ref="A24:I24"/>
    <mergeCell ref="A35:I35"/>
    <mergeCell ref="F49:F50"/>
    <mergeCell ref="D49:D50"/>
    <mergeCell ref="G49:G50"/>
    <mergeCell ref="H49:H50"/>
    <mergeCell ref="G33:H33"/>
    <mergeCell ref="G45:H45"/>
    <mergeCell ref="I65:I66"/>
    <mergeCell ref="G68:G69"/>
    <mergeCell ref="H68:H69"/>
    <mergeCell ref="I68:I69"/>
    <mergeCell ref="D52:D53"/>
    <mergeCell ref="F52:F53"/>
    <mergeCell ref="G52:G53"/>
    <mergeCell ref="H52:H53"/>
    <mergeCell ref="G65:G66"/>
    <mergeCell ref="H65:H6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Q75"/>
  <sheetViews>
    <sheetView topLeftCell="A70" workbookViewId="0">
      <selection activeCell="B71" sqref="B71:G75"/>
    </sheetView>
  </sheetViews>
  <sheetFormatPr defaultRowHeight="15"/>
  <cols>
    <col min="1" max="1" width="8.5703125" customWidth="1"/>
    <col min="2" max="2" width="22.85546875" customWidth="1"/>
    <col min="3" max="3" width="11.5703125" bestFit="1" customWidth="1"/>
    <col min="4" max="4" width="13.42578125" bestFit="1" customWidth="1"/>
    <col min="5" max="5" width="13.28515625" bestFit="1" customWidth="1"/>
    <col min="6" max="6" width="13.42578125" bestFit="1" customWidth="1"/>
    <col min="7" max="7" width="14" bestFit="1" customWidth="1"/>
    <col min="9" max="9" width="14" bestFit="1" customWidth="1"/>
    <col min="12" max="12" width="13.28515625" bestFit="1" customWidth="1"/>
    <col min="13" max="13" width="14" bestFit="1" customWidth="1"/>
  </cols>
  <sheetData>
    <row r="2" spans="1:17" ht="16.5">
      <c r="A2" s="30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6.5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6.5">
      <c r="C4" s="3"/>
      <c r="D4" s="31" t="s">
        <v>36</v>
      </c>
      <c r="E4" s="3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6.5">
      <c r="A5" s="32" t="s">
        <v>40</v>
      </c>
      <c r="B5" s="3"/>
      <c r="C5" s="3"/>
      <c r="D5" s="33">
        <v>1500000</v>
      </c>
      <c r="E5" s="33">
        <v>2000000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3" t="s">
        <v>46</v>
      </c>
      <c r="B6" s="3"/>
      <c r="D6" s="3" t="s">
        <v>47</v>
      </c>
      <c r="E6" s="3" t="s">
        <v>48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6.5">
      <c r="A7" s="31" t="s">
        <v>38</v>
      </c>
      <c r="B7" s="3"/>
      <c r="C7" s="3"/>
      <c r="D7" s="33">
        <v>625000</v>
      </c>
      <c r="E7" s="33">
        <v>875000</v>
      </c>
      <c r="F7" s="3" t="s">
        <v>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6.5">
      <c r="A8" s="31" t="s">
        <v>30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6.5">
      <c r="A9" s="31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6.5">
      <c r="A10" s="31" t="s">
        <v>32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6.5">
      <c r="A11" s="31" t="s">
        <v>33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6.5">
      <c r="A12" s="3" t="s">
        <v>34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6.5">
      <c r="A13" s="35" t="s">
        <v>10</v>
      </c>
      <c r="B13" s="35">
        <v>1</v>
      </c>
      <c r="C13" s="35">
        <v>2</v>
      </c>
      <c r="D13" s="35">
        <v>3</v>
      </c>
      <c r="E13" s="35">
        <v>4</v>
      </c>
      <c r="F13" s="35">
        <v>5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ht="33">
      <c r="A14" s="39" t="s">
        <v>35</v>
      </c>
      <c r="B14" s="34">
        <v>0.89300000000000002</v>
      </c>
      <c r="C14" s="34">
        <v>0.79700000000000004</v>
      </c>
      <c r="D14" s="34">
        <v>0.71199999999999997</v>
      </c>
      <c r="E14" s="34">
        <v>0.63600000000000001</v>
      </c>
      <c r="F14" s="34">
        <v>0.56699999999999995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ht="18.75">
      <c r="A15" s="148" t="s">
        <v>53</v>
      </c>
      <c r="B15" s="148"/>
      <c r="C15" s="148"/>
      <c r="D15" s="148"/>
      <c r="E15" s="148"/>
      <c r="F15" s="148"/>
      <c r="G15" s="148"/>
      <c r="H15" s="148"/>
      <c r="I15" s="148"/>
    </row>
    <row r="16" spans="1:17" s="7" customFormat="1">
      <c r="A16" s="40" t="s">
        <v>12</v>
      </c>
      <c r="B16" s="41" t="s">
        <v>41</v>
      </c>
      <c r="C16" s="41" t="s">
        <v>42</v>
      </c>
      <c r="D16" s="41" t="s">
        <v>44</v>
      </c>
      <c r="E16" s="41" t="s">
        <v>43</v>
      </c>
      <c r="F16" s="41" t="s">
        <v>45</v>
      </c>
      <c r="G16" s="41" t="s">
        <v>13</v>
      </c>
      <c r="H16" s="41" t="s">
        <v>14</v>
      </c>
      <c r="I16" s="41" t="s">
        <v>115</v>
      </c>
      <c r="M16" s="15" t="s">
        <v>64</v>
      </c>
    </row>
    <row r="17" spans="1:13">
      <c r="A17" s="8">
        <v>0</v>
      </c>
      <c r="B17" s="9"/>
      <c r="C17" s="9"/>
      <c r="D17" s="9"/>
      <c r="E17" s="9"/>
      <c r="F17" s="9"/>
      <c r="G17" s="9">
        <v>-1500000</v>
      </c>
      <c r="H17" s="9">
        <v>1</v>
      </c>
      <c r="I17" s="36">
        <f t="shared" ref="I17:I22" si="0">G17*H17</f>
        <v>-1500000</v>
      </c>
      <c r="M17" s="5">
        <f>I17</f>
        <v>-1500000</v>
      </c>
    </row>
    <row r="18" spans="1:13" ht="16.5">
      <c r="A18" s="8">
        <v>1</v>
      </c>
      <c r="B18" s="9">
        <v>625000</v>
      </c>
      <c r="C18" s="37">
        <f>D5/5</f>
        <v>300000</v>
      </c>
      <c r="D18" s="9">
        <f>B18-C18</f>
        <v>325000</v>
      </c>
      <c r="E18" s="9">
        <f>D18*30%</f>
        <v>97500</v>
      </c>
      <c r="F18" s="9">
        <f>D18-E18</f>
        <v>227500</v>
      </c>
      <c r="G18" s="9">
        <f>F18+C18</f>
        <v>527500</v>
      </c>
      <c r="H18" s="38">
        <v>0.89300000000000002</v>
      </c>
      <c r="I18" s="36">
        <f t="shared" si="0"/>
        <v>471057.5</v>
      </c>
      <c r="M18" s="5">
        <f>M17+I18</f>
        <v>-1028942.5</v>
      </c>
    </row>
    <row r="19" spans="1:13" ht="16.5">
      <c r="A19" s="8">
        <v>2</v>
      </c>
      <c r="B19" s="9">
        <v>625000</v>
      </c>
      <c r="C19" s="9">
        <f>C18</f>
        <v>300000</v>
      </c>
      <c r="D19" s="9">
        <f>B19-C19</f>
        <v>325000</v>
      </c>
      <c r="E19" s="9">
        <f t="shared" ref="E19:E22" si="1">D19*30%</f>
        <v>97500</v>
      </c>
      <c r="F19" s="9">
        <f t="shared" ref="F19:F22" si="2">D19-E19</f>
        <v>227500</v>
      </c>
      <c r="G19" s="9">
        <f t="shared" ref="G19:G22" si="3">F19+C19</f>
        <v>527500</v>
      </c>
      <c r="H19" s="38">
        <v>0.79700000000000004</v>
      </c>
      <c r="I19" s="36">
        <f t="shared" si="0"/>
        <v>420417.5</v>
      </c>
      <c r="M19" s="5">
        <f>M18+I19</f>
        <v>-608525</v>
      </c>
    </row>
    <row r="20" spans="1:13" ht="16.5">
      <c r="A20" s="8">
        <v>3</v>
      </c>
      <c r="B20" s="9">
        <v>625000</v>
      </c>
      <c r="C20" s="9">
        <f t="shared" ref="C20:C22" si="4">C19</f>
        <v>300000</v>
      </c>
      <c r="D20" s="9">
        <f>B20-C20</f>
        <v>325000</v>
      </c>
      <c r="E20" s="9">
        <f t="shared" si="1"/>
        <v>97500</v>
      </c>
      <c r="F20" s="9">
        <f t="shared" si="2"/>
        <v>227500</v>
      </c>
      <c r="G20" s="9">
        <f t="shared" si="3"/>
        <v>527500</v>
      </c>
      <c r="H20" s="38">
        <v>0.71199999999999997</v>
      </c>
      <c r="I20" s="36">
        <f t="shared" si="0"/>
        <v>375580</v>
      </c>
      <c r="K20" t="s">
        <v>49</v>
      </c>
      <c r="L20" s="5">
        <f>I20+I19+I18</f>
        <v>1267055</v>
      </c>
      <c r="M20" s="5">
        <f>M19+I20</f>
        <v>-232945</v>
      </c>
    </row>
    <row r="21" spans="1:13" ht="16.5">
      <c r="A21" s="8">
        <v>4</v>
      </c>
      <c r="B21" s="9">
        <v>625000</v>
      </c>
      <c r="C21" s="9">
        <f t="shared" si="4"/>
        <v>300000</v>
      </c>
      <c r="D21" s="9">
        <f>B21-C21</f>
        <v>325000</v>
      </c>
      <c r="E21" s="9">
        <f t="shared" si="1"/>
        <v>97500</v>
      </c>
      <c r="F21" s="9">
        <f t="shared" si="2"/>
        <v>227500</v>
      </c>
      <c r="G21" s="9">
        <f t="shared" si="3"/>
        <v>527500</v>
      </c>
      <c r="H21" s="38">
        <v>0.63600000000000001</v>
      </c>
      <c r="I21" s="36">
        <f t="shared" si="0"/>
        <v>335490</v>
      </c>
      <c r="K21" t="s">
        <v>63</v>
      </c>
      <c r="L21" s="5">
        <f>L20+I21</f>
        <v>1602545</v>
      </c>
      <c r="M21" s="5">
        <f>M20+I21</f>
        <v>102545</v>
      </c>
    </row>
    <row r="22" spans="1:13" ht="16.5">
      <c r="A22" s="8">
        <v>5</v>
      </c>
      <c r="B22" s="9">
        <v>625000</v>
      </c>
      <c r="C22" s="9">
        <f t="shared" si="4"/>
        <v>300000</v>
      </c>
      <c r="D22" s="9">
        <f>B22-C22</f>
        <v>325000</v>
      </c>
      <c r="E22" s="9">
        <f t="shared" si="1"/>
        <v>97500</v>
      </c>
      <c r="F22" s="9">
        <f t="shared" si="2"/>
        <v>227500</v>
      </c>
      <c r="G22" s="9">
        <f t="shared" si="3"/>
        <v>527500</v>
      </c>
      <c r="H22" s="38">
        <v>0.56699999999999995</v>
      </c>
      <c r="I22" s="36">
        <f t="shared" si="0"/>
        <v>299092.5</v>
      </c>
      <c r="M22" s="5">
        <f>M21+I22</f>
        <v>401637.5</v>
      </c>
    </row>
    <row r="23" spans="1:13">
      <c r="A23" s="8"/>
      <c r="B23" s="8"/>
      <c r="C23" s="8"/>
      <c r="D23" s="8"/>
      <c r="E23" s="8"/>
      <c r="F23" s="8"/>
      <c r="G23" s="8"/>
      <c r="H23" s="8"/>
      <c r="I23" s="8"/>
    </row>
    <row r="24" spans="1:13">
      <c r="A24" s="8"/>
      <c r="B24" s="8"/>
      <c r="C24" s="8"/>
      <c r="D24" s="8"/>
      <c r="E24" s="8"/>
      <c r="F24" s="8"/>
      <c r="G24" s="149" t="s">
        <v>21</v>
      </c>
      <c r="H24" s="150"/>
      <c r="I24" s="36">
        <f>SUM(I17:I23)</f>
        <v>401637.5</v>
      </c>
    </row>
    <row r="25" spans="1:13" ht="18.75">
      <c r="A25" s="148" t="s">
        <v>54</v>
      </c>
      <c r="B25" s="148"/>
      <c r="C25" s="148"/>
      <c r="D25" s="148"/>
      <c r="E25" s="148"/>
      <c r="F25" s="148"/>
      <c r="G25" s="148"/>
      <c r="H25" s="148"/>
      <c r="I25" s="148"/>
    </row>
    <row r="26" spans="1:13" s="7" customFormat="1">
      <c r="A26" s="40" t="s">
        <v>12</v>
      </c>
      <c r="B26" s="41" t="s">
        <v>41</v>
      </c>
      <c r="C26" s="41" t="s">
        <v>42</v>
      </c>
      <c r="D26" s="41" t="s">
        <v>44</v>
      </c>
      <c r="E26" s="41" t="s">
        <v>43</v>
      </c>
      <c r="F26" s="41" t="s">
        <v>45</v>
      </c>
      <c r="G26" s="41" t="s">
        <v>13</v>
      </c>
      <c r="H26" s="41" t="s">
        <v>14</v>
      </c>
      <c r="I26" s="41" t="s">
        <v>115</v>
      </c>
      <c r="M26" s="15" t="s">
        <v>64</v>
      </c>
    </row>
    <row r="27" spans="1:13">
      <c r="A27" s="8">
        <v>0</v>
      </c>
      <c r="B27" s="9"/>
      <c r="C27" s="9"/>
      <c r="D27" s="9"/>
      <c r="E27" s="9"/>
      <c r="F27" s="9"/>
      <c r="G27" s="9">
        <v>-2000000</v>
      </c>
      <c r="H27" s="9">
        <v>1</v>
      </c>
      <c r="I27" s="36">
        <f t="shared" ref="I27:I32" si="5">G27*H27</f>
        <v>-2000000</v>
      </c>
      <c r="M27" s="5">
        <f>I27</f>
        <v>-2000000</v>
      </c>
    </row>
    <row r="28" spans="1:13" ht="16.5">
      <c r="A28" s="8">
        <v>1</v>
      </c>
      <c r="B28" s="9">
        <v>875000</v>
      </c>
      <c r="C28" s="37">
        <f>E5/5</f>
        <v>400000</v>
      </c>
      <c r="D28" s="9">
        <f>B28-C28</f>
        <v>475000</v>
      </c>
      <c r="E28" s="9">
        <f>D28*30%</f>
        <v>142500</v>
      </c>
      <c r="F28" s="9">
        <f>D28-E28</f>
        <v>332500</v>
      </c>
      <c r="G28" s="9">
        <f>F28+C28</f>
        <v>732500</v>
      </c>
      <c r="H28" s="38">
        <v>0.89300000000000002</v>
      </c>
      <c r="I28" s="36">
        <f t="shared" si="5"/>
        <v>654122.5</v>
      </c>
      <c r="M28" s="5">
        <f>M27+I28</f>
        <v>-1345877.5</v>
      </c>
    </row>
    <row r="29" spans="1:13" ht="16.5">
      <c r="A29" s="8">
        <v>2</v>
      </c>
      <c r="B29" s="9">
        <v>875000</v>
      </c>
      <c r="C29" s="9">
        <f>C28</f>
        <v>400000</v>
      </c>
      <c r="D29" s="9">
        <f>B29-C29</f>
        <v>475000</v>
      </c>
      <c r="E29" s="9">
        <f t="shared" ref="E29:E32" si="6">D29*30%</f>
        <v>142500</v>
      </c>
      <c r="F29" s="9">
        <f t="shared" ref="F29:F32" si="7">D29-E29</f>
        <v>332500</v>
      </c>
      <c r="G29" s="9">
        <f t="shared" ref="G29:G32" si="8">F29+C29</f>
        <v>732500</v>
      </c>
      <c r="H29" s="38">
        <v>0.79700000000000004</v>
      </c>
      <c r="I29" s="36">
        <f t="shared" si="5"/>
        <v>583802.5</v>
      </c>
      <c r="M29" s="5">
        <f>M28+I29</f>
        <v>-762075</v>
      </c>
    </row>
    <row r="30" spans="1:13" ht="16.5">
      <c r="A30" s="8">
        <v>3</v>
      </c>
      <c r="B30" s="9">
        <v>875000</v>
      </c>
      <c r="C30" s="9">
        <f t="shared" ref="C30:C32" si="9">C29</f>
        <v>400000</v>
      </c>
      <c r="D30" s="9">
        <f>B30-C30</f>
        <v>475000</v>
      </c>
      <c r="E30" s="9">
        <f t="shared" si="6"/>
        <v>142500</v>
      </c>
      <c r="F30" s="9">
        <f t="shared" si="7"/>
        <v>332500</v>
      </c>
      <c r="G30" s="9">
        <f t="shared" si="8"/>
        <v>732500</v>
      </c>
      <c r="H30" s="38">
        <v>0.71199999999999997</v>
      </c>
      <c r="I30" s="36">
        <f t="shared" si="5"/>
        <v>521540</v>
      </c>
      <c r="K30" t="s">
        <v>49</v>
      </c>
      <c r="L30" s="5">
        <f>I30+I29+I28</f>
        <v>1759465</v>
      </c>
      <c r="M30" s="5">
        <f>M29+I30</f>
        <v>-240535</v>
      </c>
    </row>
    <row r="31" spans="1:13" ht="16.5">
      <c r="A31" s="8">
        <v>4</v>
      </c>
      <c r="B31" s="9">
        <v>875000</v>
      </c>
      <c r="C31" s="9">
        <f t="shared" si="9"/>
        <v>400000</v>
      </c>
      <c r="D31" s="9">
        <f>B31-C31</f>
        <v>475000</v>
      </c>
      <c r="E31" s="9">
        <f t="shared" si="6"/>
        <v>142500</v>
      </c>
      <c r="F31" s="9">
        <f t="shared" si="7"/>
        <v>332500</v>
      </c>
      <c r="G31" s="9">
        <f t="shared" si="8"/>
        <v>732500</v>
      </c>
      <c r="H31" s="38">
        <v>0.63600000000000001</v>
      </c>
      <c r="I31" s="36">
        <f t="shared" si="5"/>
        <v>465870</v>
      </c>
      <c r="K31" t="s">
        <v>63</v>
      </c>
      <c r="L31" s="5">
        <f>L30+I31</f>
        <v>2225335</v>
      </c>
      <c r="M31" s="5">
        <f>M30+I31</f>
        <v>225335</v>
      </c>
    </row>
    <row r="32" spans="1:13" ht="16.5">
      <c r="A32" s="8">
        <v>5</v>
      </c>
      <c r="B32" s="9">
        <v>875000</v>
      </c>
      <c r="C32" s="9">
        <f t="shared" si="9"/>
        <v>400000</v>
      </c>
      <c r="D32" s="9">
        <f>B32-C32</f>
        <v>475000</v>
      </c>
      <c r="E32" s="9">
        <f t="shared" si="6"/>
        <v>142500</v>
      </c>
      <c r="F32" s="9">
        <f t="shared" si="7"/>
        <v>332500</v>
      </c>
      <c r="G32" s="9">
        <f t="shared" si="8"/>
        <v>732500</v>
      </c>
      <c r="H32" s="38">
        <v>0.56699999999999995</v>
      </c>
      <c r="I32" s="36">
        <f t="shared" si="5"/>
        <v>415327.49999999994</v>
      </c>
      <c r="M32" s="5">
        <f>M31+I32</f>
        <v>640662.5</v>
      </c>
    </row>
    <row r="33" spans="1:9">
      <c r="A33" s="8"/>
      <c r="B33" s="8"/>
      <c r="C33" s="8"/>
      <c r="D33" s="8"/>
      <c r="E33" s="8"/>
      <c r="F33" s="8"/>
      <c r="G33" s="8"/>
      <c r="H33" s="8"/>
      <c r="I33" s="8"/>
    </row>
    <row r="34" spans="1:9">
      <c r="A34" s="8"/>
      <c r="B34" s="8"/>
      <c r="C34" s="8"/>
      <c r="D34" s="8"/>
      <c r="E34" s="8"/>
      <c r="F34" s="8"/>
      <c r="G34" s="149" t="s">
        <v>21</v>
      </c>
      <c r="H34" s="150"/>
      <c r="I34" s="36">
        <f>SUM(I27:I33)</f>
        <v>640662.5</v>
      </c>
    </row>
    <row r="36" spans="1:9" ht="16.5">
      <c r="A36" s="46" t="s">
        <v>58</v>
      </c>
    </row>
    <row r="37" spans="1:9">
      <c r="B37" s="16" t="s">
        <v>55</v>
      </c>
      <c r="C37" t="s">
        <v>0</v>
      </c>
      <c r="D37" t="s">
        <v>50</v>
      </c>
    </row>
    <row r="38" spans="1:9">
      <c r="C38" t="s">
        <v>0</v>
      </c>
      <c r="D38" s="43">
        <f>1500000-1267055</f>
        <v>232945</v>
      </c>
      <c r="E38" s="151">
        <f>D38/D39</f>
        <v>0.69434260335628484</v>
      </c>
    </row>
    <row r="39" spans="1:9">
      <c r="D39" s="42">
        <f>I21</f>
        <v>335490</v>
      </c>
      <c r="E39" s="145"/>
    </row>
    <row r="41" spans="1:9">
      <c r="C41" t="s">
        <v>51</v>
      </c>
      <c r="D41">
        <v>0.69</v>
      </c>
      <c r="E41">
        <f>3.69</f>
        <v>3.69</v>
      </c>
      <c r="F41" t="s">
        <v>52</v>
      </c>
    </row>
    <row r="43" spans="1:9">
      <c r="B43" s="16" t="s">
        <v>56</v>
      </c>
      <c r="C43" t="s">
        <v>0</v>
      </c>
      <c r="D43" t="s">
        <v>57</v>
      </c>
    </row>
    <row r="45" spans="1:9">
      <c r="D45" s="1">
        <f>2000000-1759465</f>
        <v>240535</v>
      </c>
      <c r="E45" s="151">
        <f>D45/D46</f>
        <v>0.51631356386974903</v>
      </c>
    </row>
    <row r="46" spans="1:9">
      <c r="D46">
        <v>465870</v>
      </c>
      <c r="E46" s="151"/>
    </row>
    <row r="47" spans="1:9">
      <c r="E47" s="44"/>
    </row>
    <row r="48" spans="1:9">
      <c r="C48" t="s">
        <v>51</v>
      </c>
      <c r="D48">
        <v>0.52</v>
      </c>
      <c r="E48">
        <f>3.52</f>
        <v>3.52</v>
      </c>
      <c r="F48" t="s">
        <v>52</v>
      </c>
    </row>
    <row r="50" spans="1:6">
      <c r="D50" s="16" t="s">
        <v>55</v>
      </c>
      <c r="E50" s="16" t="s">
        <v>56</v>
      </c>
    </row>
    <row r="51" spans="1:6" ht="16.5">
      <c r="A51" s="46" t="s">
        <v>59</v>
      </c>
      <c r="D51" s="5">
        <f>I24</f>
        <v>401637.5</v>
      </c>
      <c r="E51" s="5">
        <f>I34</f>
        <v>640662.5</v>
      </c>
    </row>
    <row r="52" spans="1:6">
      <c r="B52" s="16"/>
    </row>
    <row r="53" spans="1:6" ht="16.5">
      <c r="A53" s="46" t="s">
        <v>60</v>
      </c>
      <c r="B53" s="16"/>
      <c r="C53" s="1" t="s">
        <v>1</v>
      </c>
    </row>
    <row r="54" spans="1:6">
      <c r="C54" t="s">
        <v>2</v>
      </c>
    </row>
    <row r="56" spans="1:6">
      <c r="D56" s="16" t="s">
        <v>55</v>
      </c>
      <c r="E56" s="16" t="s">
        <v>56</v>
      </c>
    </row>
    <row r="57" spans="1:6" ht="17.25">
      <c r="D57" s="13">
        <f>D51+1500000</f>
        <v>1901637.5</v>
      </c>
      <c r="E57" s="13">
        <f>E51+2000000</f>
        <v>2640662.5</v>
      </c>
    </row>
    <row r="58" spans="1:6">
      <c r="D58" s="4">
        <v>1500000</v>
      </c>
      <c r="E58" s="4">
        <v>2000000</v>
      </c>
    </row>
    <row r="59" spans="1:6">
      <c r="C59" t="s">
        <v>0</v>
      </c>
      <c r="D59" s="5">
        <f>D57/D58</f>
        <v>1.2677583333333333</v>
      </c>
      <c r="E59" s="5">
        <f>E57/E58</f>
        <v>1.32033125</v>
      </c>
    </row>
    <row r="61" spans="1:6">
      <c r="A61" s="11" t="s">
        <v>62</v>
      </c>
      <c r="B61" s="8"/>
      <c r="C61" s="8"/>
      <c r="D61" s="11" t="s">
        <v>55</v>
      </c>
      <c r="E61" s="11" t="s">
        <v>56</v>
      </c>
      <c r="F61" s="11" t="s">
        <v>61</v>
      </c>
    </row>
    <row r="62" spans="1:6" ht="16.5">
      <c r="A62" s="47" t="s">
        <v>58</v>
      </c>
      <c r="B62" s="8"/>
      <c r="C62" s="8"/>
      <c r="D62" s="8">
        <f>E41</f>
        <v>3.69</v>
      </c>
      <c r="E62" s="8">
        <f>E48</f>
        <v>3.52</v>
      </c>
      <c r="F62" s="48" t="s">
        <v>26</v>
      </c>
    </row>
    <row r="63" spans="1:6">
      <c r="A63" s="8"/>
      <c r="B63" s="8"/>
      <c r="C63" s="8"/>
      <c r="D63" s="8"/>
      <c r="E63" s="8"/>
      <c r="F63" s="48"/>
    </row>
    <row r="64" spans="1:6" ht="16.5">
      <c r="A64" s="47" t="s">
        <v>59</v>
      </c>
      <c r="B64" s="8"/>
      <c r="C64" s="8"/>
      <c r="D64" s="36">
        <f>D51</f>
        <v>401637.5</v>
      </c>
      <c r="E64" s="36">
        <f>E51</f>
        <v>640662.5</v>
      </c>
      <c r="F64" s="48" t="s">
        <v>26</v>
      </c>
    </row>
    <row r="65" spans="1:7">
      <c r="A65" s="8"/>
      <c r="B65" s="8"/>
      <c r="C65" s="8"/>
      <c r="D65" s="8"/>
      <c r="E65" s="8"/>
      <c r="F65" s="48"/>
    </row>
    <row r="66" spans="1:7" ht="16.5">
      <c r="A66" s="47" t="s">
        <v>60</v>
      </c>
      <c r="B66" s="8"/>
      <c r="C66" s="8"/>
      <c r="D66" s="36">
        <f>D59</f>
        <v>1.2677583333333333</v>
      </c>
      <c r="E66" s="36">
        <f>E59</f>
        <v>1.32033125</v>
      </c>
      <c r="F66" s="48" t="s">
        <v>26</v>
      </c>
    </row>
    <row r="71" spans="1:7">
      <c r="B71" s="8" t="s">
        <v>124</v>
      </c>
      <c r="C71" s="8"/>
      <c r="D71" s="8" t="s">
        <v>167</v>
      </c>
      <c r="E71" s="8" t="s">
        <v>167</v>
      </c>
      <c r="F71" s="8" t="s">
        <v>167</v>
      </c>
      <c r="G71" s="8" t="s">
        <v>167</v>
      </c>
    </row>
    <row r="72" spans="1:7">
      <c r="B72" s="8" t="s">
        <v>125</v>
      </c>
      <c r="C72" s="8"/>
      <c r="D72" s="8">
        <v>12</v>
      </c>
      <c r="E72" s="8">
        <v>16</v>
      </c>
      <c r="F72" s="8">
        <v>20</v>
      </c>
      <c r="G72" s="8"/>
    </row>
    <row r="73" spans="1:7">
      <c r="B73" s="8" t="s">
        <v>21</v>
      </c>
      <c r="C73" s="8"/>
      <c r="D73" s="8">
        <v>12</v>
      </c>
      <c r="E73" s="8">
        <v>16</v>
      </c>
      <c r="F73" s="8">
        <v>20</v>
      </c>
      <c r="G73" s="8">
        <v>23</v>
      </c>
    </row>
    <row r="74" spans="1:7">
      <c r="B74" s="8" t="s">
        <v>126</v>
      </c>
      <c r="C74" s="8"/>
      <c r="D74" s="8">
        <v>12</v>
      </c>
      <c r="E74" s="8"/>
      <c r="F74" s="8"/>
      <c r="G74" s="8"/>
    </row>
    <row r="75" spans="1:7">
      <c r="B75" s="8" t="s">
        <v>127</v>
      </c>
      <c r="C75" s="8"/>
      <c r="D75" s="8"/>
      <c r="E75" s="8">
        <v>16</v>
      </c>
      <c r="F75" s="8">
        <v>20</v>
      </c>
      <c r="G75" s="8">
        <v>23</v>
      </c>
    </row>
  </sheetData>
  <mergeCells count="6">
    <mergeCell ref="A15:I15"/>
    <mergeCell ref="A25:I25"/>
    <mergeCell ref="E38:E39"/>
    <mergeCell ref="E45:E46"/>
    <mergeCell ref="G24:H24"/>
    <mergeCell ref="G34:H3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E11" sqref="E11"/>
    </sheetView>
  </sheetViews>
  <sheetFormatPr defaultRowHeight="15"/>
  <cols>
    <col min="1" max="1" width="8.5703125" customWidth="1"/>
    <col min="2" max="2" width="22.85546875" customWidth="1"/>
    <col min="3" max="3" width="11.5703125" bestFit="1" customWidth="1"/>
    <col min="4" max="4" width="13.42578125" bestFit="1" customWidth="1"/>
    <col min="5" max="5" width="13.28515625" bestFit="1" customWidth="1"/>
    <col min="6" max="6" width="13.42578125" bestFit="1" customWidth="1"/>
    <col min="7" max="7" width="14" bestFit="1" customWidth="1"/>
    <col min="9" max="9" width="14" bestFit="1" customWidth="1"/>
    <col min="12" max="12" width="13.28515625" bestFit="1" customWidth="1"/>
    <col min="13" max="13" width="14" bestFit="1" customWidth="1"/>
  </cols>
  <sheetData>
    <row r="1" spans="1:12" ht="16.5">
      <c r="A1" s="2" t="s">
        <v>3</v>
      </c>
      <c r="B1" s="3"/>
      <c r="C1" s="3"/>
      <c r="D1" s="3"/>
      <c r="E1" s="3"/>
      <c r="F1" s="3"/>
      <c r="G1" s="3"/>
    </row>
    <row r="2" spans="1:12" ht="16.5">
      <c r="A2" s="3" t="s">
        <v>4</v>
      </c>
      <c r="B2" s="3"/>
      <c r="C2" s="3"/>
      <c r="D2" s="3"/>
      <c r="E2" s="3"/>
      <c r="F2" s="3"/>
      <c r="G2" s="3"/>
    </row>
    <row r="3" spans="1:12" ht="16.5">
      <c r="A3" s="3" t="s">
        <v>5</v>
      </c>
      <c r="B3" s="3"/>
      <c r="C3" s="3"/>
      <c r="D3" s="3"/>
      <c r="E3" s="3"/>
      <c r="F3" s="3"/>
      <c r="G3" s="3"/>
    </row>
    <row r="4" spans="1:12">
      <c r="A4" s="3"/>
      <c r="B4" s="3"/>
      <c r="C4" s="3"/>
      <c r="D4" s="3"/>
      <c r="E4" s="3"/>
      <c r="F4" s="3"/>
      <c r="G4" s="3"/>
    </row>
    <row r="5" spans="1:12" ht="16.5">
      <c r="A5" s="3" t="s">
        <v>6</v>
      </c>
      <c r="B5" s="3"/>
      <c r="C5" s="3"/>
      <c r="D5" s="3"/>
      <c r="E5" s="3"/>
      <c r="F5" s="3"/>
      <c r="G5" s="3"/>
    </row>
    <row r="6" spans="1:12" ht="16.5">
      <c r="A6" s="3" t="s">
        <v>7</v>
      </c>
      <c r="B6" s="3"/>
      <c r="C6" s="3"/>
      <c r="D6" s="3"/>
      <c r="E6" s="3"/>
      <c r="F6" s="3"/>
      <c r="G6" s="3"/>
    </row>
    <row r="7" spans="1:12" ht="16.5">
      <c r="A7" s="3" t="s">
        <v>8</v>
      </c>
      <c r="B7" s="3"/>
      <c r="C7" s="3"/>
      <c r="D7" s="3"/>
      <c r="E7" s="3"/>
      <c r="F7" s="3"/>
      <c r="G7" s="3"/>
    </row>
    <row r="8" spans="1:12" ht="16.5">
      <c r="A8" s="3" t="s">
        <v>9</v>
      </c>
      <c r="B8" s="3"/>
      <c r="C8" s="3"/>
      <c r="D8" s="3"/>
      <c r="E8" s="3"/>
      <c r="F8" s="3"/>
      <c r="G8" s="3"/>
    </row>
    <row r="9" spans="1:12" ht="16.5">
      <c r="A9" s="18" t="s">
        <v>10</v>
      </c>
      <c r="B9" s="19"/>
      <c r="C9" s="18" t="s">
        <v>18</v>
      </c>
      <c r="D9" s="19" t="s">
        <v>19</v>
      </c>
      <c r="E9" s="19" t="s">
        <v>20</v>
      </c>
      <c r="F9" s="24"/>
      <c r="G9" s="27"/>
      <c r="H9" s="27"/>
      <c r="I9" s="27"/>
      <c r="J9" s="27"/>
      <c r="K9" s="27"/>
      <c r="L9" s="27"/>
    </row>
    <row r="10" spans="1:12" ht="15" customHeight="1">
      <c r="A10" s="20" t="s">
        <v>15</v>
      </c>
      <c r="B10" s="21"/>
      <c r="C10" s="22">
        <v>0.90910000000000002</v>
      </c>
      <c r="D10" s="22">
        <v>0.82640000000000002</v>
      </c>
      <c r="E10" s="22">
        <v>0.75129999999999997</v>
      </c>
      <c r="F10" s="25"/>
      <c r="G10" s="28"/>
      <c r="H10" s="28"/>
      <c r="I10" s="28"/>
      <c r="J10" s="28"/>
      <c r="K10" s="28"/>
      <c r="L10" s="28"/>
    </row>
    <row r="11" spans="1:12" ht="15" customHeight="1">
      <c r="A11" s="23" t="s">
        <v>16</v>
      </c>
      <c r="B11" s="21"/>
      <c r="C11" s="21"/>
      <c r="D11" s="21"/>
      <c r="E11" s="21"/>
      <c r="F11" s="26"/>
      <c r="G11" s="29"/>
      <c r="H11" s="27"/>
      <c r="I11" s="27"/>
      <c r="J11" s="27"/>
      <c r="K11" s="27"/>
      <c r="L11" s="27"/>
    </row>
    <row r="12" spans="1:12" ht="15" customHeight="1">
      <c r="A12" s="23" t="s">
        <v>17</v>
      </c>
      <c r="B12" s="21"/>
      <c r="C12" s="21"/>
      <c r="D12" s="21"/>
      <c r="E12" s="21"/>
      <c r="F12" s="26"/>
      <c r="G12" s="29"/>
      <c r="H12" s="27"/>
      <c r="I12" s="27"/>
      <c r="J12" s="27"/>
      <c r="K12" s="27"/>
      <c r="L12" s="27"/>
    </row>
    <row r="13" spans="1:12" ht="16.5">
      <c r="A13" s="2" t="s">
        <v>11</v>
      </c>
      <c r="B13" s="3"/>
      <c r="C13" s="3"/>
      <c r="D13" s="3"/>
      <c r="E13" s="3"/>
      <c r="F13" s="3"/>
      <c r="G13" s="3"/>
    </row>
    <row r="16" spans="1:12">
      <c r="A16" s="11" t="s">
        <v>12</v>
      </c>
      <c r="B16" s="11" t="s">
        <v>13</v>
      </c>
      <c r="C16" s="11" t="s">
        <v>14</v>
      </c>
      <c r="D16" s="11" t="s">
        <v>22</v>
      </c>
      <c r="E16" s="11" t="s">
        <v>13</v>
      </c>
      <c r="F16" s="11" t="s">
        <v>23</v>
      </c>
    </row>
    <row r="17" spans="1:6" ht="16.5">
      <c r="A17" s="8">
        <v>0</v>
      </c>
      <c r="B17" s="9">
        <v>800000</v>
      </c>
      <c r="C17" s="10">
        <v>1</v>
      </c>
      <c r="D17" s="9">
        <f>C17*B17</f>
        <v>800000</v>
      </c>
      <c r="E17" s="9">
        <v>600000</v>
      </c>
      <c r="F17" s="9">
        <f>E17*C17</f>
        <v>600000</v>
      </c>
    </row>
    <row r="18" spans="1:6" ht="16.5">
      <c r="A18" s="8">
        <v>1</v>
      </c>
      <c r="B18" s="9">
        <v>130000</v>
      </c>
      <c r="C18" s="10">
        <v>0.90910000000000002</v>
      </c>
      <c r="D18" s="9">
        <f t="shared" ref="D18:D20" si="0">C18*B18</f>
        <v>118183</v>
      </c>
      <c r="E18" s="9">
        <v>250000</v>
      </c>
      <c r="F18" s="9">
        <f>E18*C18</f>
        <v>227275</v>
      </c>
    </row>
    <row r="19" spans="1:6" ht="16.5">
      <c r="A19" s="8">
        <v>2</v>
      </c>
      <c r="B19" s="9">
        <v>130000</v>
      </c>
      <c r="C19" s="10">
        <v>0.82640000000000002</v>
      </c>
      <c r="D19" s="9">
        <f t="shared" si="0"/>
        <v>107432</v>
      </c>
      <c r="E19" s="9">
        <v>250000</v>
      </c>
      <c r="F19" s="9">
        <f>E19*C19</f>
        <v>206600</v>
      </c>
    </row>
    <row r="20" spans="1:6" ht="16.5">
      <c r="A20" s="8">
        <v>3</v>
      </c>
      <c r="B20" s="9">
        <v>130000</v>
      </c>
      <c r="C20" s="10">
        <v>0.75129999999999997</v>
      </c>
      <c r="D20" s="9">
        <f t="shared" si="0"/>
        <v>97669</v>
      </c>
      <c r="E20" s="9"/>
      <c r="F20" s="9"/>
    </row>
    <row r="21" spans="1:6">
      <c r="A21" s="8"/>
      <c r="B21" s="9"/>
      <c r="C21" s="9"/>
      <c r="D21" s="9"/>
      <c r="E21" s="9"/>
      <c r="F21" s="9"/>
    </row>
    <row r="22" spans="1:6">
      <c r="A22" s="8"/>
      <c r="B22" s="9"/>
      <c r="C22" s="9"/>
      <c r="D22" s="17">
        <f>SUM(D17:D21)</f>
        <v>1123284</v>
      </c>
      <c r="E22" s="9"/>
      <c r="F22" s="17">
        <f>SUM(F17:F21)</f>
        <v>1033875</v>
      </c>
    </row>
    <row r="23" spans="1:6">
      <c r="B23" s="4"/>
      <c r="C23" s="4"/>
      <c r="D23" s="4"/>
      <c r="E23" s="4"/>
      <c r="F23" s="4"/>
    </row>
    <row r="24" spans="1:6" ht="17.25">
      <c r="B24" s="16" t="s">
        <v>27</v>
      </c>
      <c r="D24" s="12">
        <v>1123284</v>
      </c>
      <c r="F24" s="13">
        <f>F22</f>
        <v>1033875</v>
      </c>
    </row>
    <row r="25" spans="1:6">
      <c r="D25" s="14">
        <v>2.4868000000000001</v>
      </c>
      <c r="F25" s="14">
        <v>1.7355</v>
      </c>
    </row>
    <row r="26" spans="1:6">
      <c r="C26" s="15" t="s">
        <v>0</v>
      </c>
      <c r="D26" s="4">
        <f>D24/D25</f>
        <v>451698.56844137039</v>
      </c>
      <c r="E26" s="15" t="s">
        <v>0</v>
      </c>
      <c r="F26" s="4">
        <f>F24/F25</f>
        <v>595721.69403630076</v>
      </c>
    </row>
    <row r="27" spans="1:6">
      <c r="B27" s="16" t="s">
        <v>24</v>
      </c>
      <c r="C27" s="16"/>
      <c r="D27" s="15" t="s">
        <v>25</v>
      </c>
      <c r="E27" s="16"/>
      <c r="F27" s="15" t="s">
        <v>26</v>
      </c>
    </row>
    <row r="29" spans="1:6">
      <c r="B29" s="8" t="s">
        <v>166</v>
      </c>
      <c r="C29" s="8" t="s">
        <v>167</v>
      </c>
    </row>
    <row r="30" spans="1:6">
      <c r="B30" s="8"/>
      <c r="C30" s="8">
        <v>1</v>
      </c>
    </row>
    <row r="31" spans="1:6">
      <c r="B31" s="8"/>
      <c r="C31" s="8">
        <v>5</v>
      </c>
    </row>
    <row r="32" spans="1:6">
      <c r="B32" s="8"/>
      <c r="C32" s="8">
        <v>6</v>
      </c>
    </row>
    <row r="33" spans="2:3">
      <c r="B33" s="8"/>
      <c r="C33" s="8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</vt:lpstr>
      <vt:lpstr>7</vt:lpstr>
      <vt:lpstr>9</vt:lpstr>
      <vt:lpstr>10</vt:lpstr>
      <vt:lpstr>25</vt:lpstr>
      <vt:lpstr>28</vt:lpstr>
      <vt:lpstr>29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2017-10-07T14:54:06Z</dcterms:modified>
</cp:coreProperties>
</file>