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charts/chart2.xml" ContentType="application/vnd.openxmlformats-officedocument.drawingml.char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showSheetTabs="0" xWindow="120" yWindow="45" windowWidth="15480" windowHeight="10230"/>
  </bookViews>
  <sheets>
    <sheet name="Main" sheetId="4" r:id="rId1"/>
    <sheet name="SIM" sheetId="1" r:id="rId2"/>
    <sheet name="Back Data" sheetId="2" state="hidden" r:id="rId3"/>
    <sheet name="Photo" sheetId="3" state="hidden" r:id="rId4"/>
  </sheets>
  <definedNames>
    <definedName name="_xlnm._FilterDatabase" localSheetId="2" hidden="1">'Back Data'!$A$21:$M$22</definedName>
    <definedName name="Batti">#REF!</definedName>
    <definedName name="Cricket">#REF!</definedName>
    <definedName name="Day_1">INDIRECT(#REF!)</definedName>
    <definedName name="Day_2">INDIRECT(#REF!)</definedName>
    <definedName name="MyPicture">INDEX(Photo!$B$3:$B$13,MATCH(SIM!$I$5,Photo!$A$3:$A$13,0))</definedName>
  </definedNames>
  <calcPr calcId="124519"/>
</workbook>
</file>

<file path=xl/calcChain.xml><?xml version="1.0" encoding="utf-8"?>
<calcChain xmlns="http://schemas.openxmlformats.org/spreadsheetml/2006/main">
  <c r="AM36" i="1"/>
  <c r="AM35"/>
  <c r="AM34"/>
  <c r="AM33"/>
  <c r="AM32"/>
  <c r="AM31"/>
  <c r="AM30"/>
  <c r="AM29"/>
  <c r="AM28"/>
  <c r="AM27"/>
  <c r="AM26"/>
  <c r="AM25"/>
  <c r="O26" i="2"/>
  <c r="P31" s="1"/>
  <c r="I37" i="1"/>
  <c r="Q37" s="1"/>
  <c r="I35"/>
  <c r="Q35" s="1"/>
  <c r="I33"/>
  <c r="Q33" s="1"/>
  <c r="I31"/>
  <c r="Q31" s="1"/>
  <c r="I29"/>
  <c r="Q29" s="1"/>
  <c r="I25"/>
  <c r="V25" s="1"/>
  <c r="O17"/>
  <c r="G19"/>
  <c r="H17"/>
  <c r="V15"/>
  <c r="J15"/>
  <c r="S13"/>
  <c r="G13"/>
  <c r="T11"/>
  <c r="I11"/>
  <c r="V9"/>
  <c r="L9"/>
  <c r="G9"/>
  <c r="AQ15"/>
  <c r="AS13"/>
  <c r="AP11"/>
  <c r="AV9"/>
  <c r="AO9"/>
  <c r="I34" i="2"/>
  <c r="I27"/>
  <c r="I30"/>
  <c r="I24"/>
  <c r="I27" i="1"/>
  <c r="Q27" s="1"/>
  <c r="C26" i="2"/>
  <c r="C35"/>
  <c r="E35"/>
  <c r="C29"/>
  <c r="I29" s="1"/>
  <c r="F28"/>
  <c r="C32"/>
  <c r="F32"/>
  <c r="M39" i="1"/>
  <c r="AJ5"/>
  <c r="AV5"/>
  <c r="V35" l="1"/>
  <c r="V37"/>
  <c r="V29"/>
  <c r="V27"/>
  <c r="V33"/>
  <c r="V31"/>
  <c r="J29" i="2"/>
  <c r="J30"/>
  <c r="H10" s="1"/>
  <c r="J34"/>
  <c r="H14" s="1"/>
  <c r="P28"/>
  <c r="P34"/>
  <c r="P33"/>
  <c r="P29"/>
  <c r="P32"/>
  <c r="P30"/>
  <c r="Q25" i="1"/>
  <c r="J27" i="2"/>
  <c r="H7" s="1"/>
  <c r="H9"/>
  <c r="I39" i="1"/>
  <c r="I31" i="2"/>
  <c r="J31" s="1"/>
  <c r="I28"/>
  <c r="J28" s="1"/>
  <c r="I26"/>
  <c r="J26" s="1"/>
  <c r="I25"/>
  <c r="I33"/>
  <c r="J33" s="1"/>
  <c r="I35"/>
  <c r="J35" s="1"/>
  <c r="I32"/>
  <c r="J32" s="1"/>
  <c r="P35" l="1"/>
  <c r="H15"/>
  <c r="H8"/>
  <c r="J10"/>
  <c r="H12"/>
  <c r="H6"/>
  <c r="J25"/>
  <c r="J7"/>
  <c r="J14"/>
  <c r="H13"/>
  <c r="H11"/>
  <c r="J11" s="1"/>
  <c r="J9"/>
  <c r="L30"/>
  <c r="G10" s="1"/>
  <c r="M33"/>
  <c r="M34"/>
  <c r="M35"/>
  <c r="M30"/>
  <c r="L35"/>
  <c r="G15" s="1"/>
  <c r="M28"/>
  <c r="L32"/>
  <c r="G12" s="1"/>
  <c r="M32"/>
  <c r="L33"/>
  <c r="G13" s="1"/>
  <c r="M31"/>
  <c r="L31"/>
  <c r="G11" s="1"/>
  <c r="L26"/>
  <c r="G6" s="1"/>
  <c r="M26"/>
  <c r="K33" l="1"/>
  <c r="L25"/>
  <c r="H5"/>
  <c r="I15" s="1"/>
  <c r="M25"/>
  <c r="K31"/>
  <c r="J15"/>
  <c r="I12"/>
  <c r="J12"/>
  <c r="K25"/>
  <c r="K30"/>
  <c r="K34"/>
  <c r="K27"/>
  <c r="K29"/>
  <c r="J13"/>
  <c r="I14"/>
  <c r="K32"/>
  <c r="K28"/>
  <c r="G5"/>
  <c r="AO17" i="1" s="1"/>
  <c r="K26" i="2"/>
  <c r="I11"/>
  <c r="K35"/>
  <c r="I5"/>
  <c r="J6"/>
  <c r="I6"/>
  <c r="J5"/>
  <c r="AU19" i="1" s="1"/>
  <c r="AU17"/>
  <c r="I10" i="2"/>
  <c r="I8"/>
  <c r="J8"/>
  <c r="L28"/>
  <c r="G8" s="1"/>
  <c r="L29"/>
  <c r="G9" s="1"/>
  <c r="M29"/>
  <c r="L27"/>
  <c r="G7" s="1"/>
  <c r="M27"/>
  <c r="L34"/>
  <c r="G14" s="1"/>
  <c r="AO19" i="1" l="1"/>
  <c r="I7" i="2"/>
  <c r="I9"/>
  <c r="I13"/>
  <c r="AB19" i="1" l="1"/>
  <c r="AP23"/>
  <c r="AQ29" l="1"/>
  <c r="AQ25"/>
  <c r="AQ30"/>
  <c r="AQ26"/>
  <c r="AQ31"/>
  <c r="AQ27"/>
  <c r="AQ32"/>
  <c r="AQ28"/>
</calcChain>
</file>

<file path=xl/sharedStrings.xml><?xml version="1.0" encoding="utf-8"?>
<sst xmlns="http://schemas.openxmlformats.org/spreadsheetml/2006/main" count="349" uniqueCount="180">
  <si>
    <t>Name of Student</t>
  </si>
  <si>
    <t>Class</t>
  </si>
  <si>
    <t>Division</t>
  </si>
  <si>
    <t>Email</t>
  </si>
  <si>
    <t>Gender</t>
  </si>
  <si>
    <t>Roll No.</t>
  </si>
  <si>
    <t>Date of Admission</t>
  </si>
  <si>
    <t>Sr.</t>
  </si>
  <si>
    <t>Out of</t>
  </si>
  <si>
    <t>English</t>
  </si>
  <si>
    <t>Marathi</t>
  </si>
  <si>
    <t>Hindi</t>
  </si>
  <si>
    <t>Status</t>
  </si>
  <si>
    <t>Rank</t>
  </si>
  <si>
    <t>Grade</t>
  </si>
  <si>
    <t>Excellent</t>
  </si>
  <si>
    <t>Good</t>
  </si>
  <si>
    <t>Ok</t>
  </si>
  <si>
    <t>Poor</t>
  </si>
  <si>
    <t>Bad</t>
  </si>
  <si>
    <t>Date of Birth</t>
  </si>
  <si>
    <t>Class Teacher</t>
  </si>
  <si>
    <t>Father</t>
  </si>
  <si>
    <t>Contact Details</t>
  </si>
  <si>
    <t>Academic Details</t>
  </si>
  <si>
    <t>Telephone No.</t>
  </si>
  <si>
    <t>Mobile No.</t>
  </si>
  <si>
    <t>Mother</t>
  </si>
  <si>
    <t>(Surname)</t>
  </si>
  <si>
    <t>(First Name)</t>
  </si>
  <si>
    <t>AY</t>
  </si>
  <si>
    <t>(00 / 00 / 0000)</t>
  </si>
  <si>
    <t>Father Occupation</t>
  </si>
  <si>
    <t>%</t>
  </si>
  <si>
    <t>Subject</t>
  </si>
  <si>
    <t>Maths</t>
  </si>
  <si>
    <t>Sciense</t>
  </si>
  <si>
    <t>History</t>
  </si>
  <si>
    <t>Marks</t>
  </si>
  <si>
    <t>Geography</t>
  </si>
  <si>
    <t>Total</t>
  </si>
  <si>
    <t>Name</t>
  </si>
  <si>
    <t>Salman Khan</t>
  </si>
  <si>
    <t>Aishwarya Rai</t>
  </si>
  <si>
    <t>Vivek Oberoi</t>
  </si>
  <si>
    <t>Priyanka Chopra</t>
  </si>
  <si>
    <t>Shahrukh Khan</t>
  </si>
  <si>
    <t>Sanjay Dutt</t>
  </si>
  <si>
    <t>Aamir Khan</t>
  </si>
  <si>
    <t>5th</t>
  </si>
  <si>
    <t>A</t>
  </si>
  <si>
    <t>B</t>
  </si>
  <si>
    <t>C</t>
  </si>
  <si>
    <t>Madhuri Dixit</t>
  </si>
  <si>
    <t>A. Date</t>
  </si>
  <si>
    <t>Miss. Priya</t>
  </si>
  <si>
    <t>Pernal Details</t>
  </si>
  <si>
    <t>Father F</t>
  </si>
  <si>
    <t>Farther S</t>
  </si>
  <si>
    <t>DOB</t>
  </si>
  <si>
    <t>F Occ</t>
  </si>
  <si>
    <t>M Occ</t>
  </si>
  <si>
    <t>Tel</t>
  </si>
  <si>
    <t>Mobile</t>
  </si>
  <si>
    <t>Res. Add</t>
  </si>
  <si>
    <t>Math</t>
  </si>
  <si>
    <t>Sci</t>
  </si>
  <si>
    <t>His</t>
  </si>
  <si>
    <t>Geo</t>
  </si>
  <si>
    <t>-</t>
  </si>
  <si>
    <t>Sachin Tendulkar</t>
  </si>
  <si>
    <t>M S Dhoni</t>
  </si>
  <si>
    <t>Virat Kohli</t>
  </si>
  <si>
    <t>D</t>
  </si>
  <si>
    <t>Mr. Kumar</t>
  </si>
  <si>
    <t>&lt;35%</t>
  </si>
  <si>
    <t>&gt;=35&lt;=45</t>
  </si>
  <si>
    <t>&gt;45&lt;65</t>
  </si>
  <si>
    <t>&gt;65&lt;75</t>
  </si>
  <si>
    <t>&gt;75</t>
  </si>
  <si>
    <t>Miss. Margarita</t>
  </si>
  <si>
    <t>Sunil</t>
  </si>
  <si>
    <t>Nargis</t>
  </si>
  <si>
    <t>Tahir</t>
  </si>
  <si>
    <t>Hussain</t>
  </si>
  <si>
    <t>Zeenat</t>
  </si>
  <si>
    <t>Salim</t>
  </si>
  <si>
    <t>Khan</t>
  </si>
  <si>
    <t>Sushila</t>
  </si>
  <si>
    <t>Farmer</t>
  </si>
  <si>
    <t>Actor</t>
  </si>
  <si>
    <t>Business</t>
  </si>
  <si>
    <t>Housewife</t>
  </si>
  <si>
    <t>Service</t>
  </si>
  <si>
    <t>Doctor</t>
  </si>
  <si>
    <t>Chopra</t>
  </si>
  <si>
    <t>Dr. Ashok</t>
  </si>
  <si>
    <r>
      <t xml:space="preserve">© </t>
    </r>
    <r>
      <rPr>
        <b/>
        <sz val="11"/>
        <color rgb="FFFFC000"/>
        <rFont val="Calibri"/>
        <family val="2"/>
        <scheme val="minor"/>
      </rPr>
      <t>S</t>
    </r>
    <r>
      <rPr>
        <sz val="11"/>
        <color theme="0"/>
        <rFont val="Calibri"/>
        <family val="2"/>
        <scheme val="minor"/>
      </rPr>
      <t xml:space="preserve">anjay </t>
    </r>
    <r>
      <rPr>
        <b/>
        <sz val="11"/>
        <color rgb="FFFFC000"/>
        <rFont val="Calibri"/>
        <family val="2"/>
        <scheme val="minor"/>
      </rPr>
      <t>Z</t>
    </r>
    <r>
      <rPr>
        <sz val="11"/>
        <color theme="0"/>
        <rFont val="Calibri"/>
        <family val="2"/>
        <scheme val="minor"/>
      </rPr>
      <t>anwar</t>
    </r>
  </si>
  <si>
    <t>Contact - 9765974365      |       Email - sanjayzanwar9765@gmail.com</t>
  </si>
  <si>
    <t>Select Here</t>
  </si>
  <si>
    <t>Mother Occupation</t>
  </si>
  <si>
    <t>Male</t>
  </si>
  <si>
    <t>Female</t>
  </si>
  <si>
    <t>Religion</t>
  </si>
  <si>
    <t>Hindu</t>
  </si>
  <si>
    <t>Muslim</t>
  </si>
  <si>
    <t>Acteress</t>
  </si>
  <si>
    <t>Suresh</t>
  </si>
  <si>
    <t>Oberoi</t>
  </si>
  <si>
    <t>Yashodhara</t>
  </si>
  <si>
    <t>Krishnaraj</t>
  </si>
  <si>
    <t>Rai</t>
  </si>
  <si>
    <t>Brinda</t>
  </si>
  <si>
    <t>Madhu</t>
  </si>
  <si>
    <t>Fatima</t>
  </si>
  <si>
    <t>Shankar</t>
  </si>
  <si>
    <t>Dixit</t>
  </si>
  <si>
    <t>Snehlata</t>
  </si>
  <si>
    <t>Taj Mohd.</t>
  </si>
  <si>
    <t>Ramesh</t>
  </si>
  <si>
    <t>Tendulkar</t>
  </si>
  <si>
    <t>Rajni</t>
  </si>
  <si>
    <t>Dhoni</t>
  </si>
  <si>
    <t>Devika</t>
  </si>
  <si>
    <t>Pan Singh</t>
  </si>
  <si>
    <t>Prem</t>
  </si>
  <si>
    <t>Kohli</t>
  </si>
  <si>
    <t>Saroj</t>
  </si>
  <si>
    <t>010-98765</t>
  </si>
  <si>
    <t>020-12345</t>
  </si>
  <si>
    <t>030-23456</t>
  </si>
  <si>
    <t>040-22334</t>
  </si>
  <si>
    <t>050-11223</t>
  </si>
  <si>
    <t>001-12345</t>
  </si>
  <si>
    <t>002-23456</t>
  </si>
  <si>
    <t>020-99887</t>
  </si>
  <si>
    <t>025-65432</t>
  </si>
  <si>
    <t>001-56565</t>
  </si>
  <si>
    <t>030-12123</t>
  </si>
  <si>
    <t>aamirkhan@aamir.com</t>
  </si>
  <si>
    <t>sachin@tendulkar.net</t>
  </si>
  <si>
    <t>madhuri@nene.org</t>
  </si>
  <si>
    <t>msd@captain.in</t>
  </si>
  <si>
    <t>virat@sunshine.net</t>
  </si>
  <si>
    <t>sanjay@yerawada.com</t>
  </si>
  <si>
    <t>salman@shaadi.com</t>
  </si>
  <si>
    <t>aishwarya@beauty.com</t>
  </si>
  <si>
    <t>vivek@bhai.org</t>
  </si>
  <si>
    <t>priyanka@missworld.com</t>
  </si>
  <si>
    <t>11, Bela Vista Apartment, Pali Hill, Bandra W, Mumbai</t>
  </si>
  <si>
    <t>404, Ramlaxmi Niwas, Khar W, Mumbai</t>
  </si>
  <si>
    <t>Vijaydeep, 3rd Floor, Iris Park, Juhu, Mumbai</t>
  </si>
  <si>
    <t>Mannat, Bandra Sea face, Carter Road, Bandra W, Mumbai</t>
  </si>
  <si>
    <t>srk@ddlj.com</t>
  </si>
  <si>
    <t>58, Smt. Nargis Dutt Rd,Pali Hill, Bandra, Mumbai</t>
  </si>
  <si>
    <t>3, Galaxy Aprt, Carter Road, Bandstand, Bandra W, Mumbai</t>
  </si>
  <si>
    <t>A/144, Nibbana, Pali Hill, Bandra W, Mumbai</t>
  </si>
  <si>
    <t>Dorab Hill, 19-A, Perry Cross Rd, Mumbai</t>
  </si>
  <si>
    <t>5, Kartar Kunj, Golden Beach, Ruia Park, Juhu, Mumbai</t>
  </si>
  <si>
    <t>VK House, Pancham Vihar, Delhi</t>
  </si>
  <si>
    <t>Near Harmu Hsg. Soc., Ranchi Jharkhand - 834012</t>
  </si>
  <si>
    <t>Remark</t>
  </si>
  <si>
    <t>2013-14</t>
  </si>
  <si>
    <r>
      <rPr>
        <b/>
        <sz val="28"/>
        <color theme="0"/>
        <rFont val="Bradley Hand ITC"/>
        <family val="4"/>
      </rPr>
      <t>S</t>
    </r>
    <r>
      <rPr>
        <b/>
        <sz val="17"/>
        <color theme="0"/>
        <rFont val="Bradley Hand ITC"/>
        <family val="4"/>
      </rPr>
      <t>araswati</t>
    </r>
    <r>
      <rPr>
        <b/>
        <sz val="20"/>
        <color theme="0"/>
        <rFont val="Bradley Hand ITC"/>
        <family val="4"/>
      </rPr>
      <t xml:space="preserve"> </t>
    </r>
    <r>
      <rPr>
        <b/>
        <sz val="28"/>
        <color theme="0"/>
        <rFont val="Bradley Hand ITC"/>
        <family val="4"/>
      </rPr>
      <t>V</t>
    </r>
    <r>
      <rPr>
        <b/>
        <sz val="17"/>
        <color theme="0"/>
        <rFont val="Bradley Hand ITC"/>
        <family val="4"/>
      </rPr>
      <t>idya</t>
    </r>
    <r>
      <rPr>
        <b/>
        <sz val="20"/>
        <color theme="0"/>
        <rFont val="Bradley Hand ITC"/>
        <family val="4"/>
      </rPr>
      <t xml:space="preserve"> </t>
    </r>
    <r>
      <rPr>
        <b/>
        <sz val="28"/>
        <color theme="0"/>
        <rFont val="Bradley Hand ITC"/>
        <family val="4"/>
      </rPr>
      <t>B</t>
    </r>
    <r>
      <rPr>
        <b/>
        <sz val="17"/>
        <color theme="0"/>
        <rFont val="Bradley Hand ITC"/>
        <family val="4"/>
      </rPr>
      <t>huvan</t>
    </r>
    <r>
      <rPr>
        <sz val="20"/>
        <color theme="0"/>
        <rFont val="Calibri"/>
        <family val="2"/>
        <scheme val="minor"/>
      </rPr>
      <t xml:space="preserve"> </t>
    </r>
    <r>
      <rPr>
        <sz val="11"/>
        <color theme="4" tint="0.39997558519241921"/>
        <rFont val="Calibri"/>
        <family val="2"/>
        <scheme val="minor"/>
      </rPr>
      <t>Shivaji Nagar, Pune - 05</t>
    </r>
  </si>
  <si>
    <r>
      <rPr>
        <i/>
        <sz val="13"/>
        <color rgb="FFFFC000"/>
        <rFont val="Magneto"/>
        <family val="5"/>
      </rPr>
      <t>S</t>
    </r>
    <r>
      <rPr>
        <i/>
        <sz val="11"/>
        <color theme="0"/>
        <rFont val="Magneto"/>
        <family val="5"/>
      </rPr>
      <t>tudent</t>
    </r>
    <r>
      <rPr>
        <i/>
        <sz val="12"/>
        <color theme="0"/>
        <rFont val="Magneto"/>
        <family val="5"/>
      </rPr>
      <t xml:space="preserve"> </t>
    </r>
    <r>
      <rPr>
        <i/>
        <sz val="13"/>
        <color rgb="FFFFC000"/>
        <rFont val="Magneto"/>
        <family val="5"/>
      </rPr>
      <t>I</t>
    </r>
    <r>
      <rPr>
        <i/>
        <sz val="11"/>
        <color theme="0"/>
        <rFont val="Magneto"/>
        <family val="5"/>
      </rPr>
      <t>nformation</t>
    </r>
    <r>
      <rPr>
        <i/>
        <sz val="12"/>
        <color theme="0"/>
        <rFont val="Magneto"/>
        <family val="5"/>
      </rPr>
      <t xml:space="preserve"> </t>
    </r>
    <r>
      <rPr>
        <i/>
        <sz val="13"/>
        <color rgb="FFFFC000"/>
        <rFont val="Magneto"/>
        <family val="5"/>
      </rPr>
      <t>M</t>
    </r>
    <r>
      <rPr>
        <i/>
        <sz val="11"/>
        <color theme="0"/>
        <rFont val="Magneto"/>
        <family val="5"/>
      </rPr>
      <t>anager</t>
    </r>
  </si>
  <si>
    <t>Mr. Raj Malhotra</t>
  </si>
  <si>
    <t>Dutt</t>
  </si>
  <si>
    <t>&lt;35% = C, 35% - 45% = "B", 45% to 65% = "B+", 65% to 75% = "A", &gt;75% = "A+"</t>
  </si>
  <si>
    <t>Science</t>
  </si>
  <si>
    <t>Performance</t>
  </si>
  <si>
    <t>Photo</t>
  </si>
  <si>
    <t>Address</t>
  </si>
  <si>
    <t>Mark Details</t>
  </si>
  <si>
    <t>Personal and Contact Details</t>
  </si>
  <si>
    <t>Star - Rankwise</t>
  </si>
  <si>
    <r>
      <t xml:space="preserve">make it easy ! </t>
    </r>
    <r>
      <rPr>
        <b/>
        <i/>
        <sz val="10"/>
        <color rgb="FFFFC000"/>
        <rFont val="Webdings"/>
        <family val="1"/>
        <charset val="2"/>
      </rPr>
      <t>ÿ</t>
    </r>
  </si>
  <si>
    <r>
      <t xml:space="preserve">Just a 'Click' </t>
    </r>
    <r>
      <rPr>
        <sz val="11"/>
        <color theme="0"/>
        <rFont val="Wingdings"/>
        <charset val="2"/>
      </rPr>
      <t>8</t>
    </r>
  </si>
  <si>
    <r>
      <t xml:space="preserve">♥  I Love Excel  ♥      </t>
    </r>
    <r>
      <rPr>
        <i/>
        <sz val="8"/>
        <color theme="0"/>
        <rFont val="Calibri"/>
        <family val="2"/>
        <scheme val="minor"/>
      </rPr>
      <t>It's Awesome…!</t>
    </r>
  </si>
  <si>
    <t>Image</t>
  </si>
  <si>
    <t>&lt;-- Select Student from here</t>
  </si>
</sst>
</file>

<file path=xl/styles.xml><?xml version="1.0" encoding="utf-8"?>
<styleSheet xmlns="http://schemas.openxmlformats.org/spreadsheetml/2006/main">
  <numFmts count="2">
    <numFmt numFmtId="164" formatCode="[$-409]h:mm\ AM/PM;@"/>
    <numFmt numFmtId="165" formatCode="[$-F800]dddd\,\ mmmm\ dd\,\ yyyy"/>
  </numFmts>
  <fonts count="49">
    <font>
      <sz val="11"/>
      <color theme="1"/>
      <name val="Calibri"/>
      <family val="2"/>
      <scheme val="minor"/>
    </font>
    <font>
      <sz val="25"/>
      <name val="Calibri"/>
      <family val="2"/>
      <scheme val="minor"/>
    </font>
    <font>
      <b/>
      <sz val="20"/>
      <name val="Verdana"/>
      <family val="2"/>
    </font>
    <font>
      <sz val="11"/>
      <name val="Calibri"/>
      <family val="2"/>
      <scheme val="minor"/>
    </font>
    <font>
      <sz val="20"/>
      <name val="Calibri"/>
      <family val="2"/>
      <scheme val="minor"/>
    </font>
    <font>
      <sz val="20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28"/>
      <color theme="0"/>
      <name val="Bradley Hand ITC"/>
      <family val="4"/>
    </font>
    <font>
      <b/>
      <sz val="20"/>
      <color theme="0"/>
      <name val="Bradley Hand ITC"/>
      <family val="4"/>
    </font>
    <font>
      <sz val="10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sz val="20"/>
      <color theme="7" tint="0.59999389629810485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0"/>
      <name val="Magneto"/>
      <family val="5"/>
    </font>
    <font>
      <sz val="10"/>
      <color theme="7" tint="0.59999389629810485"/>
      <name val="Calibri"/>
      <family val="2"/>
      <scheme val="minor"/>
    </font>
    <font>
      <b/>
      <sz val="10"/>
      <name val="Verdana"/>
      <family val="2"/>
    </font>
    <font>
      <b/>
      <sz val="10"/>
      <color theme="4" tint="0.59999389629810485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Verdana"/>
      <family val="2"/>
    </font>
    <font>
      <b/>
      <sz val="8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1"/>
      <color theme="9" tint="0.59999389629810485"/>
      <name val="Calibri"/>
      <family val="2"/>
      <scheme val="minor"/>
    </font>
    <font>
      <sz val="11"/>
      <color theme="6" tint="0.59999389629810485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7"/>
      <color theme="0"/>
      <name val="Bradley Hand ITC"/>
      <family val="4"/>
    </font>
    <font>
      <i/>
      <sz val="11"/>
      <color theme="0"/>
      <name val="Magneto"/>
      <family val="5"/>
    </font>
    <font>
      <i/>
      <sz val="13"/>
      <color rgb="FFFFC000"/>
      <name val="Magneto"/>
      <family val="5"/>
    </font>
    <font>
      <sz val="8"/>
      <color theme="7" tint="0.59999389629810485"/>
      <name val="Calibri"/>
      <family val="2"/>
      <scheme val="minor"/>
    </font>
    <font>
      <i/>
      <sz val="8"/>
      <color theme="0"/>
      <name val="Calibri"/>
      <family val="2"/>
      <scheme val="minor"/>
    </font>
    <font>
      <sz val="11"/>
      <color theme="0"/>
      <name val="Forte"/>
      <family val="4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9" tint="0.59999389629810485"/>
      <name val="Verdana"/>
      <family val="2"/>
    </font>
    <font>
      <b/>
      <sz val="9"/>
      <color theme="7" tint="0.39997558519241921"/>
      <name val="Verdana"/>
      <family val="2"/>
    </font>
    <font>
      <b/>
      <sz val="9"/>
      <color theme="8" tint="0.59999389629810485"/>
      <name val="Verdana"/>
      <family val="2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Wingdings"/>
      <charset val="2"/>
    </font>
    <font>
      <b/>
      <i/>
      <sz val="10"/>
      <color rgb="FFFFC000"/>
      <name val="Webdings"/>
      <family val="1"/>
      <charset val="2"/>
    </font>
    <font>
      <sz val="11"/>
      <color theme="0"/>
      <name val="Wingdings"/>
      <charset val="2"/>
    </font>
    <font>
      <b/>
      <sz val="10"/>
      <color theme="0"/>
      <name val="Calibri"/>
      <family val="2"/>
      <scheme val="minor"/>
    </font>
    <font>
      <sz val="10"/>
      <color theme="5" tint="0.59999389629810485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49998474074526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11">
    <xf numFmtId="0" fontId="0" fillId="0" borderId="0" xfId="0"/>
    <xf numFmtId="0" fontId="1" fillId="0" borderId="0" xfId="0" applyFont="1" applyFill="1"/>
    <xf numFmtId="0" fontId="2" fillId="0" borderId="0" xfId="0" applyFont="1" applyFill="1" applyAlignment="1"/>
    <xf numFmtId="0" fontId="3" fillId="0" borderId="0" xfId="0" applyFont="1"/>
    <xf numFmtId="0" fontId="3" fillId="0" borderId="0" xfId="0" applyFont="1" applyFill="1"/>
    <xf numFmtId="0" fontId="6" fillId="0" borderId="0" xfId="0" applyFont="1" applyFill="1"/>
    <xf numFmtId="0" fontId="3" fillId="5" borderId="0" xfId="0" applyFont="1" applyFill="1"/>
    <xf numFmtId="0" fontId="6" fillId="5" borderId="0" xfId="0" applyFont="1" applyFill="1"/>
    <xf numFmtId="0" fontId="2" fillId="5" borderId="0" xfId="0" applyFont="1" applyFill="1" applyAlignment="1"/>
    <xf numFmtId="0" fontId="9" fillId="5" borderId="0" xfId="0" applyFont="1" applyFill="1" applyAlignment="1">
      <alignment vertical="center"/>
    </xf>
    <xf numFmtId="0" fontId="15" fillId="5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5" fillId="5" borderId="0" xfId="0" applyFont="1" applyFill="1" applyAlignment="1"/>
    <xf numFmtId="0" fontId="15" fillId="0" borderId="0" xfId="0" applyFont="1" applyFill="1" applyAlignment="1"/>
    <xf numFmtId="0" fontId="9" fillId="0" borderId="0" xfId="0" applyFont="1" applyFill="1"/>
    <xf numFmtId="0" fontId="9" fillId="0" borderId="0" xfId="0" applyFont="1" applyFill="1" applyAlignment="1"/>
    <xf numFmtId="0" fontId="9" fillId="7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9" borderId="1" xfId="0" applyFill="1" applyBorder="1"/>
    <xf numFmtId="0" fontId="0" fillId="0" borderId="1" xfId="0" applyBorder="1"/>
    <xf numFmtId="14" fontId="0" fillId="0" borderId="1" xfId="0" applyNumberFormat="1" applyBorder="1"/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0" fontId="0" fillId="0" borderId="1" xfId="1" applyNumberFormat="1" applyFont="1" applyBorder="1"/>
    <xf numFmtId="0" fontId="0" fillId="0" borderId="0" xfId="0" applyBorder="1"/>
    <xf numFmtId="0" fontId="0" fillId="0" borderId="1" xfId="0" applyBorder="1" applyAlignment="1">
      <alignment horizontal="left"/>
    </xf>
    <xf numFmtId="0" fontId="9" fillId="5" borderId="0" xfId="0" applyFont="1" applyFill="1" applyAlignment="1">
      <alignment horizontal="left" vertical="center"/>
    </xf>
    <xf numFmtId="0" fontId="9" fillId="7" borderId="0" xfId="0" applyFont="1" applyFill="1" applyBorder="1" applyAlignment="1">
      <alignment horizontal="left" vertical="center"/>
    </xf>
    <xf numFmtId="0" fontId="9" fillId="7" borderId="0" xfId="0" applyFont="1" applyFill="1" applyBorder="1" applyAlignment="1">
      <alignment vertical="center"/>
    </xf>
    <xf numFmtId="0" fontId="15" fillId="5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8" fillId="7" borderId="0" xfId="0" applyFont="1" applyFill="1" applyBorder="1" applyAlignment="1">
      <alignment horizontal="left" vertical="center"/>
    </xf>
    <xf numFmtId="0" fontId="20" fillId="5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9" fillId="5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11" borderId="0" xfId="0" applyFont="1" applyFill="1" applyBorder="1" applyAlignment="1">
      <alignment horizontal="left" vertical="center"/>
    </xf>
    <xf numFmtId="0" fontId="18" fillId="11" borderId="0" xfId="0" applyFont="1" applyFill="1" applyBorder="1" applyAlignment="1">
      <alignment horizontal="left" vertical="center"/>
    </xf>
    <xf numFmtId="0" fontId="9" fillId="11" borderId="0" xfId="0" applyFont="1" applyFill="1" applyBorder="1" applyAlignment="1">
      <alignment horizontal="center" vertical="center"/>
    </xf>
    <xf numFmtId="14" fontId="9" fillId="7" borderId="0" xfId="0" applyNumberFormat="1" applyFont="1" applyFill="1" applyBorder="1" applyAlignment="1">
      <alignment vertical="center"/>
    </xf>
    <xf numFmtId="0" fontId="0" fillId="0" borderId="0" xfId="0" applyFill="1" applyBorder="1"/>
    <xf numFmtId="0" fontId="13" fillId="5" borderId="16" xfId="0" applyFont="1" applyFill="1" applyBorder="1" applyAlignment="1"/>
    <xf numFmtId="0" fontId="32" fillId="5" borderId="16" xfId="0" applyFont="1" applyFill="1" applyBorder="1" applyAlignment="1"/>
    <xf numFmtId="0" fontId="25" fillId="5" borderId="0" xfId="0" applyFont="1" applyFill="1" applyAlignment="1"/>
    <xf numFmtId="0" fontId="25" fillId="5" borderId="0" xfId="0" applyFont="1" applyFill="1" applyBorder="1" applyAlignment="1"/>
    <xf numFmtId="0" fontId="25" fillId="0" borderId="0" xfId="0" applyFont="1" applyAlignment="1"/>
    <xf numFmtId="0" fontId="9" fillId="0" borderId="0" xfId="0" applyFont="1" applyFill="1" applyBorder="1"/>
    <xf numFmtId="0" fontId="9" fillId="7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9" fillId="14" borderId="13" xfId="0" applyFont="1" applyFill="1" applyBorder="1" applyAlignment="1">
      <alignment horizontal="left" vertical="center"/>
    </xf>
    <xf numFmtId="0" fontId="9" fillId="14" borderId="0" xfId="0" applyFont="1" applyFill="1" applyBorder="1" applyAlignment="1">
      <alignment horizontal="left" vertical="center"/>
    </xf>
    <xf numFmtId="0" fontId="9" fillId="14" borderId="14" xfId="0" applyFont="1" applyFill="1" applyBorder="1" applyAlignment="1">
      <alignment horizontal="left" vertical="center"/>
    </xf>
    <xf numFmtId="0" fontId="4" fillId="14" borderId="0" xfId="0" applyFont="1" applyFill="1" applyBorder="1" applyAlignment="1">
      <alignment horizontal="center" wrapText="1"/>
    </xf>
    <xf numFmtId="0" fontId="2" fillId="14" borderId="14" xfId="0" applyFont="1" applyFill="1" applyBorder="1" applyAlignment="1">
      <alignment vertical="top"/>
    </xf>
    <xf numFmtId="0" fontId="9" fillId="14" borderId="0" xfId="0" applyFont="1" applyFill="1" applyAlignment="1">
      <alignment vertical="center"/>
    </xf>
    <xf numFmtId="0" fontId="15" fillId="14" borderId="14" xfId="0" applyFont="1" applyFill="1" applyBorder="1" applyAlignment="1">
      <alignment vertical="center"/>
    </xf>
    <xf numFmtId="0" fontId="9" fillId="14" borderId="0" xfId="0" applyFont="1" applyFill="1" applyBorder="1" applyAlignment="1">
      <alignment horizontal="center" wrapText="1"/>
    </xf>
    <xf numFmtId="0" fontId="15" fillId="14" borderId="14" xfId="0" applyFont="1" applyFill="1" applyBorder="1" applyAlignment="1">
      <alignment vertical="top"/>
    </xf>
    <xf numFmtId="0" fontId="6" fillId="14" borderId="10" xfId="0" applyFont="1" applyFill="1" applyBorder="1"/>
    <xf numFmtId="0" fontId="1" fillId="14" borderId="13" xfId="0" applyFont="1" applyFill="1" applyBorder="1"/>
    <xf numFmtId="0" fontId="9" fillId="14" borderId="13" xfId="0" applyFont="1" applyFill="1" applyBorder="1" applyAlignment="1">
      <alignment vertical="center"/>
    </xf>
    <xf numFmtId="0" fontId="9" fillId="14" borderId="13" xfId="0" applyFont="1" applyFill="1" applyBorder="1"/>
    <xf numFmtId="0" fontId="9" fillId="14" borderId="13" xfId="0" applyFont="1" applyFill="1" applyBorder="1" applyAlignment="1"/>
    <xf numFmtId="0" fontId="18" fillId="14" borderId="13" xfId="0" applyFont="1" applyFill="1" applyBorder="1" applyAlignment="1">
      <alignment horizontal="left" vertical="center"/>
    </xf>
    <xf numFmtId="0" fontId="6" fillId="14" borderId="13" xfId="0" applyFont="1" applyFill="1" applyBorder="1" applyAlignment="1">
      <alignment horizontal="left" vertical="center"/>
    </xf>
    <xf numFmtId="0" fontId="9" fillId="14" borderId="15" xfId="0" applyFont="1" applyFill="1" applyBorder="1" applyAlignment="1">
      <alignment vertical="center"/>
    </xf>
    <xf numFmtId="0" fontId="9" fillId="14" borderId="0" xfId="0" applyFont="1" applyFill="1" applyBorder="1" applyAlignment="1">
      <alignment vertical="center"/>
    </xf>
    <xf numFmtId="0" fontId="35" fillId="14" borderId="0" xfId="0" applyFont="1" applyFill="1" applyBorder="1" applyAlignment="1">
      <alignment horizontal="left" vertical="center"/>
    </xf>
    <xf numFmtId="0" fontId="9" fillId="14" borderId="16" xfId="0" applyFont="1" applyFill="1" applyBorder="1" applyAlignment="1">
      <alignment vertical="center"/>
    </xf>
    <xf numFmtId="0" fontId="9" fillId="14" borderId="0" xfId="0" applyFont="1" applyFill="1" applyAlignment="1"/>
    <xf numFmtId="0" fontId="9" fillId="14" borderId="0" xfId="0" applyFont="1" applyFill="1" applyAlignment="1">
      <alignment horizontal="left" vertical="center"/>
    </xf>
    <xf numFmtId="0" fontId="18" fillId="14" borderId="0" xfId="0" applyFont="1" applyFill="1" applyAlignment="1">
      <alignment horizontal="left" vertical="center"/>
    </xf>
    <xf numFmtId="0" fontId="6" fillId="14" borderId="11" xfId="0" applyFont="1" applyFill="1" applyBorder="1"/>
    <xf numFmtId="0" fontId="6" fillId="14" borderId="12" xfId="0" applyFont="1" applyFill="1" applyBorder="1"/>
    <xf numFmtId="0" fontId="11" fillId="14" borderId="0" xfId="0" applyFont="1" applyFill="1" applyBorder="1" applyAlignment="1">
      <alignment horizontal="center" wrapText="1"/>
    </xf>
    <xf numFmtId="0" fontId="14" fillId="14" borderId="0" xfId="0" applyFont="1" applyFill="1" applyBorder="1" applyAlignment="1">
      <alignment horizontal="center" wrapText="1"/>
    </xf>
    <xf numFmtId="0" fontId="9" fillId="14" borderId="0" xfId="0" applyFont="1" applyFill="1" applyBorder="1" applyAlignment="1">
      <alignment horizontal="center" vertical="center"/>
    </xf>
    <xf numFmtId="0" fontId="17" fillId="14" borderId="0" xfId="0" applyFont="1" applyFill="1" applyBorder="1" applyAlignment="1">
      <alignment vertical="center"/>
    </xf>
    <xf numFmtId="0" fontId="17" fillId="14" borderId="0" xfId="0" applyFont="1" applyFill="1" applyBorder="1" applyAlignment="1">
      <alignment horizontal="center" vertical="center"/>
    </xf>
    <xf numFmtId="0" fontId="6" fillId="14" borderId="0" xfId="0" applyFont="1" applyFill="1" applyBorder="1" applyAlignment="1">
      <alignment horizontal="left" vertical="center"/>
    </xf>
    <xf numFmtId="0" fontId="6" fillId="14" borderId="0" xfId="0" applyFont="1" applyFill="1" applyBorder="1" applyAlignment="1">
      <alignment vertical="center"/>
    </xf>
    <xf numFmtId="0" fontId="6" fillId="14" borderId="14" xfId="0" applyFont="1" applyFill="1" applyBorder="1" applyAlignment="1">
      <alignment horizontal="left" vertical="center"/>
    </xf>
    <xf numFmtId="0" fontId="9" fillId="14" borderId="17" xfId="0" applyFont="1" applyFill="1" applyBorder="1" applyAlignment="1">
      <alignment vertical="center"/>
    </xf>
    <xf numFmtId="0" fontId="15" fillId="14" borderId="14" xfId="0" applyFont="1" applyFill="1" applyBorder="1" applyAlignment="1">
      <alignment horizontal="left" vertical="center"/>
    </xf>
    <xf numFmtId="0" fontId="20" fillId="14" borderId="14" xfId="0" applyFont="1" applyFill="1" applyBorder="1" applyAlignment="1">
      <alignment horizontal="left" vertical="center"/>
    </xf>
    <xf numFmtId="0" fontId="21" fillId="14" borderId="14" xfId="0" applyFont="1" applyFill="1" applyBorder="1" applyAlignment="1">
      <alignment horizontal="left" vertical="center"/>
    </xf>
    <xf numFmtId="0" fontId="9" fillId="11" borderId="2" xfId="0" applyFont="1" applyFill="1" applyBorder="1" applyAlignment="1">
      <alignment horizontal="left" vertical="center"/>
    </xf>
    <xf numFmtId="0" fontId="9" fillId="11" borderId="4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0" fillId="14" borderId="0" xfId="0" applyFill="1" applyBorder="1"/>
    <xf numFmtId="0" fontId="9" fillId="18" borderId="0" xfId="0" applyFont="1" applyFill="1" applyBorder="1" applyAlignment="1">
      <alignment horizontal="left" vertical="center"/>
    </xf>
    <xf numFmtId="0" fontId="9" fillId="18" borderId="0" xfId="0" applyFont="1" applyFill="1" applyBorder="1" applyAlignment="1">
      <alignment horizontal="center" vertical="center"/>
    </xf>
    <xf numFmtId="0" fontId="17" fillId="11" borderId="0" xfId="0" applyFont="1" applyFill="1" applyBorder="1" applyAlignment="1">
      <alignment horizontal="center" vertical="center"/>
    </xf>
    <xf numFmtId="0" fontId="17" fillId="11" borderId="0" xfId="0" applyFont="1" applyFill="1" applyBorder="1" applyAlignment="1">
      <alignment vertical="center"/>
    </xf>
    <xf numFmtId="0" fontId="17" fillId="11" borderId="5" xfId="0" applyFont="1" applyFill="1" applyBorder="1" applyAlignment="1">
      <alignment vertical="center"/>
    </xf>
    <xf numFmtId="0" fontId="17" fillId="11" borderId="3" xfId="0" applyFont="1" applyFill="1" applyBorder="1" applyAlignment="1">
      <alignment vertical="center"/>
    </xf>
    <xf numFmtId="0" fontId="17" fillId="14" borderId="0" xfId="0" applyFont="1" applyFill="1" applyBorder="1" applyAlignment="1">
      <alignment vertical="center" wrapText="1"/>
    </xf>
    <xf numFmtId="0" fontId="0" fillId="14" borderId="0" xfId="0" applyFill="1" applyBorder="1" applyAlignment="1"/>
    <xf numFmtId="0" fontId="9" fillId="11" borderId="2" xfId="0" applyFont="1" applyFill="1" applyBorder="1" applyAlignment="1">
      <alignment horizontal="center" vertical="center"/>
    </xf>
    <xf numFmtId="0" fontId="9" fillId="11" borderId="21" xfId="0" applyFont="1" applyFill="1" applyBorder="1" applyAlignment="1">
      <alignment horizontal="center" vertical="center"/>
    </xf>
    <xf numFmtId="0" fontId="17" fillId="11" borderId="18" xfId="0" applyFont="1" applyFill="1" applyBorder="1" applyAlignment="1">
      <alignment vertical="center"/>
    </xf>
    <xf numFmtId="0" fontId="17" fillId="11" borderId="22" xfId="0" applyFont="1" applyFill="1" applyBorder="1" applyAlignment="1">
      <alignment vertical="center"/>
    </xf>
    <xf numFmtId="0" fontId="9" fillId="11" borderId="3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17" fillId="11" borderId="6" xfId="0" applyFont="1" applyFill="1" applyBorder="1" applyAlignment="1">
      <alignment vertical="center"/>
    </xf>
    <xf numFmtId="0" fontId="9" fillId="11" borderId="5" xfId="0" applyFont="1" applyFill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9" fillId="18" borderId="0" xfId="0" applyFont="1" applyFill="1" applyBorder="1" applyAlignment="1">
      <alignment horizontal="center"/>
    </xf>
    <xf numFmtId="0" fontId="14" fillId="18" borderId="0" xfId="0" applyFont="1" applyFill="1" applyBorder="1" applyAlignment="1">
      <alignment horizontal="center"/>
    </xf>
    <xf numFmtId="0" fontId="9" fillId="18" borderId="0" xfId="0" applyFont="1" applyFill="1" applyBorder="1" applyAlignment="1"/>
    <xf numFmtId="0" fontId="9" fillId="18" borderId="0" xfId="0" applyFont="1" applyFill="1" applyBorder="1" applyAlignment="1">
      <alignment vertical="center"/>
    </xf>
    <xf numFmtId="0" fontId="18" fillId="18" borderId="0" xfId="0" applyFont="1" applyFill="1" applyBorder="1" applyAlignment="1">
      <alignment horizontal="left" vertical="center"/>
    </xf>
    <xf numFmtId="0" fontId="14" fillId="18" borderId="0" xfId="0" applyFont="1" applyFill="1" applyBorder="1" applyAlignment="1">
      <alignment horizontal="left" vertical="center"/>
    </xf>
    <xf numFmtId="0" fontId="19" fillId="18" borderId="0" xfId="0" applyFont="1" applyFill="1" applyBorder="1" applyAlignment="1">
      <alignment vertical="center"/>
    </xf>
    <xf numFmtId="0" fontId="31" fillId="18" borderId="0" xfId="0" applyFont="1" applyFill="1" applyBorder="1" applyAlignment="1">
      <alignment horizontal="left" vertical="center"/>
    </xf>
    <xf numFmtId="14" fontId="9" fillId="18" borderId="0" xfId="0" applyNumberFormat="1" applyFont="1" applyFill="1" applyBorder="1" applyAlignment="1">
      <alignment horizontal="center" vertical="center"/>
    </xf>
    <xf numFmtId="0" fontId="19" fillId="18" borderId="0" xfId="0" applyFont="1" applyFill="1" applyBorder="1" applyAlignment="1">
      <alignment horizontal="center" vertical="center"/>
    </xf>
    <xf numFmtId="0" fontId="9" fillId="18" borderId="26" xfId="0" applyFont="1" applyFill="1" applyBorder="1" applyAlignment="1">
      <alignment horizontal="center"/>
    </xf>
    <xf numFmtId="0" fontId="9" fillId="18" borderId="27" xfId="0" applyFont="1" applyFill="1" applyBorder="1" applyAlignment="1"/>
    <xf numFmtId="0" fontId="9" fillId="18" borderId="26" xfId="0" applyFont="1" applyFill="1" applyBorder="1" applyAlignment="1">
      <alignment horizontal="left" vertical="center"/>
    </xf>
    <xf numFmtId="0" fontId="9" fillId="18" borderId="27" xfId="0" applyFont="1" applyFill="1" applyBorder="1" applyAlignment="1">
      <alignment vertical="center"/>
    </xf>
    <xf numFmtId="0" fontId="18" fillId="18" borderId="26" xfId="0" applyFont="1" applyFill="1" applyBorder="1" applyAlignment="1">
      <alignment horizontal="left" vertical="center"/>
    </xf>
    <xf numFmtId="0" fontId="18" fillId="18" borderId="27" xfId="0" applyFont="1" applyFill="1" applyBorder="1" applyAlignment="1">
      <alignment horizontal="left" vertical="center"/>
    </xf>
    <xf numFmtId="0" fontId="9" fillId="18" borderId="27" xfId="0" applyFont="1" applyFill="1" applyBorder="1" applyAlignment="1">
      <alignment horizontal="left" vertical="center"/>
    </xf>
    <xf numFmtId="0" fontId="9" fillId="18" borderId="27" xfId="0" applyFont="1" applyFill="1" applyBorder="1" applyAlignment="1">
      <alignment vertical="center" wrapText="1"/>
    </xf>
    <xf numFmtId="0" fontId="9" fillId="18" borderId="28" xfId="0" applyFont="1" applyFill="1" applyBorder="1" applyAlignment="1">
      <alignment horizontal="left" vertical="center"/>
    </xf>
    <xf numFmtId="0" fontId="9" fillId="18" borderId="29" xfId="0" applyFont="1" applyFill="1" applyBorder="1" applyAlignment="1">
      <alignment horizontal="left" vertical="center"/>
    </xf>
    <xf numFmtId="0" fontId="14" fillId="18" borderId="29" xfId="0" applyFont="1" applyFill="1" applyBorder="1" applyAlignment="1">
      <alignment horizontal="left" vertical="center"/>
    </xf>
    <xf numFmtId="0" fontId="9" fillId="18" borderId="30" xfId="0" applyFont="1" applyFill="1" applyBorder="1" applyAlignment="1">
      <alignment horizontal="left" vertical="center"/>
    </xf>
    <xf numFmtId="0" fontId="9" fillId="11" borderId="26" xfId="0" applyFont="1" applyFill="1" applyBorder="1" applyAlignment="1">
      <alignment horizontal="center" vertical="center"/>
    </xf>
    <xf numFmtId="0" fontId="17" fillId="11" borderId="27" xfId="0" applyFont="1" applyFill="1" applyBorder="1" applyAlignment="1">
      <alignment horizontal="center" vertical="center"/>
    </xf>
    <xf numFmtId="0" fontId="17" fillId="11" borderId="27" xfId="0" applyFont="1" applyFill="1" applyBorder="1" applyAlignment="1">
      <alignment vertical="center"/>
    </xf>
    <xf numFmtId="0" fontId="0" fillId="11" borderId="27" xfId="0" applyFill="1" applyBorder="1"/>
    <xf numFmtId="0" fontId="9" fillId="11" borderId="36" xfId="0" applyFont="1" applyFill="1" applyBorder="1" applyAlignment="1">
      <alignment horizontal="center" vertical="center"/>
    </xf>
    <xf numFmtId="0" fontId="9" fillId="10" borderId="39" xfId="0" applyFont="1" applyFill="1" applyBorder="1" applyAlignment="1">
      <alignment horizontal="left" vertical="center"/>
    </xf>
    <xf numFmtId="0" fontId="9" fillId="10" borderId="40" xfId="0" applyFont="1" applyFill="1" applyBorder="1" applyAlignment="1">
      <alignment horizontal="left" vertical="center"/>
    </xf>
    <xf numFmtId="0" fontId="17" fillId="10" borderId="40" xfId="0" applyFont="1" applyFill="1" applyBorder="1" applyAlignment="1">
      <alignment vertical="center"/>
    </xf>
    <xf numFmtId="0" fontId="0" fillId="10" borderId="40" xfId="0" applyFill="1" applyBorder="1" applyAlignment="1"/>
    <xf numFmtId="0" fontId="0" fillId="10" borderId="41" xfId="0" applyFill="1" applyBorder="1" applyAlignment="1"/>
    <xf numFmtId="0" fontId="9" fillId="7" borderId="26" xfId="0" applyFont="1" applyFill="1" applyBorder="1" applyAlignment="1">
      <alignment horizontal="center"/>
    </xf>
    <xf numFmtId="0" fontId="9" fillId="7" borderId="27" xfId="0" applyFont="1" applyFill="1" applyBorder="1" applyAlignment="1">
      <alignment horizontal="center"/>
    </xf>
    <xf numFmtId="0" fontId="9" fillId="7" borderId="26" xfId="0" applyFont="1" applyFill="1" applyBorder="1" applyAlignment="1">
      <alignment horizontal="left" vertical="center"/>
    </xf>
    <xf numFmtId="0" fontId="9" fillId="7" borderId="27" xfId="0" applyFont="1" applyFill="1" applyBorder="1" applyAlignment="1">
      <alignment horizontal="left" vertical="center"/>
    </xf>
    <xf numFmtId="0" fontId="18" fillId="7" borderId="26" xfId="0" applyFont="1" applyFill="1" applyBorder="1" applyAlignment="1">
      <alignment horizontal="left" vertical="center"/>
    </xf>
    <xf numFmtId="0" fontId="18" fillId="7" borderId="27" xfId="0" applyFont="1" applyFill="1" applyBorder="1" applyAlignment="1">
      <alignment horizontal="left" vertical="center"/>
    </xf>
    <xf numFmtId="0" fontId="9" fillId="7" borderId="28" xfId="0" applyFont="1" applyFill="1" applyBorder="1" applyAlignment="1">
      <alignment horizontal="left" vertical="center"/>
    </xf>
    <xf numFmtId="0" fontId="9" fillId="7" borderId="29" xfId="0" applyFont="1" applyFill="1" applyBorder="1" applyAlignment="1">
      <alignment horizontal="left" vertical="center"/>
    </xf>
    <xf numFmtId="0" fontId="9" fillId="7" borderId="30" xfId="0" applyFont="1" applyFill="1" applyBorder="1" applyAlignment="1">
      <alignment horizontal="left" vertical="center"/>
    </xf>
    <xf numFmtId="0" fontId="18" fillId="11" borderId="0" xfId="0" applyFont="1" applyFill="1" applyBorder="1" applyAlignment="1">
      <alignment horizontal="center" vertical="center"/>
    </xf>
    <xf numFmtId="0" fontId="34" fillId="14" borderId="0" xfId="0" applyFont="1" applyFill="1" applyBorder="1" applyAlignment="1" applyProtection="1">
      <alignment vertical="center" wrapText="1"/>
    </xf>
    <xf numFmtId="0" fontId="9" fillId="14" borderId="0" xfId="0" applyFont="1" applyFill="1" applyBorder="1" applyAlignment="1" applyProtection="1">
      <alignment horizontal="center" vertical="center" wrapText="1"/>
    </xf>
    <xf numFmtId="165" fontId="9" fillId="14" borderId="0" xfId="0" applyNumberFormat="1" applyFont="1" applyFill="1" applyBorder="1" applyAlignment="1" applyProtection="1">
      <alignment horizontal="left" vertical="center" wrapText="1"/>
    </xf>
    <xf numFmtId="0" fontId="27" fillId="5" borderId="14" xfId="0" applyFont="1" applyFill="1" applyBorder="1" applyAlignment="1">
      <alignment textRotation="90"/>
    </xf>
    <xf numFmtId="0" fontId="43" fillId="5" borderId="0" xfId="0" applyFont="1" applyFill="1"/>
    <xf numFmtId="0" fontId="0" fillId="8" borderId="1" xfId="0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8" borderId="43" xfId="0" applyFill="1" applyBorder="1" applyAlignment="1">
      <alignment horizontal="center"/>
    </xf>
    <xf numFmtId="0" fontId="0" fillId="13" borderId="0" xfId="0" applyFill="1" applyBorder="1" applyAlignment="1">
      <alignment vertical="center"/>
    </xf>
    <xf numFmtId="0" fontId="0" fillId="0" borderId="7" xfId="0" applyBorder="1" applyAlignment="1">
      <alignment vertical="center"/>
    </xf>
    <xf numFmtId="0" fontId="45" fillId="20" borderId="31" xfId="0" applyFont="1" applyFill="1" applyBorder="1" applyAlignment="1">
      <alignment vertical="center" wrapText="1"/>
    </xf>
    <xf numFmtId="0" fontId="45" fillId="20" borderId="32" xfId="0" applyFont="1" applyFill="1" applyBorder="1" applyAlignment="1">
      <alignment vertical="center" wrapText="1"/>
    </xf>
    <xf numFmtId="0" fontId="45" fillId="20" borderId="32" xfId="0" applyFont="1" applyFill="1" applyBorder="1" applyAlignment="1">
      <alignment horizontal="left" vertical="center"/>
    </xf>
    <xf numFmtId="0" fontId="45" fillId="20" borderId="33" xfId="0" applyFont="1" applyFill="1" applyBorder="1" applyAlignment="1">
      <alignment horizontal="left" vertical="center"/>
    </xf>
    <xf numFmtId="0" fontId="45" fillId="20" borderId="26" xfId="0" applyFont="1" applyFill="1" applyBorder="1" applyAlignment="1">
      <alignment vertical="center" wrapText="1"/>
    </xf>
    <xf numFmtId="0" fontId="45" fillId="20" borderId="0" xfId="0" applyFont="1" applyFill="1" applyBorder="1" applyAlignment="1">
      <alignment vertical="center" wrapText="1"/>
    </xf>
    <xf numFmtId="0" fontId="47" fillId="20" borderId="0" xfId="0" applyFont="1" applyFill="1" applyBorder="1" applyAlignment="1">
      <alignment vertical="center" wrapText="1"/>
    </xf>
    <xf numFmtId="0" fontId="47" fillId="20" borderId="0" xfId="0" applyFont="1" applyFill="1" applyBorder="1" applyAlignment="1">
      <alignment horizontal="left" vertical="center"/>
    </xf>
    <xf numFmtId="0" fontId="47" fillId="20" borderId="0" xfId="0" applyFont="1" applyFill="1" applyAlignment="1">
      <alignment horizontal="left" vertical="center"/>
    </xf>
    <xf numFmtId="0" fontId="45" fillId="20" borderId="0" xfId="0" applyFont="1" applyFill="1" applyBorder="1" applyAlignment="1">
      <alignment horizontal="left" vertical="center"/>
    </xf>
    <xf numFmtId="0" fontId="45" fillId="20" borderId="27" xfId="0" applyFont="1" applyFill="1" applyBorder="1" applyAlignment="1">
      <alignment horizontal="left" vertical="center"/>
    </xf>
    <xf numFmtId="0" fontId="45" fillId="20" borderId="26" xfId="0" applyFont="1" applyFill="1" applyBorder="1" applyAlignment="1">
      <alignment horizontal="center" vertical="center"/>
    </xf>
    <xf numFmtId="0" fontId="45" fillId="20" borderId="0" xfId="0" applyFont="1" applyFill="1" applyBorder="1" applyAlignment="1">
      <alignment horizontal="center" vertical="center"/>
    </xf>
    <xf numFmtId="0" fontId="46" fillId="20" borderId="26" xfId="0" applyFont="1" applyFill="1" applyBorder="1"/>
    <xf numFmtId="0" fontId="46" fillId="20" borderId="0" xfId="0" applyFont="1" applyFill="1" applyBorder="1"/>
    <xf numFmtId="0" fontId="45" fillId="20" borderId="26" xfId="0" applyFont="1" applyFill="1" applyBorder="1" applyAlignment="1">
      <alignment vertical="center"/>
    </xf>
    <xf numFmtId="0" fontId="45" fillId="20" borderId="0" xfId="0" applyFont="1" applyFill="1" applyBorder="1" applyAlignment="1">
      <alignment vertical="center"/>
    </xf>
    <xf numFmtId="0" fontId="47" fillId="20" borderId="0" xfId="0" applyFont="1" applyFill="1" applyBorder="1" applyAlignment="1">
      <alignment vertical="center"/>
    </xf>
    <xf numFmtId="0" fontId="46" fillId="20" borderId="28" xfId="0" applyFont="1" applyFill="1" applyBorder="1" applyAlignment="1"/>
    <xf numFmtId="0" fontId="46" fillId="20" borderId="29" xfId="0" applyFont="1" applyFill="1" applyBorder="1" applyAlignment="1"/>
    <xf numFmtId="0" fontId="45" fillId="20" borderId="29" xfId="0" applyFont="1" applyFill="1" applyBorder="1" applyAlignment="1">
      <alignment horizontal="left" vertical="center"/>
    </xf>
    <xf numFmtId="0" fontId="45" fillId="20" borderId="30" xfId="0" applyFont="1" applyFill="1" applyBorder="1" applyAlignment="1">
      <alignment horizontal="left" vertical="center"/>
    </xf>
    <xf numFmtId="0" fontId="0" fillId="0" borderId="0" xfId="0" applyFill="1"/>
    <xf numFmtId="0" fontId="34" fillId="14" borderId="0" xfId="0" applyFont="1" applyFill="1" applyBorder="1" applyAlignment="1" applyProtection="1">
      <alignment horizontal="left" vertical="center"/>
    </xf>
    <xf numFmtId="0" fontId="34" fillId="14" borderId="0" xfId="0" applyFont="1" applyFill="1" applyBorder="1" applyAlignment="1">
      <alignment horizontal="center" vertical="center" wrapText="1"/>
    </xf>
    <xf numFmtId="0" fontId="39" fillId="5" borderId="11" xfId="0" applyFont="1" applyFill="1" applyBorder="1" applyAlignment="1">
      <alignment horizontal="center"/>
    </xf>
    <xf numFmtId="0" fontId="18" fillId="11" borderId="7" xfId="0" applyFont="1" applyFill="1" applyBorder="1" applyAlignment="1">
      <alignment horizontal="center" vertical="center"/>
    </xf>
    <xf numFmtId="0" fontId="18" fillId="11" borderId="8" xfId="0" applyFont="1" applyFill="1" applyBorder="1" applyAlignment="1">
      <alignment horizontal="center" vertical="center"/>
    </xf>
    <xf numFmtId="0" fontId="18" fillId="11" borderId="9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32" xfId="0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center" vertical="center"/>
    </xf>
    <xf numFmtId="0" fontId="17" fillId="10" borderId="7" xfId="0" applyFont="1" applyFill="1" applyBorder="1" applyAlignment="1">
      <alignment horizontal="center" vertical="center"/>
    </xf>
    <xf numFmtId="0" fontId="17" fillId="10" borderId="8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vertical="center"/>
    </xf>
    <xf numFmtId="0" fontId="9" fillId="11" borderId="0" xfId="0" applyFont="1" applyFill="1" applyBorder="1" applyAlignment="1">
      <alignment vertical="center"/>
    </xf>
    <xf numFmtId="0" fontId="9" fillId="11" borderId="3" xfId="0" applyFont="1" applyFill="1" applyBorder="1" applyAlignment="1">
      <alignment vertical="center"/>
    </xf>
    <xf numFmtId="0" fontId="9" fillId="11" borderId="2" xfId="0" applyFont="1" applyFill="1" applyBorder="1" applyAlignment="1">
      <alignment horizontal="center" vertical="center"/>
    </xf>
    <xf numFmtId="0" fontId="0" fillId="11" borderId="0" xfId="0" applyFill="1" applyBorder="1"/>
    <xf numFmtId="0" fontId="0" fillId="11" borderId="3" xfId="0" applyFill="1" applyBorder="1"/>
    <xf numFmtId="0" fontId="6" fillId="14" borderId="7" xfId="0" applyFont="1" applyFill="1" applyBorder="1" applyAlignment="1">
      <alignment horizontal="left" vertical="center"/>
    </xf>
    <xf numFmtId="0" fontId="6" fillId="14" borderId="9" xfId="0" applyFont="1" applyFill="1" applyBorder="1" applyAlignment="1">
      <alignment horizontal="left" vertical="center"/>
    </xf>
    <xf numFmtId="0" fontId="35" fillId="14" borderId="7" xfId="0" applyFont="1" applyFill="1" applyBorder="1" applyAlignment="1">
      <alignment horizontal="center" vertical="center"/>
    </xf>
    <xf numFmtId="0" fontId="35" fillId="14" borderId="9" xfId="0" applyFont="1" applyFill="1" applyBorder="1" applyAlignment="1">
      <alignment horizontal="center" vertical="center"/>
    </xf>
    <xf numFmtId="0" fontId="35" fillId="14" borderId="8" xfId="0" applyFont="1" applyFill="1" applyBorder="1" applyAlignment="1">
      <alignment horizontal="center" vertical="center"/>
    </xf>
    <xf numFmtId="0" fontId="6" fillId="14" borderId="7" xfId="0" applyFont="1" applyFill="1" applyBorder="1" applyAlignment="1">
      <alignment horizontal="center" vertical="center"/>
    </xf>
    <xf numFmtId="0" fontId="6" fillId="14" borderId="9" xfId="0" applyFont="1" applyFill="1" applyBorder="1" applyAlignment="1">
      <alignment horizontal="center" vertical="center"/>
    </xf>
    <xf numFmtId="0" fontId="9" fillId="11" borderId="0" xfId="0" applyFont="1" applyFill="1" applyBorder="1" applyAlignment="1">
      <alignment horizontal="center" vertical="center"/>
    </xf>
    <xf numFmtId="0" fontId="9" fillId="10" borderId="7" xfId="0" applyFont="1" applyFill="1" applyBorder="1" applyAlignment="1">
      <alignment horizontal="center" vertical="center"/>
    </xf>
    <xf numFmtId="0" fontId="0" fillId="10" borderId="8" xfId="0" applyFill="1" applyBorder="1"/>
    <xf numFmtId="0" fontId="0" fillId="10" borderId="9" xfId="0" applyFill="1" applyBorder="1"/>
    <xf numFmtId="0" fontId="9" fillId="10" borderId="34" xfId="0" applyFont="1" applyFill="1" applyBorder="1" applyAlignment="1">
      <alignment horizontal="center" vertical="center"/>
    </xf>
    <xf numFmtId="0" fontId="9" fillId="11" borderId="26" xfId="0" applyFont="1" applyFill="1" applyBorder="1" applyAlignment="1">
      <alignment horizontal="center" vertical="center"/>
    </xf>
    <xf numFmtId="0" fontId="9" fillId="10" borderId="37" xfId="0" applyFont="1" applyFill="1" applyBorder="1" applyAlignment="1">
      <alignment horizontal="center" vertical="center"/>
    </xf>
    <xf numFmtId="0" fontId="0" fillId="10" borderId="38" xfId="0" applyFill="1" applyBorder="1"/>
    <xf numFmtId="0" fontId="9" fillId="10" borderId="39" xfId="0" applyFont="1" applyFill="1" applyBorder="1" applyAlignment="1">
      <alignment horizontal="center" vertical="center"/>
    </xf>
    <xf numFmtId="0" fontId="0" fillId="10" borderId="40" xfId="0" applyFill="1" applyBorder="1"/>
    <xf numFmtId="0" fontId="9" fillId="10" borderId="8" xfId="0" applyFont="1" applyFill="1" applyBorder="1" applyAlignment="1">
      <alignment horizontal="center" vertical="center"/>
    </xf>
    <xf numFmtId="0" fontId="9" fillId="10" borderId="9" xfId="0" applyFont="1" applyFill="1" applyBorder="1" applyAlignment="1">
      <alignment horizontal="center" vertical="center"/>
    </xf>
    <xf numFmtId="0" fontId="9" fillId="10" borderId="40" xfId="0" applyFont="1" applyFill="1" applyBorder="1" applyAlignment="1">
      <alignment horizontal="center" vertical="center"/>
    </xf>
    <xf numFmtId="0" fontId="9" fillId="10" borderId="38" xfId="0" applyFont="1" applyFill="1" applyBorder="1" applyAlignment="1">
      <alignment horizontal="center" vertical="center"/>
    </xf>
    <xf numFmtId="0" fontId="9" fillId="16" borderId="7" xfId="0" applyFont="1" applyFill="1" applyBorder="1" applyAlignment="1">
      <alignment horizontal="center" vertical="center"/>
    </xf>
    <xf numFmtId="0" fontId="9" fillId="16" borderId="8" xfId="0" applyFont="1" applyFill="1" applyBorder="1" applyAlignment="1">
      <alignment horizontal="center" vertical="center"/>
    </xf>
    <xf numFmtId="0" fontId="9" fillId="16" borderId="9" xfId="0" applyFont="1" applyFill="1" applyBorder="1" applyAlignment="1">
      <alignment horizontal="center" vertical="center"/>
    </xf>
    <xf numFmtId="0" fontId="9" fillId="16" borderId="7" xfId="0" applyFont="1" applyFill="1" applyBorder="1" applyAlignment="1">
      <alignment horizontal="left" vertical="center" wrapText="1"/>
    </xf>
    <xf numFmtId="0" fontId="9" fillId="16" borderId="8" xfId="0" applyFont="1" applyFill="1" applyBorder="1" applyAlignment="1">
      <alignment horizontal="left" vertical="center" wrapText="1"/>
    </xf>
    <xf numFmtId="0" fontId="9" fillId="16" borderId="9" xfId="0" applyFont="1" applyFill="1" applyBorder="1" applyAlignment="1">
      <alignment horizontal="left" vertical="center" wrapText="1"/>
    </xf>
    <xf numFmtId="14" fontId="9" fillId="16" borderId="7" xfId="0" applyNumberFormat="1" applyFont="1" applyFill="1" applyBorder="1" applyAlignment="1">
      <alignment horizontal="center" vertical="center"/>
    </xf>
    <xf numFmtId="14" fontId="9" fillId="16" borderId="8" xfId="0" applyNumberFormat="1" applyFont="1" applyFill="1" applyBorder="1" applyAlignment="1">
      <alignment horizontal="center" vertical="center"/>
    </xf>
    <xf numFmtId="14" fontId="9" fillId="16" borderId="9" xfId="0" applyNumberFormat="1" applyFont="1" applyFill="1" applyBorder="1" applyAlignment="1">
      <alignment horizontal="center" vertical="center"/>
    </xf>
    <xf numFmtId="0" fontId="19" fillId="18" borderId="0" xfId="0" applyFont="1" applyFill="1" applyBorder="1" applyAlignment="1">
      <alignment horizontal="center" vertical="center"/>
    </xf>
    <xf numFmtId="0" fontId="27" fillId="5" borderId="11" xfId="0" applyFont="1" applyFill="1" applyBorder="1" applyAlignment="1">
      <alignment horizontal="right"/>
    </xf>
    <xf numFmtId="0" fontId="9" fillId="17" borderId="7" xfId="0" applyFont="1" applyFill="1" applyBorder="1" applyAlignment="1">
      <alignment horizontal="center" vertical="center"/>
    </xf>
    <xf numFmtId="0" fontId="9" fillId="17" borderId="9" xfId="0" applyFont="1" applyFill="1" applyBorder="1" applyAlignment="1">
      <alignment horizontal="center" vertical="center"/>
    </xf>
    <xf numFmtId="0" fontId="9" fillId="17" borderId="7" xfId="0" applyFont="1" applyFill="1" applyBorder="1" applyAlignment="1">
      <alignment horizontal="left" vertical="center"/>
    </xf>
    <xf numFmtId="0" fontId="9" fillId="17" borderId="8" xfId="0" applyFont="1" applyFill="1" applyBorder="1" applyAlignment="1">
      <alignment horizontal="left" vertical="center"/>
    </xf>
    <xf numFmtId="0" fontId="9" fillId="17" borderId="9" xfId="0" applyFont="1" applyFill="1" applyBorder="1" applyAlignment="1">
      <alignment horizontal="left" vertical="center"/>
    </xf>
    <xf numFmtId="0" fontId="34" fillId="7" borderId="7" xfId="0" applyFont="1" applyFill="1" applyBorder="1" applyAlignment="1">
      <alignment horizontal="center" vertical="center"/>
    </xf>
    <xf numFmtId="0" fontId="34" fillId="7" borderId="8" xfId="0" applyFont="1" applyFill="1" applyBorder="1" applyAlignment="1">
      <alignment horizontal="center" vertical="center"/>
    </xf>
    <xf numFmtId="0" fontId="34" fillId="7" borderId="9" xfId="0" applyFont="1" applyFill="1" applyBorder="1" applyAlignment="1">
      <alignment horizontal="center" vertical="center"/>
    </xf>
    <xf numFmtId="10" fontId="9" fillId="17" borderId="7" xfId="1" applyNumberFormat="1" applyFont="1" applyFill="1" applyBorder="1" applyAlignment="1">
      <alignment horizontal="center" vertical="center"/>
    </xf>
    <xf numFmtId="10" fontId="9" fillId="17" borderId="8" xfId="1" applyNumberFormat="1" applyFont="1" applyFill="1" applyBorder="1" applyAlignment="1">
      <alignment horizontal="center" vertical="center"/>
    </xf>
    <xf numFmtId="10" fontId="9" fillId="17" borderId="9" xfId="1" applyNumberFormat="1" applyFont="1" applyFill="1" applyBorder="1" applyAlignment="1">
      <alignment horizontal="center" vertical="center"/>
    </xf>
    <xf numFmtId="0" fontId="9" fillId="17" borderId="8" xfId="0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19" fillId="7" borderId="5" xfId="0" applyFont="1" applyFill="1" applyBorder="1" applyAlignment="1">
      <alignment horizontal="center" vertical="center"/>
    </xf>
    <xf numFmtId="14" fontId="9" fillId="17" borderId="7" xfId="0" applyNumberFormat="1" applyFont="1" applyFill="1" applyBorder="1" applyAlignment="1">
      <alignment horizontal="center" vertical="center"/>
    </xf>
    <xf numFmtId="14" fontId="9" fillId="17" borderId="8" xfId="0" applyNumberFormat="1" applyFont="1" applyFill="1" applyBorder="1" applyAlignment="1">
      <alignment horizontal="center" vertical="center"/>
    </xf>
    <xf numFmtId="14" fontId="9" fillId="17" borderId="9" xfId="0" applyNumberFormat="1" applyFont="1" applyFill="1" applyBorder="1" applyAlignment="1">
      <alignment horizontal="center" vertical="center"/>
    </xf>
    <xf numFmtId="0" fontId="19" fillId="18" borderId="18" xfId="0" applyFont="1" applyFill="1" applyBorder="1" applyAlignment="1">
      <alignment horizontal="center" vertical="center"/>
    </xf>
    <xf numFmtId="0" fontId="41" fillId="19" borderId="13" xfId="0" applyFont="1" applyFill="1" applyBorder="1" applyAlignment="1">
      <alignment horizontal="center" vertical="center"/>
    </xf>
    <xf numFmtId="0" fontId="41" fillId="19" borderId="0" xfId="0" applyFont="1" applyFill="1" applyBorder="1" applyAlignment="1">
      <alignment horizontal="center" vertical="center"/>
    </xf>
    <xf numFmtId="0" fontId="41" fillId="19" borderId="14" xfId="0" applyFont="1" applyFill="1" applyBorder="1" applyAlignment="1">
      <alignment horizontal="center" vertical="center"/>
    </xf>
    <xf numFmtId="0" fontId="41" fillId="19" borderId="15" xfId="0" applyFont="1" applyFill="1" applyBorder="1" applyAlignment="1">
      <alignment horizontal="center" vertical="center"/>
    </xf>
    <xf numFmtId="0" fontId="41" fillId="19" borderId="16" xfId="0" applyFont="1" applyFill="1" applyBorder="1" applyAlignment="1">
      <alignment horizontal="center" vertical="center"/>
    </xf>
    <xf numFmtId="0" fontId="41" fillId="19" borderId="17" xfId="0" applyFont="1" applyFill="1" applyBorder="1" applyAlignment="1">
      <alignment horizontal="center" vertical="center"/>
    </xf>
    <xf numFmtId="0" fontId="40" fillId="4" borderId="10" xfId="0" applyFont="1" applyFill="1" applyBorder="1" applyAlignment="1">
      <alignment horizontal="center" vertical="center"/>
    </xf>
    <xf numFmtId="0" fontId="40" fillId="4" borderId="11" xfId="0" applyFont="1" applyFill="1" applyBorder="1" applyAlignment="1">
      <alignment horizontal="center" vertical="center"/>
    </xf>
    <xf numFmtId="0" fontId="40" fillId="4" borderId="12" xfId="0" applyFont="1" applyFill="1" applyBorder="1" applyAlignment="1">
      <alignment horizontal="center" vertical="center"/>
    </xf>
    <xf numFmtId="0" fontId="40" fillId="4" borderId="13" xfId="0" applyFont="1" applyFill="1" applyBorder="1" applyAlignment="1">
      <alignment horizontal="center" vertical="center"/>
    </xf>
    <xf numFmtId="0" fontId="40" fillId="4" borderId="0" xfId="0" applyFont="1" applyFill="1" applyBorder="1" applyAlignment="1">
      <alignment horizontal="center" vertical="center"/>
    </xf>
    <xf numFmtId="0" fontId="40" fillId="4" borderId="14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/>
    </xf>
    <xf numFmtId="22" fontId="33" fillId="5" borderId="16" xfId="0" applyNumberFormat="1" applyFont="1" applyFill="1" applyBorder="1" applyAlignment="1">
      <alignment horizontal="right"/>
    </xf>
    <xf numFmtId="0" fontId="5" fillId="15" borderId="19" xfId="0" applyFont="1" applyFill="1" applyBorder="1" applyAlignment="1">
      <alignment horizontal="center" wrapText="1"/>
    </xf>
    <xf numFmtId="0" fontId="0" fillId="15" borderId="20" xfId="0" applyFill="1" applyBorder="1"/>
    <xf numFmtId="0" fontId="0" fillId="15" borderId="42" xfId="0" applyFill="1" applyBorder="1"/>
    <xf numFmtId="0" fontId="36" fillId="2" borderId="24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25" xfId="0" applyFont="1" applyFill="1" applyBorder="1" applyAlignment="1">
      <alignment horizontal="center" vertical="center"/>
    </xf>
    <xf numFmtId="164" fontId="9" fillId="14" borderId="0" xfId="0" applyNumberFormat="1" applyFont="1" applyFill="1" applyBorder="1" applyAlignment="1">
      <alignment horizontal="center" vertical="center" wrapText="1"/>
    </xf>
    <xf numFmtId="165" fontId="9" fillId="14" borderId="0" xfId="0" applyNumberFormat="1" applyFont="1" applyFill="1" applyBorder="1" applyAlignment="1">
      <alignment horizontal="right" vertical="center" wrapText="1"/>
    </xf>
    <xf numFmtId="0" fontId="38" fillId="3" borderId="24" xfId="0" applyFont="1" applyFill="1" applyBorder="1" applyAlignment="1">
      <alignment horizontal="center" vertical="center"/>
    </xf>
    <xf numFmtId="0" fontId="38" fillId="3" borderId="23" xfId="0" applyFont="1" applyFill="1" applyBorder="1" applyAlignment="1">
      <alignment horizontal="center" vertical="center"/>
    </xf>
    <xf numFmtId="0" fontId="38" fillId="3" borderId="25" xfId="0" applyFont="1" applyFill="1" applyBorder="1" applyAlignment="1">
      <alignment horizontal="center" vertical="center"/>
    </xf>
    <xf numFmtId="0" fontId="9" fillId="21" borderId="10" xfId="0" applyFont="1" applyFill="1" applyBorder="1" applyAlignment="1">
      <alignment horizontal="center" vertical="center"/>
    </xf>
    <xf numFmtId="0" fontId="9" fillId="21" borderId="11" xfId="0" applyFont="1" applyFill="1" applyBorder="1" applyAlignment="1">
      <alignment horizontal="center" vertical="center"/>
    </xf>
    <xf numFmtId="0" fontId="9" fillId="21" borderId="12" xfId="0" applyFont="1" applyFill="1" applyBorder="1" applyAlignment="1">
      <alignment horizontal="center" vertical="center"/>
    </xf>
    <xf numFmtId="0" fontId="9" fillId="21" borderId="13" xfId="0" applyFont="1" applyFill="1" applyBorder="1" applyAlignment="1">
      <alignment horizontal="center" vertical="center"/>
    </xf>
    <xf numFmtId="0" fontId="9" fillId="21" borderId="0" xfId="0" applyFont="1" applyFill="1" applyBorder="1" applyAlignment="1">
      <alignment horizontal="center" vertical="center"/>
    </xf>
    <xf numFmtId="0" fontId="9" fillId="21" borderId="14" xfId="0" applyFont="1" applyFill="1" applyBorder="1" applyAlignment="1">
      <alignment horizontal="center" vertical="center"/>
    </xf>
    <xf numFmtId="0" fontId="9" fillId="21" borderId="15" xfId="0" applyFont="1" applyFill="1" applyBorder="1" applyAlignment="1">
      <alignment horizontal="center" vertical="center"/>
    </xf>
    <xf numFmtId="0" fontId="9" fillId="21" borderId="16" xfId="0" applyFont="1" applyFill="1" applyBorder="1" applyAlignment="1">
      <alignment horizontal="center" vertical="center"/>
    </xf>
    <xf numFmtId="0" fontId="9" fillId="21" borderId="17" xfId="0" applyFont="1" applyFill="1" applyBorder="1" applyAlignment="1">
      <alignment horizontal="center" vertical="center"/>
    </xf>
    <xf numFmtId="0" fontId="44" fillId="22" borderId="7" xfId="0" applyFont="1" applyFill="1" applyBorder="1" applyAlignment="1" applyProtection="1">
      <alignment horizontal="left" vertical="center" wrapText="1"/>
      <protection locked="0"/>
    </xf>
    <xf numFmtId="0" fontId="44" fillId="22" borderId="8" xfId="0" applyFont="1" applyFill="1" applyBorder="1" applyAlignment="1" applyProtection="1">
      <alignment horizontal="left" vertical="center" wrapText="1"/>
      <protection locked="0"/>
    </xf>
    <xf numFmtId="0" fontId="44" fillId="22" borderId="9" xfId="0" applyFont="1" applyFill="1" applyBorder="1" applyAlignment="1" applyProtection="1">
      <alignment horizontal="left" vertical="center" wrapText="1"/>
      <protection locked="0"/>
    </xf>
    <xf numFmtId="0" fontId="48" fillId="14" borderId="0" xfId="0" applyFont="1" applyFill="1" applyBorder="1" applyAlignment="1" applyProtection="1">
      <alignment horizontal="left" vertical="center" wrapText="1"/>
    </xf>
    <xf numFmtId="0" fontId="10" fillId="4" borderId="7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22" fillId="3" borderId="7" xfId="0" applyFont="1" applyFill="1" applyBorder="1" applyAlignment="1">
      <alignment horizontal="center"/>
    </xf>
    <xf numFmtId="0" fontId="22" fillId="3" borderId="8" xfId="0" applyFont="1" applyFill="1" applyBorder="1" applyAlignment="1">
      <alignment horizontal="center"/>
    </xf>
    <xf numFmtId="0" fontId="22" fillId="3" borderId="9" xfId="0" applyFont="1" applyFill="1" applyBorder="1" applyAlignment="1">
      <alignment horizontal="center"/>
    </xf>
    <xf numFmtId="0" fontId="23" fillId="2" borderId="7" xfId="0" applyFont="1" applyFill="1" applyBorder="1" applyAlignment="1">
      <alignment horizontal="center"/>
    </xf>
    <xf numFmtId="0" fontId="23" fillId="2" borderId="8" xfId="0" applyFont="1" applyFill="1" applyBorder="1" applyAlignment="1">
      <alignment horizontal="center"/>
    </xf>
    <xf numFmtId="0" fontId="23" fillId="2" borderId="9" xfId="0" applyFont="1" applyFill="1" applyBorder="1" applyAlignment="1">
      <alignment horizontal="center"/>
    </xf>
    <xf numFmtId="0" fontId="24" fillId="6" borderId="1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42">
    <dxf>
      <fill>
        <gradientFill type="path" left="0.5" right="0.5" top="0.5" bottom="0.5">
          <stop position="0">
            <color theme="5" tint="0.59999389629810485"/>
          </stop>
          <stop position="1">
            <color rgb="FFFF0066"/>
          </stop>
        </gradientFill>
      </fill>
    </dxf>
    <dxf>
      <fill>
        <gradientFill type="path" left="0.5" right="0.5" top="0.5" bottom="0.5">
          <stop position="0">
            <color theme="5" tint="0.59999389629810485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8" tint="0.59999389629810485"/>
          </stop>
          <stop position="1">
            <color rgb="FF00CC99"/>
          </stop>
        </gradientFill>
      </fill>
    </dxf>
    <dxf>
      <fill>
        <gradientFill type="path" left="0.5" right="0.5" top="0.5" bottom="0.5">
          <stop position="0">
            <color theme="5" tint="0.80001220740379042"/>
          </stop>
          <stop position="1">
            <color rgb="FFFF0066"/>
          </stop>
        </gradientFill>
      </fill>
    </dxf>
    <dxf>
      <fill>
        <gradientFill type="path" left="0.5" right="0.5" top="0.5" bottom="0.5">
          <stop position="0">
            <color theme="8" tint="0.59999389629810485"/>
          </stop>
          <stop position="1">
            <color rgb="FF00CC99"/>
          </stop>
        </gradientFill>
      </fill>
    </dxf>
    <dxf>
      <fill>
        <gradientFill type="path" left="0.5" right="0.5" top="0.5" bottom="0.5">
          <stop position="0">
            <color theme="5" tint="0.59999389629810485"/>
          </stop>
          <stop position="1">
            <color rgb="FFFF0066"/>
          </stop>
        </gradientFill>
      </fill>
    </dxf>
    <dxf>
      <fill>
        <gradientFill type="path" left="0.5" right="0.5" top="0.5" bottom="0.5">
          <stop position="0">
            <color theme="8" tint="0.59999389629810485"/>
          </stop>
          <stop position="1">
            <color rgb="FF00CC99"/>
          </stop>
        </gradientFill>
      </fill>
    </dxf>
    <dxf>
      <fill>
        <gradientFill type="path" left="0.5" right="0.5" top="0.5" bottom="0.5">
          <stop position="0">
            <color theme="5" tint="0.59999389629810485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8" tint="0.59999389629810485"/>
          </stop>
          <stop position="1">
            <color rgb="FFFFC000"/>
          </stop>
        </gradientFill>
      </fill>
    </dxf>
    <dxf>
      <fill>
        <gradientFill type="path" left="0.5" right="0.5" top="0.5" bottom="0.5">
          <stop position="0">
            <color theme="4" tint="0.59999389629810485"/>
          </stop>
          <stop position="1">
            <color theme="3" tint="0.40000610370189521"/>
          </stop>
        </gradientFill>
      </fill>
    </dxf>
    <dxf>
      <fill>
        <gradientFill type="path" left="0.5" right="0.5" top="0.5" bottom="0.5">
          <stop position="0">
            <color theme="5" tint="0.59999389629810485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8" tint="0.59999389629810485"/>
          </stop>
          <stop position="1">
            <color rgb="FFFFC000"/>
          </stop>
        </gradientFill>
      </fill>
    </dxf>
    <dxf>
      <fill>
        <gradientFill type="path" left="0.5" right="0.5" top="0.5" bottom="0.5">
          <stop position="0">
            <color theme="3" tint="0.80001220740379042"/>
          </stop>
          <stop position="1">
            <color theme="3" tint="0.40000610370189521"/>
          </stop>
        </gradientFill>
      </fill>
    </dxf>
    <dxf>
      <fill>
        <gradientFill type="path" left="0.5" right="0.5" top="0.5" bottom="0.5">
          <stop position="0">
            <color theme="8" tint="0.59999389629810485"/>
          </stop>
          <stop position="1">
            <color rgb="FF00CC99"/>
          </stop>
        </gradientFill>
      </fill>
    </dxf>
    <dxf>
      <fill>
        <gradientFill type="path" left="0.5" right="0.5" top="0.5" bottom="0.5">
          <stop position="0">
            <color theme="5" tint="0.59999389629810485"/>
          </stop>
          <stop position="1">
            <color rgb="FFFF0066"/>
          </stop>
        </gradientFill>
      </fill>
    </dxf>
    <dxf>
      <fill>
        <gradientFill type="path" left="0.5" right="0.5" top="0.5" bottom="0.5">
          <stop position="0">
            <color theme="8" tint="0.40000610370189521"/>
          </stop>
          <stop position="1">
            <color rgb="FF00CC99"/>
          </stop>
        </gradientFill>
      </fill>
    </dxf>
    <dxf>
      <fill>
        <gradientFill type="path" left="0.5" right="0.5" top="0.5" bottom="0.5">
          <stop position="0">
            <color theme="5" tint="0.59999389629810485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8" tint="0.59999389629810485"/>
          </stop>
          <stop position="1">
            <color rgb="FFFFC000"/>
          </stop>
        </gradientFill>
      </fill>
    </dxf>
    <dxf>
      <fill>
        <gradientFill type="path" left="0.5" right="0.5" top="0.5" bottom="0.5">
          <stop position="0">
            <color theme="3" tint="0.80001220740379042"/>
          </stop>
          <stop position="1">
            <color theme="3" tint="0.40000610370189521"/>
          </stop>
        </gradientFill>
      </fill>
    </dxf>
    <dxf>
      <fill>
        <gradientFill type="path" left="0.5" right="0.5" top="0.5" bottom="0.5">
          <stop position="0">
            <color theme="5" tint="0.59999389629810485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8" tint="0.59999389629810485"/>
          </stop>
          <stop position="1">
            <color rgb="FFFFC000"/>
          </stop>
        </gradientFill>
      </fill>
    </dxf>
    <dxf>
      <fill>
        <gradientFill type="path" left="0.5" right="0.5" top="0.5" bottom="0.5">
          <stop position="0">
            <color theme="4" tint="0.59999389629810485"/>
          </stop>
          <stop position="1">
            <color theme="3" tint="0.40000610370189521"/>
          </stop>
        </gradientFill>
      </fill>
    </dxf>
    <dxf>
      <fill>
        <gradientFill type="path" left="0.5" right="0.5" top="0.5" bottom="0.5">
          <stop position="0">
            <color theme="8" tint="0.59999389629810485"/>
          </stop>
          <stop position="1">
            <color rgb="FF00CC99"/>
          </stop>
        </gradientFill>
      </fill>
    </dxf>
    <dxf>
      <fill>
        <gradientFill type="path" left="0.5" right="0.5" top="0.5" bottom="0.5">
          <stop position="0">
            <color theme="5" tint="0.59999389629810485"/>
          </stop>
          <stop position="1">
            <color rgb="FFFF0066"/>
          </stop>
        </gradientFill>
      </fill>
    </dxf>
    <dxf>
      <fill>
        <gradientFill type="path" left="0.5" right="0.5" top="0.5" bottom="0.5">
          <stop position="0">
            <color theme="8" tint="0.59999389629810485"/>
          </stop>
          <stop position="1">
            <color rgb="FFFFC000"/>
          </stop>
        </gradientFill>
      </fill>
    </dxf>
    <dxf>
      <fill>
        <gradientFill type="path" left="0.5" right="0.5" top="0.5" bottom="0.5">
          <stop position="0">
            <color theme="4" tint="0.59999389629810485"/>
          </stop>
          <stop position="1">
            <color theme="3" tint="0.40000610370189521"/>
          </stop>
        </gradientFill>
      </fill>
    </dxf>
    <dxf>
      <fill>
        <gradientFill type="path" left="0.5" right="0.5" top="0.5" bottom="0.5">
          <stop position="0">
            <color theme="5" tint="0.59999389629810485"/>
          </stop>
          <stop position="1">
            <color rgb="FFFF0066"/>
          </stop>
        </gradientFill>
      </fill>
    </dxf>
    <dxf>
      <fill>
        <gradientFill type="path" left="0.5" right="0.5" top="0.5" bottom="0.5">
          <stop position="0">
            <color theme="8" tint="0.59999389629810485"/>
          </stop>
          <stop position="1">
            <color rgb="FFFFC0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gradientFill type="path" left="0.5" right="0.5" top="0.5" bottom="0.5">
          <stop position="0">
            <color theme="5" tint="0.59999389629810485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4" tint="0.59999389629810485"/>
          </stop>
          <stop position="1">
            <color theme="3" tint="0.40000610370189521"/>
          </stop>
        </gradientFill>
      </fill>
    </dxf>
    <dxf>
      <fill>
        <gradientFill type="path" left="0.5" right="0.5" top="0.5" bottom="0.5">
          <stop position="0">
            <color theme="8" tint="0.59999389629810485"/>
          </stop>
          <stop position="1">
            <color rgb="FF00CC99"/>
          </stop>
        </gradientFill>
      </fill>
    </dxf>
    <dxf>
      <fill>
        <gradientFill type="path" left="0.5" right="0.5" top="0.5" bottom="0.5">
          <stop position="0">
            <color theme="5" tint="0.59999389629810485"/>
          </stop>
          <stop position="1">
            <color rgb="FFFF0066"/>
          </stop>
        </gradientFill>
      </fill>
    </dxf>
    <dxf>
      <fill>
        <gradientFill type="path" left="0.5" right="0.5" top="0.5" bottom="0.5">
          <stop position="0">
            <color theme="5" tint="0.59999389629810485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8" tint="0.59999389629810485"/>
          </stop>
          <stop position="1">
            <color rgb="FFFFC000"/>
          </stop>
        </gradientFill>
      </fill>
    </dxf>
    <dxf>
      <fill>
        <gradientFill type="path" left="0.5" right="0.5" top="0.5" bottom="0.5">
          <stop position="0">
            <color theme="0" tint="-0.1490218817712943"/>
          </stop>
          <stop position="1">
            <color theme="3" tint="0.40000610370189521"/>
          </stop>
        </gradientFill>
      </fill>
    </dxf>
    <dxf>
      <fill>
        <gradientFill type="path" left="0.5" right="0.5" top="0.5" bottom="0.5">
          <stop position="0">
            <color theme="5" tint="0.59999389629810485"/>
          </stop>
          <stop position="1">
            <color rgb="FFFF0066"/>
          </stop>
        </gradientFill>
      </fill>
    </dxf>
    <dxf>
      <fill>
        <gradientFill type="path" left="0.5" right="0.5" top="0.5" bottom="0.5">
          <stop position="0">
            <color theme="8" tint="0.59999389629810485"/>
          </stop>
          <stop position="1">
            <color rgb="FF00CC99"/>
          </stop>
        </gradientFill>
      </fill>
    </dxf>
    <dxf>
      <fill>
        <gradientFill type="path" left="0.5" right="0.5" top="0.5" bottom="0.5">
          <stop position="0">
            <color theme="4" tint="0.59999389629810485"/>
          </stop>
          <stop position="1">
            <color theme="3" tint="0.40000610370189521"/>
          </stop>
        </gradientFill>
      </fill>
    </dxf>
    <dxf>
      <fill>
        <gradientFill type="path" left="0.5" right="0.5" top="0.5" bottom="0.5">
          <stop position="0">
            <color theme="8" tint="0.59999389629810485"/>
          </stop>
          <stop position="1">
            <color rgb="FFFFC000"/>
          </stop>
        </gradientFill>
      </fill>
    </dxf>
    <dxf>
      <fill>
        <gradientFill type="path" left="0.5" right="0.5" top="0.5" bottom="0.5">
          <stop position="0">
            <color theme="5" tint="0.59999389629810485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8" tint="0.40000610370189521"/>
          </stop>
          <stop position="1">
            <color rgb="FF00CC99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gradientFill type="path" left="0.5" right="0.5" top="0.5" bottom="0.5">
          <stop position="0">
            <color theme="5" tint="0.59999389629810485"/>
          </stop>
          <stop position="1">
            <color rgb="FFFF00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colors>
    <mruColors>
      <color rgb="FFFFFF99"/>
      <color rgb="FF00CC99"/>
      <color rgb="FFFF0066"/>
      <color rgb="FFFF0000"/>
      <color rgb="FF00CCFF"/>
      <color rgb="FFEAEAEA"/>
      <color rgb="FF990033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>
        <c:manualLayout>
          <c:layoutTarget val="inner"/>
          <c:xMode val="edge"/>
          <c:yMode val="edge"/>
          <c:x val="2.1658528574837518E-2"/>
          <c:y val="5.2565529485452157E-2"/>
          <c:w val="0.67842477674772261"/>
          <c:h val="0.71485109700212679"/>
        </c:manualLayout>
      </c:layout>
      <c:pieChart>
        <c:varyColors val="1"/>
        <c:ser>
          <c:idx val="0"/>
          <c:order val="0"/>
          <c:dPt>
            <c:idx val="0"/>
            <c:spPr>
              <a:solidFill>
                <a:srgbClr val="FFC000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spPr>
              <a:solidFill>
                <a:srgbClr val="00CC99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spPr>
              <a:solidFill>
                <a:srgbClr val="FF0066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spPr>
              <a:noFill/>
            </c:spPr>
          </c:dPt>
          <c:cat>
            <c:strRef>
              <c:f>SIM!$AP$25:$AP$32</c:f>
              <c:strCache>
                <c:ptCount val="8"/>
                <c:pt idx="0">
                  <c:v>English</c:v>
                </c:pt>
                <c:pt idx="1">
                  <c:v>Hindi</c:v>
                </c:pt>
                <c:pt idx="2">
                  <c:v>Marathi</c:v>
                </c:pt>
                <c:pt idx="3">
                  <c:v>Math</c:v>
                </c:pt>
                <c:pt idx="4">
                  <c:v>Sciense</c:v>
                </c:pt>
                <c:pt idx="5">
                  <c:v>History</c:v>
                </c:pt>
                <c:pt idx="6">
                  <c:v>Geography</c:v>
                </c:pt>
                <c:pt idx="7">
                  <c:v>Total</c:v>
                </c:pt>
              </c:strCache>
            </c:strRef>
          </c:cat>
          <c:val>
            <c:numRef>
              <c:f>SIM!$AQ$25:$AQ$32</c:f>
              <c:numCache>
                <c:formatCode>General</c:formatCode>
                <c:ptCount val="8"/>
                <c:pt idx="0">
                  <c:v>65</c:v>
                </c:pt>
                <c:pt idx="1">
                  <c:v>70</c:v>
                </c:pt>
                <c:pt idx="2">
                  <c:v>95</c:v>
                </c:pt>
                <c:pt idx="3">
                  <c:v>80</c:v>
                </c:pt>
                <c:pt idx="4">
                  <c:v>86</c:v>
                </c:pt>
                <c:pt idx="5">
                  <c:v>45</c:v>
                </c:pt>
                <c:pt idx="6">
                  <c:v>40</c:v>
                </c:pt>
                <c:pt idx="7">
                  <c:v>481</c:v>
                </c:pt>
              </c:numCache>
            </c:numRef>
          </c:val>
        </c:ser>
        <c:firstSliceAng val="270"/>
      </c:pieChart>
      <c:spPr>
        <a:solidFill>
          <a:schemeClr val="bg1">
            <a:lumMod val="85000"/>
          </a:schemeClr>
        </a:solidFill>
      </c:spPr>
    </c:plotArea>
    <c:legend>
      <c:legendPos val="r"/>
      <c:legendEntry>
        <c:idx val="7"/>
        <c:delete val="1"/>
      </c:legendEntry>
      <c:layout>
        <c:manualLayout>
          <c:xMode val="edge"/>
          <c:yMode val="edge"/>
          <c:x val="8.3181980666246298E-4"/>
          <c:y val="0.4728147343651084"/>
          <c:w val="0.68557434616481672"/>
          <c:h val="0.44276721875282826"/>
        </c:manualLayout>
      </c:layout>
    </c:legend>
    <c:plotVisOnly val="1"/>
  </c:chart>
  <c:spPr>
    <a:solidFill>
      <a:schemeClr val="bg1">
        <a:lumMod val="85000"/>
      </a:schemeClr>
    </a:solidFill>
    <a:ln>
      <a:solidFill>
        <a:sysClr val="windowText" lastClr="000000"/>
      </a:solidFill>
    </a:ln>
  </c:spPr>
  <c:printSettings>
    <c:headerFooter/>
    <c:pageMargins b="0.75000000000001177" l="0.70000000000000062" r="0.70000000000000062" t="0.75000000000001177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>
        <c:manualLayout>
          <c:layoutTarget val="inner"/>
          <c:xMode val="edge"/>
          <c:yMode val="edge"/>
          <c:x val="0.35244617022318331"/>
          <c:y val="6.2411403282652184E-2"/>
          <c:w val="0.54376981948393865"/>
          <c:h val="0.87517719343470879"/>
        </c:manualLayout>
      </c:layout>
      <c:barChart>
        <c:barDir val="bar"/>
        <c:grouping val="clustered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dPt>
            <c:idx val="0"/>
            <c:spPr>
              <a:solidFill>
                <a:srgbClr val="002060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spPr>
              <a:solidFill>
                <a:srgbClr val="990033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spPr>
              <a:solidFill>
                <a:srgbClr val="FFC000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spPr>
              <a:solidFill>
                <a:srgbClr val="00B050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spPr>
              <a:solidFill>
                <a:schemeClr val="accent4">
                  <a:lumMod val="75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Lbls>
            <c:showVal val="1"/>
          </c:dLbls>
          <c:cat>
            <c:strRef>
              <c:f>SIM!$AP$25:$AP$31</c:f>
              <c:strCache>
                <c:ptCount val="7"/>
                <c:pt idx="0">
                  <c:v>English</c:v>
                </c:pt>
                <c:pt idx="1">
                  <c:v>Hindi</c:v>
                </c:pt>
                <c:pt idx="2">
                  <c:v>Marathi</c:v>
                </c:pt>
                <c:pt idx="3">
                  <c:v>Math</c:v>
                </c:pt>
                <c:pt idx="4">
                  <c:v>Sciense</c:v>
                </c:pt>
                <c:pt idx="5">
                  <c:v>History</c:v>
                </c:pt>
                <c:pt idx="6">
                  <c:v>Geography</c:v>
                </c:pt>
              </c:strCache>
            </c:strRef>
          </c:cat>
          <c:val>
            <c:numRef>
              <c:f>SIM!$AQ$25:$AQ$31</c:f>
              <c:numCache>
                <c:formatCode>General</c:formatCode>
                <c:ptCount val="7"/>
                <c:pt idx="0">
                  <c:v>65</c:v>
                </c:pt>
                <c:pt idx="1">
                  <c:v>70</c:v>
                </c:pt>
                <c:pt idx="2">
                  <c:v>95</c:v>
                </c:pt>
                <c:pt idx="3">
                  <c:v>80</c:v>
                </c:pt>
                <c:pt idx="4">
                  <c:v>86</c:v>
                </c:pt>
                <c:pt idx="5">
                  <c:v>45</c:v>
                </c:pt>
                <c:pt idx="6">
                  <c:v>40</c:v>
                </c:pt>
              </c:numCache>
            </c:numRef>
          </c:val>
        </c:ser>
        <c:dLbls>
          <c:showVal val="1"/>
        </c:dLbls>
        <c:overlap val="-25"/>
        <c:axId val="60886400"/>
        <c:axId val="60896384"/>
      </c:barChart>
      <c:catAx>
        <c:axId val="60886400"/>
        <c:scaling>
          <c:orientation val="minMax"/>
        </c:scaling>
        <c:axPos val="l"/>
        <c:majorTickMark val="none"/>
        <c:tickLblPos val="nextTo"/>
        <c:spPr>
          <a:ln>
            <a:solidFill>
              <a:schemeClr val="accent2">
                <a:lumMod val="50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60896384"/>
        <c:crosses val="autoZero"/>
        <c:auto val="1"/>
        <c:lblAlgn val="ctr"/>
        <c:lblOffset val="100"/>
        <c:tickLblSkip val="1"/>
      </c:catAx>
      <c:valAx>
        <c:axId val="60896384"/>
        <c:scaling>
          <c:orientation val="minMax"/>
        </c:scaling>
        <c:delete val="1"/>
        <c:axPos val="b"/>
        <c:numFmt formatCode="General" sourceLinked="1"/>
        <c:tickLblPos val="nextTo"/>
        <c:crossAx val="60886400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plotVisOnly val="1"/>
  </c:chart>
  <c:spPr>
    <a:solidFill>
      <a:schemeClr val="bg1">
        <a:lumMod val="85000"/>
      </a:schemeClr>
    </a:solidFill>
    <a:ln>
      <a:solidFill>
        <a:sysClr val="windowText" lastClr="000000"/>
      </a:solidFill>
    </a:ln>
  </c:spPr>
  <c:printSettings>
    <c:headerFooter/>
    <c:pageMargins b="0.75000000000001366" l="0.70000000000000062" r="0.70000000000000062" t="0.750000000000013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SIM!A1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hyperlink" Target="#Main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3" Type="http://schemas.openxmlformats.org/officeDocument/2006/relationships/image" Target="../media/image6.jpeg"/><Relationship Id="rId7" Type="http://schemas.openxmlformats.org/officeDocument/2006/relationships/image" Target="../media/image10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6" Type="http://schemas.openxmlformats.org/officeDocument/2006/relationships/image" Target="../media/image9.jpeg"/><Relationship Id="rId11" Type="http://schemas.openxmlformats.org/officeDocument/2006/relationships/image" Target="../media/image14.jpeg"/><Relationship Id="rId5" Type="http://schemas.openxmlformats.org/officeDocument/2006/relationships/image" Target="../media/image8.jpeg"/><Relationship Id="rId10" Type="http://schemas.openxmlformats.org/officeDocument/2006/relationships/image" Target="../media/image13.jpeg"/><Relationship Id="rId4" Type="http://schemas.openxmlformats.org/officeDocument/2006/relationships/image" Target="../media/image7.jpeg"/><Relationship Id="rId9" Type="http://schemas.openxmlformats.org/officeDocument/2006/relationships/image" Target="../media/image1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11</xdr:col>
      <xdr:colOff>9524</xdr:colOff>
      <xdr:row>1048576</xdr:row>
      <xdr:rowOff>66675</xdr:rowOff>
    </xdr:to>
    <xdr:pic>
      <xdr:nvPicPr>
        <xdr:cNvPr id="5" name="Picture 4" descr="apple_green_grass-1024x768.jpg"/>
        <xdr:cNvPicPr>
          <a:picLocks noChangeAspect="1"/>
        </xdr:cNvPicPr>
      </xdr:nvPicPr>
      <xdr:blipFill>
        <a:blip xmlns:r="http://schemas.openxmlformats.org/officeDocument/2006/relationships" r:embed="rId1"/>
        <a:srcRect b="3516"/>
        <a:stretch>
          <a:fillRect/>
        </a:stretch>
      </xdr:blipFill>
      <xdr:spPr>
        <a:xfrm>
          <a:off x="1" y="0"/>
          <a:ext cx="5857873" cy="2733675"/>
        </a:xfrm>
        <a:prstGeom prst="rect">
          <a:avLst/>
        </a:prstGeom>
      </xdr:spPr>
    </xdr:pic>
    <xdr:clientData/>
  </xdr:twoCellAnchor>
  <xdr:twoCellAnchor>
    <xdr:from>
      <xdr:col>0</xdr:col>
      <xdr:colOff>609599</xdr:colOff>
      <xdr:row>1</xdr:row>
      <xdr:rowOff>19050</xdr:rowOff>
    </xdr:from>
    <xdr:to>
      <xdr:col>10</xdr:col>
      <xdr:colOff>28574</xdr:colOff>
      <xdr:row>2</xdr:row>
      <xdr:rowOff>76200</xdr:rowOff>
    </xdr:to>
    <xdr:sp macro="" textlink="">
      <xdr:nvSpPr>
        <xdr:cNvPr id="2" name="Rectangle 1"/>
        <xdr:cNvSpPr/>
      </xdr:nvSpPr>
      <xdr:spPr>
        <a:xfrm>
          <a:off x="609599" y="209550"/>
          <a:ext cx="5514975" cy="247650"/>
        </a:xfrm>
        <a:prstGeom prst="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/>
            <a:t>Wel-Come to  my  Dream Project - SIM</a:t>
          </a:r>
        </a:p>
      </xdr:txBody>
    </xdr:sp>
    <xdr:clientData/>
  </xdr:twoCellAnchor>
  <xdr:twoCellAnchor>
    <xdr:from>
      <xdr:col>1</xdr:col>
      <xdr:colOff>0</xdr:colOff>
      <xdr:row>11</xdr:row>
      <xdr:rowOff>104775</xdr:rowOff>
    </xdr:from>
    <xdr:to>
      <xdr:col>9</xdr:col>
      <xdr:colOff>581025</xdr:colOff>
      <xdr:row>12</xdr:row>
      <xdr:rowOff>114300</xdr:rowOff>
    </xdr:to>
    <xdr:sp macro="" textlink="">
      <xdr:nvSpPr>
        <xdr:cNvPr id="4" name="Rectangle 3"/>
        <xdr:cNvSpPr/>
      </xdr:nvSpPr>
      <xdr:spPr>
        <a:xfrm>
          <a:off x="180975" y="2200275"/>
          <a:ext cx="5457825" cy="200025"/>
        </a:xfrm>
        <a:prstGeom prst="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chemeClr val="bg1"/>
              </a:solidFill>
            </a:rPr>
            <a:t>Sanjay</a:t>
          </a:r>
          <a:r>
            <a:rPr lang="en-US" sz="1100" b="1" baseline="0">
              <a:solidFill>
                <a:schemeClr val="bg1"/>
              </a:solidFill>
            </a:rPr>
            <a:t> Zanwar               Contact No. : 9765974365      </a:t>
          </a:r>
          <a:r>
            <a:rPr lang="en-US" sz="1100" b="1">
              <a:solidFill>
                <a:schemeClr val="bg1"/>
              </a:solidFill>
            </a:rPr>
            <a:t>Email - sanjayzanwar9765@gmail.com</a:t>
          </a:r>
        </a:p>
      </xdr:txBody>
    </xdr:sp>
    <xdr:clientData/>
  </xdr:twoCellAnchor>
  <xdr:twoCellAnchor>
    <xdr:from>
      <xdr:col>0</xdr:col>
      <xdr:colOff>171451</xdr:colOff>
      <xdr:row>2</xdr:row>
      <xdr:rowOff>190498</xdr:rowOff>
    </xdr:from>
    <xdr:to>
      <xdr:col>6</xdr:col>
      <xdr:colOff>95250</xdr:colOff>
      <xdr:row>10</xdr:row>
      <xdr:rowOff>180975</xdr:rowOff>
    </xdr:to>
    <xdr:sp macro="" textlink="">
      <xdr:nvSpPr>
        <xdr:cNvPr id="6" name="Rounded Rectangle 5"/>
        <xdr:cNvSpPr/>
      </xdr:nvSpPr>
      <xdr:spPr>
        <a:xfrm>
          <a:off x="171451" y="571498"/>
          <a:ext cx="3152774" cy="1514477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en-US" sz="1100"/>
            <a:t>About SIM....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Wingdings"/>
            </a:rPr>
            <a:t>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SIM means</a:t>
          </a:r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Student Information Manager</a:t>
          </a:r>
          <a:endParaRPr lang="en-US"/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Wingdings"/>
            </a:rPr>
            <a:t>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All Information</a:t>
          </a:r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about student in just one click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Wingdings"/>
            </a:rPr>
            <a:t>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Lookup an</a:t>
          </a:r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Image for particular Name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Wingdings"/>
            </a:rPr>
            <a:t>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Pie</a:t>
          </a:r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Chart and Bar with Student Data</a:t>
          </a: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Wingdings"/>
            </a:rPr>
            <a:t>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Mark wise - students</a:t>
          </a:r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performance</a:t>
          </a: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Wingdings"/>
            </a:rPr>
            <a:t>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Star</a:t>
          </a:r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alloted rankwisely</a:t>
          </a:r>
          <a:endParaRPr lang="en-US" sz="1100"/>
        </a:p>
      </xdr:txBody>
    </xdr:sp>
    <xdr:clientData/>
  </xdr:twoCellAnchor>
  <xdr:twoCellAnchor>
    <xdr:from>
      <xdr:col>6</xdr:col>
      <xdr:colOff>171450</xdr:colOff>
      <xdr:row>8</xdr:row>
      <xdr:rowOff>152399</xdr:rowOff>
    </xdr:from>
    <xdr:to>
      <xdr:col>9</xdr:col>
      <xdr:colOff>533399</xdr:colOff>
      <xdr:row>10</xdr:row>
      <xdr:rowOff>142874</xdr:rowOff>
    </xdr:to>
    <xdr:sp macro="[0]!SIM_Sheet_Click" textlink="">
      <xdr:nvSpPr>
        <xdr:cNvPr id="7" name="Rounded Rectangle 6">
          <a:hlinkClick xmlns:r="http://schemas.openxmlformats.org/officeDocument/2006/relationships" r:id="rId2" tooltip="Enter to SIM"/>
        </xdr:cNvPr>
        <xdr:cNvSpPr/>
      </xdr:nvSpPr>
      <xdr:spPr>
        <a:xfrm>
          <a:off x="3400425" y="1676399"/>
          <a:ext cx="2190749" cy="371475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100"/>
            <a:t>Click here for Enter in SIM</a:t>
          </a:r>
        </a:p>
      </xdr:txBody>
    </xdr:sp>
    <xdr:clientData/>
  </xdr:twoCellAnchor>
  <xdr:twoCellAnchor>
    <xdr:from>
      <xdr:col>6</xdr:col>
      <xdr:colOff>142875</xdr:colOff>
      <xdr:row>3</xdr:row>
      <xdr:rowOff>19049</xdr:rowOff>
    </xdr:from>
    <xdr:to>
      <xdr:col>9</xdr:col>
      <xdr:colOff>571500</xdr:colOff>
      <xdr:row>8</xdr:row>
      <xdr:rowOff>47625</xdr:rowOff>
    </xdr:to>
    <xdr:sp macro="" textlink="">
      <xdr:nvSpPr>
        <xdr:cNvPr id="8" name="Rounded Rectangle 7"/>
        <xdr:cNvSpPr/>
      </xdr:nvSpPr>
      <xdr:spPr>
        <a:xfrm>
          <a:off x="3371850" y="590549"/>
          <a:ext cx="2257425" cy="981076"/>
        </a:xfrm>
        <a:prstGeom prst="round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t"/>
        <a:lstStyle/>
        <a:p>
          <a:pPr algn="l"/>
          <a:r>
            <a:rPr lang="en-US" sz="1100"/>
            <a:t>Formula's</a:t>
          </a:r>
          <a:r>
            <a:rPr lang="en-US" sz="1100" baseline="0"/>
            <a:t> used :</a:t>
          </a:r>
        </a:p>
        <a:p>
          <a:pPr algn="l"/>
          <a:r>
            <a:rPr lang="en-US" sz="1100" baseline="0"/>
            <a:t>H.Lookup, V.Lookup, Index, Match,Sum, Rank, Rept, IF(And), Today, Now also Micro is in use for this project</a:t>
          </a:r>
        </a:p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84669</xdr:colOff>
      <xdr:row>21</xdr:row>
      <xdr:rowOff>95251</xdr:rowOff>
    </xdr:from>
    <xdr:to>
      <xdr:col>41</xdr:col>
      <xdr:colOff>122767</xdr:colOff>
      <xdr:row>38</xdr:row>
      <xdr:rowOff>107062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38</xdr:col>
      <xdr:colOff>142876</xdr:colOff>
      <xdr:row>21</xdr:row>
      <xdr:rowOff>95251</xdr:rowOff>
    </xdr:from>
    <xdr:to>
      <xdr:col>49</xdr:col>
      <xdr:colOff>104774</xdr:colOff>
      <xdr:row>38</xdr:row>
      <xdr:rowOff>104774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3199</xdr:colOff>
      <xdr:row>2</xdr:row>
      <xdr:rowOff>37183</xdr:rowOff>
    </xdr:from>
    <xdr:to>
      <xdr:col>10</xdr:col>
      <xdr:colOff>125186</xdr:colOff>
      <xdr:row>2</xdr:row>
      <xdr:rowOff>311369</xdr:rowOff>
    </xdr:to>
    <xdr:pic>
      <xdr:nvPicPr>
        <xdr:cNvPr id="4" name="Picture 3" descr="saraswati_41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45556" y="352869"/>
          <a:ext cx="301601" cy="274186"/>
        </a:xfrm>
        <a:prstGeom prst="ellipse">
          <a:avLst/>
        </a:prstGeom>
        <a:ln w="63500" cap="rnd">
          <a:noFill/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>
    <xdr:from>
      <xdr:col>24</xdr:col>
      <xdr:colOff>152400</xdr:colOff>
      <xdr:row>3</xdr:row>
      <xdr:rowOff>38100</xdr:rowOff>
    </xdr:from>
    <xdr:to>
      <xdr:col>33</xdr:col>
      <xdr:colOff>9525</xdr:colOff>
      <xdr:row>5</xdr:row>
      <xdr:rowOff>38100</xdr:rowOff>
    </xdr:to>
    <xdr:sp macro="[0]!SaveFile" textlink="">
      <xdr:nvSpPr>
        <xdr:cNvPr id="9" name="Rounded Rectangle 8"/>
        <xdr:cNvSpPr/>
      </xdr:nvSpPr>
      <xdr:spPr>
        <a:xfrm>
          <a:off x="3829050" y="666750"/>
          <a:ext cx="1285875" cy="276225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800"/>
            <a:t>Press</a:t>
          </a:r>
          <a:r>
            <a:rPr lang="en-US" sz="800" baseline="0"/>
            <a:t> Ctrl + S (Only once for graph updateion)</a:t>
          </a:r>
          <a:endParaRPr lang="en-US" sz="800"/>
        </a:p>
      </xdr:txBody>
    </xdr:sp>
    <xdr:clientData/>
  </xdr:twoCellAnchor>
  <xdr:twoCellAnchor>
    <xdr:from>
      <xdr:col>33</xdr:col>
      <xdr:colOff>133350</xdr:colOff>
      <xdr:row>3</xdr:row>
      <xdr:rowOff>38099</xdr:rowOff>
    </xdr:from>
    <xdr:to>
      <xdr:col>38</xdr:col>
      <xdr:colOff>170687</xdr:colOff>
      <xdr:row>5</xdr:row>
      <xdr:rowOff>36194</xdr:rowOff>
    </xdr:to>
    <xdr:sp macro="[0]!Main_Sheet_Click" textlink="">
      <xdr:nvSpPr>
        <xdr:cNvPr id="7" name="Rounded Rectangle 6">
          <a:hlinkClick xmlns:r="http://schemas.openxmlformats.org/officeDocument/2006/relationships" r:id="rId4" tooltip="Back to Home Page"/>
        </xdr:cNvPr>
        <xdr:cNvSpPr/>
      </xdr:nvSpPr>
      <xdr:spPr>
        <a:xfrm>
          <a:off x="5238750" y="666749"/>
          <a:ext cx="675512" cy="274320"/>
        </a:xfrm>
        <a:prstGeom prst="round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800"/>
            <a:t>Back</a:t>
          </a:r>
          <a:r>
            <a:rPr lang="en-US" sz="800" baseline="0"/>
            <a:t> to main page</a:t>
          </a:r>
          <a:endParaRPr lang="en-US" sz="8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43543</xdr:colOff>
      <xdr:row>5</xdr:row>
      <xdr:rowOff>30308</xdr:rowOff>
    </xdr:from>
    <xdr:to>
      <xdr:col>1</xdr:col>
      <xdr:colOff>1355270</xdr:colOff>
      <xdr:row>5</xdr:row>
      <xdr:rowOff>1491344</xdr:rowOff>
    </xdr:to>
    <xdr:pic>
      <xdr:nvPicPr>
        <xdr:cNvPr id="4" name="Picture 3" descr="Madhur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600" y="4983308"/>
          <a:ext cx="1311727" cy="146103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40104</xdr:colOff>
      <xdr:row>3</xdr:row>
      <xdr:rowOff>35093</xdr:rowOff>
    </xdr:from>
    <xdr:to>
      <xdr:col>1</xdr:col>
      <xdr:colOff>1343525</xdr:colOff>
      <xdr:row>3</xdr:row>
      <xdr:rowOff>1484167</xdr:rowOff>
    </xdr:to>
    <xdr:pic>
      <xdr:nvPicPr>
        <xdr:cNvPr id="5" name="Picture 4" descr="miscp0118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7933" y="1940093"/>
          <a:ext cx="1303421" cy="1449074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25066</xdr:colOff>
      <xdr:row>2</xdr:row>
      <xdr:rowOff>38100</xdr:rowOff>
    </xdr:from>
    <xdr:to>
      <xdr:col>1</xdr:col>
      <xdr:colOff>1363579</xdr:colOff>
      <xdr:row>2</xdr:row>
      <xdr:rowOff>1498934</xdr:rowOff>
    </xdr:to>
    <xdr:pic>
      <xdr:nvPicPr>
        <xdr:cNvPr id="8" name="Picture 7" descr="Photo 2 Jan 2013 14-01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01391" y="419100"/>
          <a:ext cx="1338513" cy="1460834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39414</xdr:colOff>
      <xdr:row>8</xdr:row>
      <xdr:rowOff>19708</xdr:rowOff>
    </xdr:from>
    <xdr:to>
      <xdr:col>1</xdr:col>
      <xdr:colOff>1346488</xdr:colOff>
      <xdr:row>8</xdr:row>
      <xdr:rowOff>1494234</xdr:rowOff>
    </xdr:to>
    <xdr:pic>
      <xdr:nvPicPr>
        <xdr:cNvPr id="10" name="Picture 9" descr="Salman Khan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17471" y="9544708"/>
          <a:ext cx="1307074" cy="1474526"/>
        </a:xfrm>
        <a:prstGeom prst="rect">
          <a:avLst/>
        </a:prstGeom>
        <a:ln w="3175"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32845</xdr:colOff>
      <xdr:row>9</xdr:row>
      <xdr:rowOff>41671</xdr:rowOff>
    </xdr:from>
    <xdr:to>
      <xdr:col>1</xdr:col>
      <xdr:colOff>1353206</xdr:colOff>
      <xdr:row>9</xdr:row>
      <xdr:rowOff>1504292</xdr:rowOff>
    </xdr:to>
    <xdr:pic>
      <xdr:nvPicPr>
        <xdr:cNvPr id="11" name="Picture 10" descr="Sanjay Dutt.jpg"/>
        <xdr:cNvPicPr>
          <a:picLocks noChangeAspect="1"/>
        </xdr:cNvPicPr>
      </xdr:nvPicPr>
      <xdr:blipFill>
        <a:blip xmlns:r="http://schemas.openxmlformats.org/officeDocument/2006/relationships" r:embed="rId5"/>
        <a:srcRect l="22773" b="10839"/>
        <a:stretch>
          <a:fillRect/>
        </a:stretch>
      </xdr:blipFill>
      <xdr:spPr>
        <a:xfrm>
          <a:off x="1110155" y="11090671"/>
          <a:ext cx="1320361" cy="1462621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35718</xdr:colOff>
      <xdr:row>6</xdr:row>
      <xdr:rowOff>27214</xdr:rowOff>
    </xdr:from>
    <xdr:to>
      <xdr:col>1</xdr:col>
      <xdr:colOff>1363579</xdr:colOff>
      <xdr:row>6</xdr:row>
      <xdr:rowOff>1478881</xdr:rowOff>
    </xdr:to>
    <xdr:pic>
      <xdr:nvPicPr>
        <xdr:cNvPr id="14" name="Picture 13" descr="pc.jpg"/>
        <xdr:cNvPicPr>
          <a:picLocks noChangeAspect="1"/>
        </xdr:cNvPicPr>
      </xdr:nvPicPr>
      <xdr:blipFill>
        <a:blip xmlns:r="http://schemas.openxmlformats.org/officeDocument/2006/relationships" r:embed="rId6"/>
        <a:srcRect l="18327" r="13546"/>
        <a:stretch>
          <a:fillRect/>
        </a:stretch>
      </xdr:blipFill>
      <xdr:spPr>
        <a:xfrm>
          <a:off x="1113234" y="6504214"/>
          <a:ext cx="1327861" cy="145166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41672</xdr:colOff>
      <xdr:row>12</xdr:row>
      <xdr:rowOff>32845</xdr:rowOff>
    </xdr:from>
    <xdr:to>
      <xdr:col>1</xdr:col>
      <xdr:colOff>1339453</xdr:colOff>
      <xdr:row>12</xdr:row>
      <xdr:rowOff>1482328</xdr:rowOff>
    </xdr:to>
    <xdr:pic>
      <xdr:nvPicPr>
        <xdr:cNvPr id="15" name="Picture 14" descr="Vivek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18982" y="15653845"/>
          <a:ext cx="1297781" cy="1449483"/>
        </a:xfrm>
        <a:prstGeom prst="rect">
          <a:avLst/>
        </a:prstGeom>
        <a:ln w="3175"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39413</xdr:colOff>
      <xdr:row>10</xdr:row>
      <xdr:rowOff>13138</xdr:rowOff>
    </xdr:from>
    <xdr:to>
      <xdr:col>1</xdr:col>
      <xdr:colOff>1353206</xdr:colOff>
      <xdr:row>10</xdr:row>
      <xdr:rowOff>1497724</xdr:rowOff>
    </xdr:to>
    <xdr:pic>
      <xdr:nvPicPr>
        <xdr:cNvPr id="12" name="Picture 11" descr="srk 2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17391" r="10326"/>
        <a:stretch>
          <a:fillRect/>
        </a:stretch>
      </xdr:blipFill>
      <xdr:spPr>
        <a:xfrm>
          <a:off x="1116723" y="12586138"/>
          <a:ext cx="1313793" cy="1484586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41413</xdr:colOff>
      <xdr:row>11</xdr:row>
      <xdr:rowOff>33130</xdr:rowOff>
    </xdr:from>
    <xdr:to>
      <xdr:col>1</xdr:col>
      <xdr:colOff>1341783</xdr:colOff>
      <xdr:row>11</xdr:row>
      <xdr:rowOff>1497724</xdr:rowOff>
    </xdr:to>
    <xdr:pic>
      <xdr:nvPicPr>
        <xdr:cNvPr id="16" name="Picture 15" descr="virat-kohli1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18723" y="14130130"/>
          <a:ext cx="1300370" cy="1464594"/>
        </a:xfrm>
        <a:prstGeom prst="rect">
          <a:avLst/>
        </a:prstGeom>
        <a:ln w="3175"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41671</xdr:colOff>
      <xdr:row>4</xdr:row>
      <xdr:rowOff>17858</xdr:rowOff>
    </xdr:from>
    <xdr:to>
      <xdr:col>1</xdr:col>
      <xdr:colOff>1339453</xdr:colOff>
      <xdr:row>4</xdr:row>
      <xdr:rowOff>1494233</xdr:rowOff>
    </xdr:to>
    <xdr:pic>
      <xdr:nvPicPr>
        <xdr:cNvPr id="13" name="Picture 12" descr="MS Dhoni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119187" y="3446858"/>
          <a:ext cx="1297782" cy="1476375"/>
        </a:xfrm>
        <a:prstGeom prst="rect">
          <a:avLst/>
        </a:prstGeom>
        <a:ln w="3175"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41672</xdr:colOff>
      <xdr:row>7</xdr:row>
      <xdr:rowOff>36709</xdr:rowOff>
    </xdr:from>
    <xdr:to>
      <xdr:col>1</xdr:col>
      <xdr:colOff>1351359</xdr:colOff>
      <xdr:row>7</xdr:row>
      <xdr:rowOff>1488281</xdr:rowOff>
    </xdr:to>
    <xdr:pic>
      <xdr:nvPicPr>
        <xdr:cNvPr id="17" name="Picture 16" descr="Sachin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19188" y="8037709"/>
          <a:ext cx="1309687" cy="1451572"/>
        </a:xfrm>
        <a:prstGeom prst="rect">
          <a:avLst/>
        </a:prstGeom>
        <a:ln w="3175"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K14"/>
  <sheetViews>
    <sheetView showGridLines="0" showRowColHeaders="0" tabSelected="1" workbookViewId="0"/>
  </sheetViews>
  <sheetFormatPr defaultColWidth="0" defaultRowHeight="15" zeroHeight="1"/>
  <cols>
    <col min="1" max="1" width="2.7109375" style="193" customWidth="1"/>
    <col min="2" max="10" width="9.140625" style="193" customWidth="1"/>
    <col min="11" max="11" width="2.7109375" style="193" customWidth="1"/>
    <col min="12" max="16384" width="9.140625" style="193" hidden="1"/>
  </cols>
  <sheetData>
    <row r="1"/>
    <row r="2"/>
    <row r="3"/>
    <row r="4"/>
    <row r="5"/>
    <row r="6"/>
    <row r="7"/>
    <row r="8"/>
    <row r="9"/>
    <row r="10"/>
    <row r="11"/>
    <row r="12"/>
    <row r="13"/>
    <row r="14"/>
  </sheetData>
  <sheetProtection password="FBD9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CB60"/>
  <sheetViews>
    <sheetView showGridLines="0" showRowColHeaders="0" workbookViewId="0">
      <selection activeCell="I5" sqref="I5:N5"/>
    </sheetView>
  </sheetViews>
  <sheetFormatPr defaultColWidth="0" defaultRowHeight="15" zeroHeight="1"/>
  <cols>
    <col min="1" max="1" width="2.28515625" style="3" customWidth="1"/>
    <col min="2" max="2" width="1.7109375" style="3" customWidth="1"/>
    <col min="3" max="3" width="1.42578125" style="4" customWidth="1"/>
    <col min="4" max="15" width="2.7109375" style="3" customWidth="1"/>
    <col min="16" max="20" width="1.42578125" style="3" customWidth="1"/>
    <col min="21" max="22" width="2.28515625" style="3" customWidth="1"/>
    <col min="23" max="25" width="2.7109375" style="3" customWidth="1"/>
    <col min="26" max="28" width="1.7109375" style="3" customWidth="1"/>
    <col min="29" max="34" width="2.7109375" style="3" customWidth="1"/>
    <col min="35" max="38" width="1.7109375" style="3" customWidth="1"/>
    <col min="39" max="50" width="2.7109375" style="3" customWidth="1"/>
    <col min="51" max="51" width="1.7109375" style="3" customWidth="1"/>
    <col min="52" max="52" width="2.28515625" style="3" customWidth="1"/>
    <col min="53" max="54" width="2.7109375" style="3" hidden="1" customWidth="1"/>
    <col min="55" max="55" width="4.7109375" style="3" hidden="1" customWidth="1"/>
    <col min="56" max="57" width="2.7109375" style="3" hidden="1" customWidth="1"/>
    <col min="58" max="58" width="5.7109375" style="3" hidden="1" customWidth="1"/>
    <col min="59" max="63" width="4" style="3" hidden="1" customWidth="1"/>
    <col min="64" max="65" width="2.7109375" style="3" hidden="1" customWidth="1"/>
    <col min="66" max="66" width="9.140625" style="3" hidden="1" customWidth="1"/>
    <col min="67" max="67" width="2.7109375" style="3" hidden="1" customWidth="1"/>
    <col min="68" max="68" width="10" style="3" hidden="1" customWidth="1"/>
    <col min="69" max="69" width="4" style="3" hidden="1" customWidth="1"/>
    <col min="70" max="80" width="2.7109375" style="3" hidden="1" customWidth="1"/>
    <col min="81" max="16384" width="9.140625" style="3" hidden="1"/>
  </cols>
  <sheetData>
    <row r="1" spans="1:66" ht="18" thickBot="1">
      <c r="A1" s="6"/>
      <c r="B1" s="275" t="s">
        <v>164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49" t="s">
        <v>175</v>
      </c>
      <c r="V1" s="48"/>
      <c r="W1" s="6"/>
      <c r="X1" s="6"/>
      <c r="Y1" s="6"/>
      <c r="Z1" s="6"/>
      <c r="AA1" s="6"/>
      <c r="AB1" s="6"/>
      <c r="AC1" s="6"/>
      <c r="AD1" s="6"/>
      <c r="AE1" s="164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276" t="s">
        <v>176</v>
      </c>
      <c r="AT1" s="276"/>
      <c r="AU1" s="276"/>
      <c r="AV1" s="276"/>
      <c r="AW1" s="276"/>
      <c r="AX1" s="276"/>
      <c r="AY1" s="276"/>
      <c r="AZ1" s="6"/>
    </row>
    <row r="2" spans="1:66" s="5" customFormat="1" ht="6.95" customHeight="1" thickBot="1">
      <c r="A2" s="163"/>
      <c r="B2" s="69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4"/>
      <c r="AZ2" s="7"/>
    </row>
    <row r="3" spans="1:66" s="1" customFormat="1" ht="24.95" customHeight="1" thickTop="1" thickBot="1">
      <c r="A3" s="163"/>
      <c r="B3" s="70"/>
      <c r="C3" s="277" t="s">
        <v>163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8"/>
      <c r="AS3" s="278"/>
      <c r="AT3" s="278"/>
      <c r="AU3" s="278"/>
      <c r="AV3" s="278"/>
      <c r="AW3" s="278"/>
      <c r="AX3" s="279"/>
      <c r="AY3" s="64"/>
      <c r="AZ3" s="8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6" s="1" customFormat="1" ht="6.95" customHeight="1" thickTop="1">
      <c r="A4" s="163"/>
      <c r="B4" s="70"/>
      <c r="C4" s="63"/>
      <c r="D4" s="63"/>
      <c r="E4" s="63"/>
      <c r="F4" s="63"/>
      <c r="G4" s="63"/>
      <c r="H4" s="63"/>
      <c r="I4" s="63"/>
      <c r="J4" s="85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4"/>
      <c r="AZ4" s="8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6" s="12" customFormat="1" ht="15" customHeight="1">
      <c r="A5" s="163"/>
      <c r="B5" s="71"/>
      <c r="C5" s="194" t="s">
        <v>0</v>
      </c>
      <c r="D5" s="195"/>
      <c r="E5" s="195"/>
      <c r="F5" s="195"/>
      <c r="G5" s="195"/>
      <c r="H5" s="195"/>
      <c r="I5" s="297" t="s">
        <v>48</v>
      </c>
      <c r="J5" s="298"/>
      <c r="K5" s="298"/>
      <c r="L5" s="298"/>
      <c r="M5" s="298"/>
      <c r="N5" s="299"/>
      <c r="O5" s="300" t="s">
        <v>179</v>
      </c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160"/>
      <c r="AA5" s="160"/>
      <c r="AB5" s="160"/>
      <c r="AC5" s="160"/>
      <c r="AD5" s="160"/>
      <c r="AE5" s="160"/>
      <c r="AF5" s="160"/>
      <c r="AG5" s="160"/>
      <c r="AH5" s="161"/>
      <c r="AI5" s="162"/>
      <c r="AJ5" s="284">
        <f ca="1">TODAY()</f>
        <v>42027</v>
      </c>
      <c r="AK5" s="284"/>
      <c r="AL5" s="284"/>
      <c r="AM5" s="284"/>
      <c r="AN5" s="284"/>
      <c r="AO5" s="284"/>
      <c r="AP5" s="284"/>
      <c r="AQ5" s="284"/>
      <c r="AR5" s="284"/>
      <c r="AS5" s="284"/>
      <c r="AT5" s="284"/>
      <c r="AU5" s="284"/>
      <c r="AV5" s="283">
        <f ca="1">NOW()</f>
        <v>42027.808098726855</v>
      </c>
      <c r="AW5" s="283"/>
      <c r="AX5" s="283"/>
      <c r="AY5" s="66"/>
      <c r="AZ5" s="10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</row>
    <row r="6" spans="1:66" s="15" customFormat="1" ht="6.95" customHeight="1" thickBot="1">
      <c r="A6" s="163"/>
      <c r="B6" s="72"/>
      <c r="C6" s="67"/>
      <c r="D6" s="67"/>
      <c r="E6" s="67"/>
      <c r="F6" s="67"/>
      <c r="G6" s="67"/>
      <c r="H6" s="67"/>
      <c r="I6" s="67"/>
      <c r="J6" s="86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8"/>
      <c r="AZ6" s="13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</row>
    <row r="7" spans="1:66" s="12" customFormat="1" ht="15" customHeight="1" thickTop="1">
      <c r="A7" s="163"/>
      <c r="B7" s="71"/>
      <c r="C7" s="285" t="s">
        <v>173</v>
      </c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6"/>
      <c r="T7" s="286"/>
      <c r="U7" s="286"/>
      <c r="V7" s="286"/>
      <c r="W7" s="286"/>
      <c r="X7" s="286"/>
      <c r="Y7" s="286"/>
      <c r="Z7" s="287"/>
      <c r="AA7" s="65"/>
      <c r="AB7" s="288" t="s">
        <v>170</v>
      </c>
      <c r="AC7" s="289"/>
      <c r="AD7" s="289"/>
      <c r="AE7" s="289"/>
      <c r="AF7" s="289"/>
      <c r="AG7" s="289"/>
      <c r="AH7" s="289"/>
      <c r="AI7" s="290"/>
      <c r="AJ7" s="65"/>
      <c r="AK7" s="280" t="s">
        <v>24</v>
      </c>
      <c r="AL7" s="281"/>
      <c r="AM7" s="281"/>
      <c r="AN7" s="281"/>
      <c r="AO7" s="281"/>
      <c r="AP7" s="281"/>
      <c r="AQ7" s="281"/>
      <c r="AR7" s="281"/>
      <c r="AS7" s="281"/>
      <c r="AT7" s="281"/>
      <c r="AU7" s="281"/>
      <c r="AV7" s="281"/>
      <c r="AW7" s="281"/>
      <c r="AX7" s="282"/>
      <c r="AY7" s="66"/>
      <c r="AZ7" s="10"/>
      <c r="BA7" s="11"/>
      <c r="BJ7" s="99"/>
      <c r="BK7" s="99"/>
      <c r="BL7" s="99"/>
      <c r="BM7" s="99"/>
      <c r="BN7" s="99"/>
    </row>
    <row r="8" spans="1:66" s="16" customFormat="1" ht="6.95" customHeight="1">
      <c r="A8" s="163"/>
      <c r="B8" s="73"/>
      <c r="C8" s="12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9"/>
      <c r="T8" s="119"/>
      <c r="U8" s="120"/>
      <c r="V8" s="120"/>
      <c r="W8" s="120"/>
      <c r="X8" s="120"/>
      <c r="Y8" s="120"/>
      <c r="Z8" s="129"/>
      <c r="AA8" s="80"/>
      <c r="AB8" s="291"/>
      <c r="AC8" s="292"/>
      <c r="AD8" s="292"/>
      <c r="AE8" s="292"/>
      <c r="AF8" s="292"/>
      <c r="AG8" s="292"/>
      <c r="AH8" s="292"/>
      <c r="AI8" s="293"/>
      <c r="AJ8" s="80"/>
      <c r="AK8" s="150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51"/>
      <c r="AY8" s="68"/>
      <c r="AZ8" s="13"/>
      <c r="BA8" s="14"/>
      <c r="BJ8" s="55"/>
      <c r="BK8" s="55"/>
      <c r="BL8" s="55"/>
      <c r="BM8" s="55"/>
      <c r="BN8" s="55"/>
    </row>
    <row r="9" spans="1:66" s="34" customFormat="1" ht="14.1" customHeight="1">
      <c r="A9" s="163"/>
      <c r="B9" s="60"/>
      <c r="C9" s="130"/>
      <c r="D9" s="121" t="s">
        <v>22</v>
      </c>
      <c r="E9" s="101"/>
      <c r="F9" s="101"/>
      <c r="G9" s="233" t="str">
        <f>VLOOKUP($I$5,'Back Data'!$A$3:$Y$16,11,0)</f>
        <v>Tahir</v>
      </c>
      <c r="H9" s="234"/>
      <c r="I9" s="234"/>
      <c r="J9" s="235"/>
      <c r="K9" s="101"/>
      <c r="L9" s="233" t="str">
        <f>VLOOKUP($I$5,'Back Data'!$A$3:$Y$16,12,0)</f>
        <v>Hussain</v>
      </c>
      <c r="M9" s="234"/>
      <c r="N9" s="234"/>
      <c r="O9" s="235"/>
      <c r="P9" s="121"/>
      <c r="Q9" s="101"/>
      <c r="R9" s="122"/>
      <c r="S9" s="102" t="s">
        <v>27</v>
      </c>
      <c r="T9" s="123"/>
      <c r="U9" s="101"/>
      <c r="V9" s="233" t="str">
        <f>VLOOKUP($I$5,'Back Data'!$A$3:$Y$16,13,0)</f>
        <v>Zeenat</v>
      </c>
      <c r="W9" s="234"/>
      <c r="X9" s="234"/>
      <c r="Y9" s="235"/>
      <c r="Z9" s="131"/>
      <c r="AA9" s="81"/>
      <c r="AB9" s="291"/>
      <c r="AC9" s="292"/>
      <c r="AD9" s="292"/>
      <c r="AE9" s="292"/>
      <c r="AF9" s="292"/>
      <c r="AG9" s="292"/>
      <c r="AH9" s="292"/>
      <c r="AI9" s="293"/>
      <c r="AJ9" s="81"/>
      <c r="AK9" s="152"/>
      <c r="AL9" s="30" t="s">
        <v>1</v>
      </c>
      <c r="AM9" s="30"/>
      <c r="AN9" s="30"/>
      <c r="AO9" s="244" t="str">
        <f>VLOOKUP($I$5,'Back Data'!$A$3:$Y$16,2,0)</f>
        <v>5th</v>
      </c>
      <c r="AP9" s="245"/>
      <c r="AQ9" s="30"/>
      <c r="AR9" s="30"/>
      <c r="AS9" s="30" t="s">
        <v>5</v>
      </c>
      <c r="AT9" s="31"/>
      <c r="AU9" s="31"/>
      <c r="AV9" s="244">
        <f>VLOOKUP($I$5,'Back Data'!$A$3:$Y$16,3,0)</f>
        <v>26</v>
      </c>
      <c r="AW9" s="245"/>
      <c r="AX9" s="153"/>
      <c r="AY9" s="94"/>
      <c r="AZ9" s="32"/>
      <c r="BA9" s="33"/>
      <c r="BB9" s="33"/>
      <c r="BC9" s="56"/>
      <c r="BD9" s="56"/>
      <c r="BN9" s="56"/>
    </row>
    <row r="10" spans="1:66" s="38" customFormat="1" ht="9.9499999999999993" customHeight="1">
      <c r="A10" s="163"/>
      <c r="B10" s="74"/>
      <c r="C10" s="132"/>
      <c r="D10" s="122"/>
      <c r="E10" s="122"/>
      <c r="F10" s="122"/>
      <c r="G10" s="242" t="s">
        <v>28</v>
      </c>
      <c r="H10" s="242"/>
      <c r="I10" s="242"/>
      <c r="J10" s="242"/>
      <c r="K10" s="124"/>
      <c r="L10" s="262" t="s">
        <v>29</v>
      </c>
      <c r="M10" s="262"/>
      <c r="N10" s="262"/>
      <c r="O10" s="262"/>
      <c r="P10" s="124"/>
      <c r="Q10" s="124"/>
      <c r="R10" s="122"/>
      <c r="S10" s="125"/>
      <c r="T10" s="125"/>
      <c r="U10" s="122"/>
      <c r="V10" s="122"/>
      <c r="W10" s="122"/>
      <c r="X10" s="122"/>
      <c r="Y10" s="122"/>
      <c r="Z10" s="133"/>
      <c r="AA10" s="82"/>
      <c r="AB10" s="291"/>
      <c r="AC10" s="292"/>
      <c r="AD10" s="292"/>
      <c r="AE10" s="292"/>
      <c r="AF10" s="292"/>
      <c r="AG10" s="292"/>
      <c r="AH10" s="292"/>
      <c r="AI10" s="293"/>
      <c r="AJ10" s="82"/>
      <c r="AK10" s="154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155"/>
      <c r="AY10" s="95"/>
      <c r="AZ10" s="36"/>
      <c r="BA10" s="37"/>
      <c r="BB10" s="37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</row>
    <row r="11" spans="1:66" s="34" customFormat="1" ht="14.1" customHeight="1">
      <c r="A11" s="163"/>
      <c r="B11" s="60"/>
      <c r="C11" s="130"/>
      <c r="D11" s="101" t="s">
        <v>20</v>
      </c>
      <c r="E11" s="101"/>
      <c r="F11" s="101"/>
      <c r="G11" s="101"/>
      <c r="H11" s="101"/>
      <c r="I11" s="239">
        <f>VLOOKUP($I$5,'Back Data'!$A$3:$Y$16,14,0)</f>
        <v>23815</v>
      </c>
      <c r="J11" s="240"/>
      <c r="K11" s="240"/>
      <c r="L11" s="241"/>
      <c r="M11" s="126"/>
      <c r="N11" s="101"/>
      <c r="O11" s="101" t="s">
        <v>4</v>
      </c>
      <c r="P11" s="101"/>
      <c r="Q11" s="101"/>
      <c r="R11" s="101"/>
      <c r="S11" s="101"/>
      <c r="T11" s="233" t="str">
        <f>VLOOKUP($I$5,'Back Data'!$A$3:$Y$16,15,0)</f>
        <v>Male</v>
      </c>
      <c r="U11" s="234"/>
      <c r="V11" s="234"/>
      <c r="W11" s="235"/>
      <c r="X11" s="101"/>
      <c r="Y11" s="101"/>
      <c r="Z11" s="134"/>
      <c r="AA11" s="81"/>
      <c r="AB11" s="291"/>
      <c r="AC11" s="292"/>
      <c r="AD11" s="292"/>
      <c r="AE11" s="292"/>
      <c r="AF11" s="292"/>
      <c r="AG11" s="292"/>
      <c r="AH11" s="292"/>
      <c r="AI11" s="293"/>
      <c r="AJ11" s="81"/>
      <c r="AK11" s="152"/>
      <c r="AL11" s="30" t="s">
        <v>2</v>
      </c>
      <c r="AM11" s="30"/>
      <c r="AN11" s="30"/>
      <c r="AO11" s="30"/>
      <c r="AP11" s="244" t="str">
        <f>VLOOKUP($I$5,'Back Data'!$A$3:$Y$16,4,0)</f>
        <v>A</v>
      </c>
      <c r="AQ11" s="245"/>
      <c r="AR11" s="256" t="s">
        <v>30</v>
      </c>
      <c r="AS11" s="257"/>
      <c r="AT11" s="244" t="s">
        <v>162</v>
      </c>
      <c r="AU11" s="255"/>
      <c r="AV11" s="255"/>
      <c r="AW11" s="245"/>
      <c r="AX11" s="153"/>
      <c r="AY11" s="94"/>
      <c r="AZ11" s="32"/>
      <c r="BA11" s="33"/>
      <c r="BB11" s="33"/>
      <c r="BC11" s="56"/>
      <c r="BD11" s="56"/>
      <c r="BE11" s="56"/>
      <c r="BF11" s="56"/>
      <c r="BG11" s="56"/>
      <c r="BH11" s="57"/>
      <c r="BN11" s="56"/>
    </row>
    <row r="12" spans="1:66" s="34" customFormat="1" ht="9.9499999999999993" customHeight="1">
      <c r="A12" s="163"/>
      <c r="B12" s="60"/>
      <c r="C12" s="130"/>
      <c r="D12" s="101"/>
      <c r="E12" s="101"/>
      <c r="F12" s="101"/>
      <c r="G12" s="101"/>
      <c r="H12" s="101"/>
      <c r="I12" s="242" t="s">
        <v>31</v>
      </c>
      <c r="J12" s="242"/>
      <c r="K12" s="242"/>
      <c r="L12" s="242"/>
      <c r="M12" s="127"/>
      <c r="N12" s="101"/>
      <c r="O12" s="101"/>
      <c r="P12" s="101"/>
      <c r="Q12" s="101"/>
      <c r="R12" s="101"/>
      <c r="S12" s="123"/>
      <c r="T12" s="123"/>
      <c r="U12" s="101"/>
      <c r="V12" s="101"/>
      <c r="W12" s="101"/>
      <c r="X12" s="101"/>
      <c r="Y12" s="101"/>
      <c r="Z12" s="134"/>
      <c r="AA12" s="81"/>
      <c r="AB12" s="291"/>
      <c r="AC12" s="292"/>
      <c r="AD12" s="292"/>
      <c r="AE12" s="292"/>
      <c r="AF12" s="292"/>
      <c r="AG12" s="292"/>
      <c r="AH12" s="292"/>
      <c r="AI12" s="293"/>
      <c r="AJ12" s="81"/>
      <c r="AK12" s="152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153"/>
      <c r="AY12" s="94"/>
      <c r="AZ12" s="32"/>
      <c r="BA12" s="33"/>
      <c r="BB12" s="33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</row>
    <row r="13" spans="1:66" s="34" customFormat="1" ht="14.1" customHeight="1">
      <c r="A13" s="163"/>
      <c r="B13" s="60"/>
      <c r="C13" s="130"/>
      <c r="D13" s="121" t="s">
        <v>103</v>
      </c>
      <c r="E13" s="121"/>
      <c r="F13" s="121"/>
      <c r="G13" s="233" t="str">
        <f>VLOOKUP($I$5,'Back Data'!$A$3:$Y$16,16,0)</f>
        <v>Muslim</v>
      </c>
      <c r="H13" s="234"/>
      <c r="I13" s="235"/>
      <c r="J13" s="102"/>
      <c r="K13" s="101" t="s">
        <v>32</v>
      </c>
      <c r="L13" s="101"/>
      <c r="M13" s="101"/>
      <c r="N13" s="101"/>
      <c r="O13" s="101"/>
      <c r="P13" s="101"/>
      <c r="Q13" s="101"/>
      <c r="R13" s="122"/>
      <c r="S13" s="233" t="str">
        <f>VLOOKUP($I$5,'Back Data'!$A$3:$Y$16,17,0)</f>
        <v>Farmer</v>
      </c>
      <c r="T13" s="234"/>
      <c r="U13" s="234"/>
      <c r="V13" s="234"/>
      <c r="W13" s="234"/>
      <c r="X13" s="235"/>
      <c r="Y13" s="102"/>
      <c r="Z13" s="134"/>
      <c r="AA13" s="81"/>
      <c r="AB13" s="291"/>
      <c r="AC13" s="292"/>
      <c r="AD13" s="292"/>
      <c r="AE13" s="292"/>
      <c r="AF13" s="292"/>
      <c r="AG13" s="292"/>
      <c r="AH13" s="292"/>
      <c r="AI13" s="293"/>
      <c r="AJ13" s="81"/>
      <c r="AK13" s="152"/>
      <c r="AL13" s="30" t="s">
        <v>6</v>
      </c>
      <c r="AM13" s="30"/>
      <c r="AN13" s="30"/>
      <c r="AO13" s="30"/>
      <c r="AP13" s="30"/>
      <c r="AQ13" s="30"/>
      <c r="AR13" s="30"/>
      <c r="AS13" s="259">
        <f>VLOOKUP($I$5,'Back Data'!$A$3:$Y$16,5,0)</f>
        <v>41840</v>
      </c>
      <c r="AT13" s="260"/>
      <c r="AU13" s="260"/>
      <c r="AV13" s="261"/>
      <c r="AW13" s="46"/>
      <c r="AX13" s="153"/>
      <c r="AY13" s="96"/>
      <c r="AZ13" s="32"/>
      <c r="BA13" s="33"/>
      <c r="BB13" s="33"/>
      <c r="BC13" s="56"/>
      <c r="BD13" s="56"/>
      <c r="BE13" s="56"/>
      <c r="BF13" s="56"/>
      <c r="BG13" s="56"/>
      <c r="BH13" s="56"/>
      <c r="BJ13" s="58"/>
      <c r="BK13" s="58"/>
      <c r="BL13" s="58"/>
      <c r="BM13" s="58"/>
      <c r="BN13" s="58"/>
    </row>
    <row r="14" spans="1:66" s="38" customFormat="1" ht="6.95" customHeight="1">
      <c r="A14" s="163"/>
      <c r="B14" s="74"/>
      <c r="C14" s="13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5"/>
      <c r="T14" s="125"/>
      <c r="U14" s="122"/>
      <c r="V14" s="122"/>
      <c r="W14" s="122"/>
      <c r="X14" s="122"/>
      <c r="Y14" s="122"/>
      <c r="Z14" s="133"/>
      <c r="AA14" s="82"/>
      <c r="AB14" s="291"/>
      <c r="AC14" s="292"/>
      <c r="AD14" s="292"/>
      <c r="AE14" s="292"/>
      <c r="AF14" s="292"/>
      <c r="AG14" s="292"/>
      <c r="AH14" s="292"/>
      <c r="AI14" s="293"/>
      <c r="AJ14" s="82"/>
      <c r="AK14" s="154"/>
      <c r="AL14" s="35"/>
      <c r="AM14" s="35"/>
      <c r="AN14" s="35"/>
      <c r="AO14" s="35"/>
      <c r="AP14" s="35"/>
      <c r="AQ14" s="35"/>
      <c r="AR14" s="35"/>
      <c r="AS14" s="258"/>
      <c r="AT14" s="258"/>
      <c r="AU14" s="258"/>
      <c r="AV14" s="258"/>
      <c r="AW14" s="258"/>
      <c r="AX14" s="155"/>
      <c r="AY14" s="95"/>
      <c r="AZ14" s="36"/>
      <c r="BA14" s="37"/>
      <c r="BB14" s="37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</row>
    <row r="15" spans="1:66" s="34" customFormat="1" ht="14.1" customHeight="1" thickBot="1">
      <c r="A15" s="163"/>
      <c r="B15" s="60"/>
      <c r="C15" s="130"/>
      <c r="D15" s="101" t="s">
        <v>100</v>
      </c>
      <c r="E15" s="101"/>
      <c r="F15" s="101"/>
      <c r="G15" s="101"/>
      <c r="H15" s="101"/>
      <c r="I15" s="101"/>
      <c r="J15" s="233" t="str">
        <f>VLOOKUP($I$5,'Back Data'!$A$3:$Y$16,18,0)</f>
        <v>Housewife</v>
      </c>
      <c r="K15" s="234"/>
      <c r="L15" s="234"/>
      <c r="M15" s="235"/>
      <c r="N15" s="102"/>
      <c r="O15" s="101" t="s">
        <v>25</v>
      </c>
      <c r="P15" s="101"/>
      <c r="Q15" s="101"/>
      <c r="R15" s="101"/>
      <c r="S15" s="121"/>
      <c r="T15" s="121"/>
      <c r="U15" s="101"/>
      <c r="V15" s="233" t="str">
        <f>VLOOKUP($I$5,'Back Data'!$A$3:$Y$16,19,0)</f>
        <v>010-98765</v>
      </c>
      <c r="W15" s="234"/>
      <c r="X15" s="234"/>
      <c r="Y15" s="235"/>
      <c r="Z15" s="131"/>
      <c r="AA15" s="81"/>
      <c r="AB15" s="294"/>
      <c r="AC15" s="295"/>
      <c r="AD15" s="295"/>
      <c r="AE15" s="295"/>
      <c r="AF15" s="295"/>
      <c r="AG15" s="295"/>
      <c r="AH15" s="295"/>
      <c r="AI15" s="296"/>
      <c r="AJ15" s="81"/>
      <c r="AK15" s="152"/>
      <c r="AL15" s="30" t="s">
        <v>21</v>
      </c>
      <c r="AM15" s="30"/>
      <c r="AN15" s="30"/>
      <c r="AO15" s="31"/>
      <c r="AP15" s="31"/>
      <c r="AQ15" s="246" t="str">
        <f>VLOOKUP($I$5,'Back Data'!$A$3:$Y$16,6)</f>
        <v>Miss. Priya</v>
      </c>
      <c r="AR15" s="247"/>
      <c r="AS15" s="247"/>
      <c r="AT15" s="247"/>
      <c r="AU15" s="247"/>
      <c r="AV15" s="247"/>
      <c r="AW15" s="248"/>
      <c r="AX15" s="153"/>
      <c r="AY15" s="94"/>
      <c r="AZ15" s="32"/>
      <c r="BA15" s="33"/>
      <c r="BB15" s="33"/>
      <c r="BC15" s="56"/>
      <c r="BD15" s="56"/>
      <c r="BE15" s="59"/>
      <c r="BF15" s="59"/>
      <c r="BG15" s="59"/>
      <c r="BH15" s="59"/>
      <c r="BI15" s="59"/>
      <c r="BJ15" s="59"/>
      <c r="BK15" s="59"/>
      <c r="BL15" s="59"/>
      <c r="BM15" s="59"/>
      <c r="BN15" s="56"/>
    </row>
    <row r="16" spans="1:66" s="34" customFormat="1" ht="6.95" customHeight="1" thickBot="1">
      <c r="A16" s="163"/>
      <c r="B16" s="60"/>
      <c r="C16" s="130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23"/>
      <c r="T16" s="123"/>
      <c r="U16" s="101"/>
      <c r="V16" s="101"/>
      <c r="W16" s="101"/>
      <c r="X16" s="101"/>
      <c r="Y16" s="101"/>
      <c r="Z16" s="134"/>
      <c r="AA16" s="81"/>
      <c r="AB16" s="61"/>
      <c r="AC16" s="61"/>
      <c r="AD16" s="61"/>
      <c r="AE16" s="61"/>
      <c r="AF16" s="61"/>
      <c r="AG16" s="61"/>
      <c r="AH16" s="61"/>
      <c r="AI16" s="61"/>
      <c r="AJ16" s="81"/>
      <c r="AK16" s="152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153"/>
      <c r="AY16" s="94"/>
      <c r="AZ16" s="32"/>
      <c r="BA16" s="33"/>
      <c r="BB16" s="33"/>
      <c r="BC16" s="56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6"/>
    </row>
    <row r="17" spans="1:66" s="34" customFormat="1" ht="14.1" customHeight="1">
      <c r="A17" s="163"/>
      <c r="B17" s="60"/>
      <c r="C17" s="130"/>
      <c r="D17" s="101" t="s">
        <v>26</v>
      </c>
      <c r="E17" s="101"/>
      <c r="F17" s="101"/>
      <c r="G17" s="101"/>
      <c r="H17" s="233">
        <f>VLOOKUP($I$5,'Back Data'!$A$3:$Y$16,20,0)</f>
        <v>4436251643</v>
      </c>
      <c r="I17" s="234"/>
      <c r="J17" s="234"/>
      <c r="K17" s="235"/>
      <c r="L17" s="121"/>
      <c r="M17" s="102" t="s">
        <v>3</v>
      </c>
      <c r="N17" s="121"/>
      <c r="O17" s="236" t="str">
        <f>VLOOKUP($I$5,'Back Data'!$A$3:$Y$16,22,0)</f>
        <v>aamirkhan@aamir.com</v>
      </c>
      <c r="P17" s="237"/>
      <c r="Q17" s="237"/>
      <c r="R17" s="237"/>
      <c r="S17" s="237"/>
      <c r="T17" s="237"/>
      <c r="U17" s="237"/>
      <c r="V17" s="237"/>
      <c r="W17" s="237"/>
      <c r="X17" s="237"/>
      <c r="Y17" s="238"/>
      <c r="Z17" s="134"/>
      <c r="AA17" s="81"/>
      <c r="AB17" s="269" t="s">
        <v>174</v>
      </c>
      <c r="AC17" s="270"/>
      <c r="AD17" s="270"/>
      <c r="AE17" s="270"/>
      <c r="AF17" s="270"/>
      <c r="AG17" s="270"/>
      <c r="AH17" s="270"/>
      <c r="AI17" s="271"/>
      <c r="AJ17" s="81"/>
      <c r="AK17" s="152"/>
      <c r="AL17" s="30" t="s">
        <v>12</v>
      </c>
      <c r="AM17" s="30"/>
      <c r="AN17" s="30"/>
      <c r="AO17" s="249" t="str">
        <f>VLOOKUP($I$5,'Back Data'!$A$3:$Y$16,7,0)</f>
        <v>Pass</v>
      </c>
      <c r="AP17" s="250"/>
      <c r="AQ17" s="251"/>
      <c r="AR17" s="31"/>
      <c r="AS17" s="30" t="s">
        <v>33</v>
      </c>
      <c r="AT17" s="31"/>
      <c r="AU17" s="252">
        <f>VLOOKUP($I$5,'Back Data'!$A$3:$Y$16,8,0)</f>
        <v>0.80166666666666664</v>
      </c>
      <c r="AV17" s="253"/>
      <c r="AW17" s="254"/>
      <c r="AX17" s="153"/>
      <c r="AY17" s="94"/>
      <c r="AZ17" s="32"/>
      <c r="BA17" s="33"/>
      <c r="BB17" s="33"/>
      <c r="BC17" s="56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6"/>
    </row>
    <row r="18" spans="1:66" s="34" customFormat="1" ht="6.95" customHeight="1">
      <c r="A18" s="163"/>
      <c r="B18" s="60"/>
      <c r="C18" s="130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23"/>
      <c r="T18" s="123"/>
      <c r="U18" s="101"/>
      <c r="V18" s="101"/>
      <c r="W18" s="101"/>
      <c r="X18" s="101"/>
      <c r="Y18" s="101"/>
      <c r="Z18" s="134"/>
      <c r="AA18" s="81"/>
      <c r="AB18" s="272"/>
      <c r="AC18" s="273"/>
      <c r="AD18" s="273"/>
      <c r="AE18" s="273"/>
      <c r="AF18" s="273"/>
      <c r="AG18" s="273"/>
      <c r="AH18" s="273"/>
      <c r="AI18" s="274"/>
      <c r="AJ18" s="81"/>
      <c r="AK18" s="152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153"/>
      <c r="AY18" s="94"/>
      <c r="AZ18" s="32"/>
      <c r="BA18" s="33"/>
      <c r="BB18" s="33"/>
      <c r="BC18" s="56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6"/>
    </row>
    <row r="19" spans="1:66" s="34" customFormat="1" ht="14.1" customHeight="1">
      <c r="A19" s="163"/>
      <c r="B19" s="60"/>
      <c r="C19" s="130"/>
      <c r="D19" s="101" t="s">
        <v>171</v>
      </c>
      <c r="E19" s="101"/>
      <c r="F19" s="101"/>
      <c r="G19" s="236" t="str">
        <f>VLOOKUP($I$5,'Back Data'!$A$3:$Y$16,21,0)</f>
        <v>11, Bela Vista Apartment, Pali Hill, Bandra W, Mumbai</v>
      </c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8"/>
      <c r="Z19" s="135"/>
      <c r="AA19" s="81"/>
      <c r="AB19" s="263" t="str">
        <f>REPT("µ",AO19)</f>
        <v>µ</v>
      </c>
      <c r="AC19" s="264"/>
      <c r="AD19" s="264"/>
      <c r="AE19" s="264"/>
      <c r="AF19" s="264"/>
      <c r="AG19" s="264"/>
      <c r="AH19" s="264"/>
      <c r="AI19" s="265"/>
      <c r="AJ19" s="81"/>
      <c r="AK19" s="152"/>
      <c r="AL19" s="30" t="s">
        <v>13</v>
      </c>
      <c r="AM19" s="30"/>
      <c r="AN19" s="31"/>
      <c r="AO19" s="244">
        <f>VLOOKUP($I$5,'Back Data'!$A$3:$Y$16,9,0)</f>
        <v>1</v>
      </c>
      <c r="AP19" s="255"/>
      <c r="AQ19" s="245"/>
      <c r="AR19" s="30"/>
      <c r="AS19" s="54" t="s">
        <v>14</v>
      </c>
      <c r="AT19" s="31"/>
      <c r="AU19" s="244" t="str">
        <f>VLOOKUP($I$5,'Back Data'!$A$3:$Y$16,10,0)</f>
        <v>A+</v>
      </c>
      <c r="AV19" s="255"/>
      <c r="AW19" s="245"/>
      <c r="AX19" s="153"/>
      <c r="AY19" s="94"/>
      <c r="AZ19" s="32"/>
      <c r="BA19" s="33"/>
      <c r="BB19" s="33"/>
      <c r="BC19" s="56"/>
      <c r="BE19" s="59"/>
      <c r="BF19" s="59"/>
      <c r="BN19" s="56"/>
    </row>
    <row r="20" spans="1:66" s="34" customFormat="1" ht="6.95" customHeight="1" thickBot="1">
      <c r="A20" s="163"/>
      <c r="B20" s="60"/>
      <c r="C20" s="136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8"/>
      <c r="T20" s="138"/>
      <c r="U20" s="137"/>
      <c r="V20" s="137"/>
      <c r="W20" s="137"/>
      <c r="X20" s="137"/>
      <c r="Y20" s="137"/>
      <c r="Z20" s="139"/>
      <c r="AA20" s="81"/>
      <c r="AB20" s="266"/>
      <c r="AC20" s="267"/>
      <c r="AD20" s="267"/>
      <c r="AE20" s="267"/>
      <c r="AF20" s="267"/>
      <c r="AG20" s="267"/>
      <c r="AH20" s="267"/>
      <c r="AI20" s="268"/>
      <c r="AJ20" s="81"/>
      <c r="AK20" s="156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8"/>
      <c r="AY20" s="94"/>
      <c r="AZ20" s="32"/>
      <c r="BA20" s="33"/>
      <c r="BB20" s="33"/>
      <c r="BC20" s="33"/>
      <c r="BD20"/>
      <c r="BE20" s="33"/>
      <c r="BF20" s="33"/>
      <c r="BG20" s="33"/>
      <c r="BH20" s="33"/>
      <c r="BI20" s="33"/>
      <c r="BJ20" s="33"/>
      <c r="BK20" s="33"/>
      <c r="BL20" s="33"/>
      <c r="BM20" s="33"/>
    </row>
    <row r="21" spans="1:66" s="40" customFormat="1" ht="9" customHeight="1" thickTop="1" thickBot="1">
      <c r="A21" s="163"/>
      <c r="B21" s="60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77"/>
      <c r="P21" s="77"/>
      <c r="Q21" s="77"/>
      <c r="R21" s="77"/>
      <c r="S21" s="77"/>
      <c r="T21" s="61"/>
      <c r="U21" s="61"/>
      <c r="V21" s="61"/>
      <c r="W21" s="61"/>
      <c r="X21" s="61"/>
      <c r="Y21" s="61"/>
      <c r="Z21" s="77"/>
      <c r="AA21" s="77"/>
      <c r="AB21" s="77"/>
      <c r="AC21" s="77"/>
      <c r="AD21" s="77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2"/>
      <c r="AZ21" s="39"/>
      <c r="BD21" s="27"/>
    </row>
    <row r="22" spans="1:66" s="41" customFormat="1" ht="15" customHeight="1" thickTop="1">
      <c r="A22" s="163"/>
      <c r="B22" s="60"/>
      <c r="C22" s="200" t="s">
        <v>172</v>
      </c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2"/>
      <c r="Z22" s="107"/>
      <c r="AA22" s="171"/>
      <c r="AB22" s="172"/>
      <c r="AC22" s="172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4"/>
      <c r="AY22" s="62"/>
      <c r="AZ22" s="39"/>
      <c r="BA22" s="40"/>
      <c r="BB22" s="40"/>
      <c r="BC22" s="40"/>
    </row>
    <row r="23" spans="1:66" s="41" customFormat="1">
      <c r="A23" s="163"/>
      <c r="B23" s="60"/>
      <c r="C23" s="223" t="s">
        <v>7</v>
      </c>
      <c r="D23" s="222"/>
      <c r="E23" s="220" t="s">
        <v>34</v>
      </c>
      <c r="F23" s="221"/>
      <c r="G23" s="221"/>
      <c r="H23" s="221"/>
      <c r="I23" s="220" t="s">
        <v>38</v>
      </c>
      <c r="J23" s="221"/>
      <c r="K23" s="221"/>
      <c r="L23" s="222"/>
      <c r="M23" s="220" t="s">
        <v>8</v>
      </c>
      <c r="N23" s="221"/>
      <c r="O23" s="221"/>
      <c r="P23" s="222"/>
      <c r="Q23" s="220" t="s">
        <v>14</v>
      </c>
      <c r="R23" s="229"/>
      <c r="S23" s="229"/>
      <c r="T23" s="230"/>
      <c r="U23" s="203" t="s">
        <v>169</v>
      </c>
      <c r="V23" s="204"/>
      <c r="W23" s="204"/>
      <c r="X23" s="204"/>
      <c r="Y23" s="205"/>
      <c r="Z23" s="107"/>
      <c r="AA23" s="175"/>
      <c r="AB23" s="176"/>
      <c r="AC23" s="177"/>
      <c r="AD23" s="178"/>
      <c r="AE23" s="179"/>
      <c r="AF23" s="179" t="s">
        <v>9</v>
      </c>
      <c r="AG23" s="179" t="s">
        <v>11</v>
      </c>
      <c r="AH23" s="179" t="s">
        <v>10</v>
      </c>
      <c r="AI23" s="179" t="s">
        <v>65</v>
      </c>
      <c r="AJ23" s="179" t="s">
        <v>66</v>
      </c>
      <c r="AK23" s="179" t="s">
        <v>67</v>
      </c>
      <c r="AL23" s="179" t="s">
        <v>68</v>
      </c>
      <c r="AM23" s="179" t="s">
        <v>40</v>
      </c>
      <c r="AN23" s="178"/>
      <c r="AO23" s="178"/>
      <c r="AP23" s="179">
        <f>+AO19</f>
        <v>1</v>
      </c>
      <c r="AQ23" s="179"/>
      <c r="AR23" s="178"/>
      <c r="AS23" s="178"/>
      <c r="AT23" s="180"/>
      <c r="AU23" s="180"/>
      <c r="AV23" s="180"/>
      <c r="AW23" s="180"/>
      <c r="AX23" s="181"/>
      <c r="AY23" s="62"/>
      <c r="AZ23" s="29"/>
    </row>
    <row r="24" spans="1:66" s="41" customFormat="1" ht="5.0999999999999996" customHeight="1">
      <c r="A24" s="163"/>
      <c r="B24" s="60"/>
      <c r="C24" s="140"/>
      <c r="D24" s="104"/>
      <c r="E24" s="110"/>
      <c r="F24" s="111"/>
      <c r="G24" s="111"/>
      <c r="H24" s="112"/>
      <c r="I24" s="45"/>
      <c r="J24" s="104"/>
      <c r="K24" s="104"/>
      <c r="L24" s="104"/>
      <c r="M24" s="109"/>
      <c r="N24" s="104"/>
      <c r="O24" s="104"/>
      <c r="P24" s="106"/>
      <c r="Q24" s="45"/>
      <c r="R24" s="45"/>
      <c r="S24" s="45"/>
      <c r="T24" s="113"/>
      <c r="U24" s="97"/>
      <c r="V24" s="43"/>
      <c r="W24" s="103"/>
      <c r="X24" s="103"/>
      <c r="Y24" s="141"/>
      <c r="Z24" s="89"/>
      <c r="AA24" s="182"/>
      <c r="AB24" s="183"/>
      <c r="AC24" s="178"/>
      <c r="AD24" s="178"/>
      <c r="AE24" s="179">
        <v>2</v>
      </c>
      <c r="AF24" s="179">
        <v>3</v>
      </c>
      <c r="AG24" s="179">
        <v>4</v>
      </c>
      <c r="AH24" s="179">
        <v>5</v>
      </c>
      <c r="AI24" s="179">
        <v>6</v>
      </c>
      <c r="AJ24" s="179">
        <v>7</v>
      </c>
      <c r="AK24" s="179">
        <v>8</v>
      </c>
      <c r="AL24" s="179">
        <v>9</v>
      </c>
      <c r="AM24" s="179">
        <v>10</v>
      </c>
      <c r="AN24" s="178"/>
      <c r="AO24" s="178"/>
      <c r="AP24" s="179"/>
      <c r="AQ24" s="179"/>
      <c r="AR24" s="178"/>
      <c r="AS24" s="178"/>
      <c r="AT24" s="180"/>
      <c r="AU24" s="180"/>
      <c r="AV24" s="180"/>
      <c r="AW24" s="180"/>
      <c r="AX24" s="181"/>
      <c r="AY24" s="62"/>
      <c r="AZ24" s="29"/>
    </row>
    <row r="25" spans="1:66" s="41" customFormat="1">
      <c r="A25" s="163"/>
      <c r="B25" s="60"/>
      <c r="C25" s="224">
        <v>1</v>
      </c>
      <c r="D25" s="211"/>
      <c r="E25" s="206" t="s">
        <v>9</v>
      </c>
      <c r="F25" s="207"/>
      <c r="G25" s="207"/>
      <c r="H25" s="208"/>
      <c r="I25" s="219">
        <f>VLOOKUP($I$5,'Back Data'!A23:M35,2,0)</f>
        <v>65</v>
      </c>
      <c r="J25" s="210"/>
      <c r="K25" s="210"/>
      <c r="L25" s="211"/>
      <c r="M25" s="209">
        <v>100</v>
      </c>
      <c r="N25" s="210"/>
      <c r="O25" s="210"/>
      <c r="P25" s="211"/>
      <c r="Q25" s="209" t="str">
        <f>IF(AND(I25&lt;=35),"C",IF(AND(I25&gt;=35,I25&lt;=45),"B",IF(AND(I25&gt;=45,I25&lt;=65),"B+",IF(AND(I25&gt;=65,I25&lt;=75),"A",IF(I25&gt;=75,"A+",)))))</f>
        <v>B+</v>
      </c>
      <c r="R25" s="210"/>
      <c r="S25" s="210"/>
      <c r="T25" s="211"/>
      <c r="U25" s="97"/>
      <c r="V25" s="197" t="str">
        <f>IF(AND(I25&lt;=35),"Bad",IF(AND(I25&gt;=35,I25&lt;=45),"Poor",IF(AND(I25&gt;=45,I25&lt;=65),"Ok",IF(AND(I25&gt;=65,I25&lt;=75),"Good",IF(I25&gt;=75,"Excellent",)))))</f>
        <v>Ok</v>
      </c>
      <c r="W25" s="198"/>
      <c r="X25" s="199"/>
      <c r="Y25" s="142"/>
      <c r="Z25" s="100"/>
      <c r="AA25" s="184"/>
      <c r="AB25" s="185"/>
      <c r="AC25" s="178"/>
      <c r="AD25" s="178"/>
      <c r="AE25" s="178"/>
      <c r="AF25" s="179">
        <v>100</v>
      </c>
      <c r="AG25" s="179">
        <v>100</v>
      </c>
      <c r="AH25" s="179">
        <v>100</v>
      </c>
      <c r="AI25" s="179">
        <v>100</v>
      </c>
      <c r="AJ25" s="179">
        <v>100</v>
      </c>
      <c r="AK25" s="179">
        <v>50</v>
      </c>
      <c r="AL25" s="179">
        <v>50</v>
      </c>
      <c r="AM25" s="179">
        <f>SUM(AF25:AL25)</f>
        <v>600</v>
      </c>
      <c r="AN25" s="178"/>
      <c r="AO25" s="178"/>
      <c r="AP25" s="179" t="s">
        <v>9</v>
      </c>
      <c r="AQ25" s="179">
        <f>VLOOKUP($AP$23,$AD$23:$AM$36,3,FALSE)</f>
        <v>65</v>
      </c>
      <c r="AR25" s="178"/>
      <c r="AS25" s="178"/>
      <c r="AT25" s="180"/>
      <c r="AU25" s="180"/>
      <c r="AV25" s="180"/>
      <c r="AW25" s="180"/>
      <c r="AX25" s="181"/>
      <c r="AY25" s="62"/>
      <c r="AZ25" s="29"/>
      <c r="BD25" s="57"/>
      <c r="BE25" s="57"/>
    </row>
    <row r="26" spans="1:66" s="41" customFormat="1" ht="6.95" customHeight="1">
      <c r="A26" s="163"/>
      <c r="B26" s="60"/>
      <c r="C26" s="140"/>
      <c r="D26" s="104"/>
      <c r="E26" s="97"/>
      <c r="F26" s="104"/>
      <c r="G26" s="104"/>
      <c r="H26" s="106"/>
      <c r="I26" s="45"/>
      <c r="J26" s="104"/>
      <c r="K26" s="104"/>
      <c r="L26" s="106"/>
      <c r="M26" s="109"/>
      <c r="N26" s="104"/>
      <c r="O26" s="104"/>
      <c r="P26" s="106"/>
      <c r="Q26" s="109"/>
      <c r="R26" s="45"/>
      <c r="S26" s="45"/>
      <c r="T26" s="113"/>
      <c r="U26" s="97"/>
      <c r="V26" s="159"/>
      <c r="W26" s="44"/>
      <c r="X26" s="44"/>
      <c r="Y26" s="141"/>
      <c r="Z26" s="89"/>
      <c r="AA26" s="182"/>
      <c r="AB26" s="183"/>
      <c r="AC26" s="178"/>
      <c r="AD26" s="178">
        <v>1</v>
      </c>
      <c r="AE26" s="179" t="s">
        <v>48</v>
      </c>
      <c r="AF26" s="179">
        <v>65</v>
      </c>
      <c r="AG26" s="179">
        <v>70</v>
      </c>
      <c r="AH26" s="179">
        <v>95</v>
      </c>
      <c r="AI26" s="179">
        <v>80</v>
      </c>
      <c r="AJ26" s="179">
        <v>86</v>
      </c>
      <c r="AK26" s="179">
        <v>45</v>
      </c>
      <c r="AL26" s="179">
        <v>40</v>
      </c>
      <c r="AM26" s="179">
        <f t="shared" ref="AM26:AM36" si="0">SUM(AF26:AL26)</f>
        <v>481</v>
      </c>
      <c r="AN26" s="178"/>
      <c r="AO26" s="178"/>
      <c r="AP26" s="179" t="s">
        <v>11</v>
      </c>
      <c r="AQ26" s="179">
        <f>VLOOKUP($AP$23,$AD$23:$AM$36,4,FALSE)</f>
        <v>70</v>
      </c>
      <c r="AR26" s="178"/>
      <c r="AS26" s="178"/>
      <c r="AT26" s="180"/>
      <c r="AU26" s="180"/>
      <c r="AV26" s="180"/>
      <c r="AW26" s="180"/>
      <c r="AX26" s="181"/>
      <c r="AY26" s="62"/>
      <c r="AZ26" s="29"/>
    </row>
    <row r="27" spans="1:66" s="41" customFormat="1">
      <c r="A27" s="163"/>
      <c r="B27" s="60"/>
      <c r="C27" s="224">
        <v>2</v>
      </c>
      <c r="D27" s="211"/>
      <c r="E27" s="206" t="s">
        <v>11</v>
      </c>
      <c r="F27" s="207"/>
      <c r="G27" s="207"/>
      <c r="H27" s="208"/>
      <c r="I27" s="219">
        <f>VLOOKUP($I$5,'Back Data'!A23:M35,3,0)</f>
        <v>70</v>
      </c>
      <c r="J27" s="210"/>
      <c r="K27" s="210"/>
      <c r="L27" s="211"/>
      <c r="M27" s="209">
        <v>100</v>
      </c>
      <c r="N27" s="210"/>
      <c r="O27" s="210"/>
      <c r="P27" s="211"/>
      <c r="Q27" s="209" t="str">
        <f t="shared" ref="Q27:Q33" si="1">IF(AND(I27&lt;=35),"C",IF(AND(I27&gt;=35,I27&lt;=45),"B",IF(AND(I27&gt;=45,I27&lt;=65),"B+",IF(AND(I27&gt;=65,I27&lt;=75),"A",IF(I27&gt;=75,"A+",)))))</f>
        <v>A</v>
      </c>
      <c r="R27" s="210"/>
      <c r="S27" s="210"/>
      <c r="T27" s="211"/>
      <c r="U27" s="97"/>
      <c r="V27" s="197" t="str">
        <f>IF(AND(I27&lt;=35),"Bad",IF(AND(I27&gt;=35,I27&lt;=45),"Poor",IF(AND(I27&gt;=45,I27&lt;=65),"Ok",IF(AND(I27&gt;=65,I27&lt;=75),"Good",IF(I27&gt;=75,"Excellent",)))))</f>
        <v>Good</v>
      </c>
      <c r="W27" s="198"/>
      <c r="X27" s="199"/>
      <c r="Y27" s="143"/>
      <c r="Z27" s="100"/>
      <c r="AA27" s="184"/>
      <c r="AB27" s="185"/>
      <c r="AC27" s="178"/>
      <c r="AD27" s="178">
        <v>3</v>
      </c>
      <c r="AE27" s="179" t="s">
        <v>43</v>
      </c>
      <c r="AF27" s="179">
        <v>50</v>
      </c>
      <c r="AG27" s="179">
        <v>60</v>
      </c>
      <c r="AH27" s="179">
        <v>63</v>
      </c>
      <c r="AI27" s="179">
        <v>91</v>
      </c>
      <c r="AJ27" s="179">
        <v>78</v>
      </c>
      <c r="AK27" s="179">
        <v>42</v>
      </c>
      <c r="AL27" s="179">
        <v>45</v>
      </c>
      <c r="AM27" s="179">
        <f t="shared" si="0"/>
        <v>429</v>
      </c>
      <c r="AN27" s="178"/>
      <c r="AO27" s="178"/>
      <c r="AP27" s="179" t="s">
        <v>10</v>
      </c>
      <c r="AQ27" s="179">
        <f>VLOOKUP($AP$23,$AD$23:$AM$36,5,FALSE)</f>
        <v>95</v>
      </c>
      <c r="AR27" s="178"/>
      <c r="AS27" s="178"/>
      <c r="AT27" s="180"/>
      <c r="AU27" s="180"/>
      <c r="AV27" s="180"/>
      <c r="AW27" s="180"/>
      <c r="AX27" s="181"/>
      <c r="AY27" s="62"/>
      <c r="AZ27" s="29"/>
    </row>
    <row r="28" spans="1:66" s="41" customFormat="1" ht="6" customHeight="1">
      <c r="A28" s="163"/>
      <c r="B28" s="60"/>
      <c r="C28" s="140"/>
      <c r="D28" s="104"/>
      <c r="E28" s="206"/>
      <c r="F28" s="207"/>
      <c r="G28" s="207"/>
      <c r="H28" s="208"/>
      <c r="I28" s="45"/>
      <c r="J28" s="104"/>
      <c r="K28" s="104"/>
      <c r="L28" s="106"/>
      <c r="M28" s="109"/>
      <c r="N28" s="104"/>
      <c r="O28" s="104"/>
      <c r="P28" s="106"/>
      <c r="Q28" s="109"/>
      <c r="R28" s="45"/>
      <c r="S28" s="45"/>
      <c r="T28" s="113"/>
      <c r="U28" s="97"/>
      <c r="V28" s="159"/>
      <c r="W28" s="44"/>
      <c r="X28" s="44"/>
      <c r="Y28" s="141"/>
      <c r="Z28" s="89"/>
      <c r="AA28" s="182"/>
      <c r="AB28" s="183"/>
      <c r="AC28" s="178"/>
      <c r="AD28" s="178">
        <v>8</v>
      </c>
      <c r="AE28" s="179" t="s">
        <v>71</v>
      </c>
      <c r="AF28" s="179">
        <v>36</v>
      </c>
      <c r="AG28" s="179">
        <v>39</v>
      </c>
      <c r="AH28" s="179">
        <v>60</v>
      </c>
      <c r="AI28" s="179">
        <v>59</v>
      </c>
      <c r="AJ28" s="179">
        <v>69</v>
      </c>
      <c r="AK28" s="179">
        <v>18</v>
      </c>
      <c r="AL28" s="179">
        <v>15</v>
      </c>
      <c r="AM28" s="179">
        <f t="shared" si="0"/>
        <v>296</v>
      </c>
      <c r="AN28" s="178"/>
      <c r="AO28" s="178"/>
      <c r="AP28" s="179" t="s">
        <v>65</v>
      </c>
      <c r="AQ28" s="179">
        <f>VLOOKUP($AP$23,$AD$23:$AM$36,6,FALSE)</f>
        <v>80</v>
      </c>
      <c r="AR28" s="178"/>
      <c r="AS28" s="178"/>
      <c r="AT28" s="180"/>
      <c r="AU28" s="180"/>
      <c r="AV28" s="180"/>
      <c r="AW28" s="180"/>
      <c r="AX28" s="181"/>
      <c r="AY28" s="62"/>
      <c r="AZ28" s="29"/>
    </row>
    <row r="29" spans="1:66" s="41" customFormat="1">
      <c r="A29" s="163"/>
      <c r="B29" s="60"/>
      <c r="C29" s="224">
        <v>3</v>
      </c>
      <c r="D29" s="211"/>
      <c r="E29" s="206" t="s">
        <v>10</v>
      </c>
      <c r="F29" s="207"/>
      <c r="G29" s="207"/>
      <c r="H29" s="208"/>
      <c r="I29" s="219">
        <f>VLOOKUP($I$5,'Back Data'!A23:M35,4,0)</f>
        <v>95</v>
      </c>
      <c r="J29" s="210"/>
      <c r="K29" s="210"/>
      <c r="L29" s="211"/>
      <c r="M29" s="209">
        <v>100</v>
      </c>
      <c r="N29" s="210"/>
      <c r="O29" s="210"/>
      <c r="P29" s="211"/>
      <c r="Q29" s="209" t="str">
        <f t="shared" si="1"/>
        <v>A+</v>
      </c>
      <c r="R29" s="210"/>
      <c r="S29" s="210"/>
      <c r="T29" s="211"/>
      <c r="U29" s="97"/>
      <c r="V29" s="197" t="str">
        <f>IF(AND(I29&lt;=35),"Bad",IF(AND(I29&gt;=35,I29&lt;=45),"Poor",IF(AND(I29&gt;=45,I29&lt;=65),"Ok",IF(AND(I29&gt;=65,I29&lt;=75),"Good",IF(I29&gt;=75,"Excellent",)))))</f>
        <v>Excellent</v>
      </c>
      <c r="W29" s="198"/>
      <c r="X29" s="199"/>
      <c r="Y29" s="143"/>
      <c r="Z29" s="100"/>
      <c r="AA29" s="184"/>
      <c r="AB29" s="185"/>
      <c r="AC29" s="178"/>
      <c r="AD29" s="178">
        <v>6</v>
      </c>
      <c r="AE29" s="179" t="s">
        <v>53</v>
      </c>
      <c r="AF29" s="179">
        <v>59</v>
      </c>
      <c r="AG29" s="179">
        <v>63</v>
      </c>
      <c r="AH29" s="179">
        <v>62</v>
      </c>
      <c r="AI29" s="179">
        <v>45</v>
      </c>
      <c r="AJ29" s="179">
        <v>60</v>
      </c>
      <c r="AK29" s="179">
        <v>23</v>
      </c>
      <c r="AL29" s="179">
        <v>27</v>
      </c>
      <c r="AM29" s="179">
        <f t="shared" si="0"/>
        <v>339</v>
      </c>
      <c r="AN29" s="178"/>
      <c r="AO29" s="178"/>
      <c r="AP29" s="179" t="s">
        <v>36</v>
      </c>
      <c r="AQ29" s="179">
        <f>VLOOKUP($AP$23,$AD$23:$AM$36,7,FALSE)</f>
        <v>86</v>
      </c>
      <c r="AR29" s="178"/>
      <c r="AS29" s="178"/>
      <c r="AT29" s="180"/>
      <c r="AU29" s="180"/>
      <c r="AV29" s="180"/>
      <c r="AW29" s="180"/>
      <c r="AX29" s="181"/>
      <c r="AY29" s="62"/>
      <c r="AZ29" s="29"/>
    </row>
    <row r="30" spans="1:66" s="41" customFormat="1" ht="6" customHeight="1">
      <c r="A30" s="163"/>
      <c r="B30" s="60"/>
      <c r="C30" s="140"/>
      <c r="D30" s="104"/>
      <c r="E30" s="206"/>
      <c r="F30" s="207"/>
      <c r="G30" s="207"/>
      <c r="H30" s="208"/>
      <c r="I30" s="45"/>
      <c r="J30" s="104"/>
      <c r="K30" s="104"/>
      <c r="L30" s="106"/>
      <c r="M30" s="109"/>
      <c r="N30" s="104"/>
      <c r="O30" s="104"/>
      <c r="P30" s="106"/>
      <c r="Q30" s="109"/>
      <c r="R30" s="45"/>
      <c r="S30" s="45"/>
      <c r="T30" s="113"/>
      <c r="U30" s="97"/>
      <c r="V30" s="159"/>
      <c r="W30" s="44"/>
      <c r="X30" s="44"/>
      <c r="Y30" s="141"/>
      <c r="Z30" s="89"/>
      <c r="AA30" s="182"/>
      <c r="AB30" s="183"/>
      <c r="AC30" s="178"/>
      <c r="AD30" s="178">
        <v>7</v>
      </c>
      <c r="AE30" s="179" t="s">
        <v>45</v>
      </c>
      <c r="AF30" s="179">
        <v>45</v>
      </c>
      <c r="AG30" s="179">
        <v>60</v>
      </c>
      <c r="AH30" s="179">
        <v>55</v>
      </c>
      <c r="AI30" s="179">
        <v>49</v>
      </c>
      <c r="AJ30" s="179">
        <v>48</v>
      </c>
      <c r="AK30" s="179">
        <v>38</v>
      </c>
      <c r="AL30" s="179">
        <v>29</v>
      </c>
      <c r="AM30" s="179">
        <f t="shared" si="0"/>
        <v>324</v>
      </c>
      <c r="AN30" s="178"/>
      <c r="AO30" s="178"/>
      <c r="AP30" s="179" t="s">
        <v>37</v>
      </c>
      <c r="AQ30" s="179">
        <f>VLOOKUP($AP$23,$AD$23:$AM$36,8,FALSE)</f>
        <v>45</v>
      </c>
      <c r="AR30" s="178"/>
      <c r="AS30" s="178"/>
      <c r="AT30" s="180"/>
      <c r="AU30" s="180"/>
      <c r="AV30" s="180"/>
      <c r="AW30" s="180"/>
      <c r="AX30" s="181"/>
      <c r="AY30" s="62"/>
      <c r="AZ30" s="29"/>
    </row>
    <row r="31" spans="1:66" s="41" customFormat="1">
      <c r="A31" s="163"/>
      <c r="B31" s="60"/>
      <c r="C31" s="224">
        <v>4</v>
      </c>
      <c r="D31" s="211"/>
      <c r="E31" s="206" t="s">
        <v>35</v>
      </c>
      <c r="F31" s="207"/>
      <c r="G31" s="207"/>
      <c r="H31" s="208"/>
      <c r="I31" s="219">
        <f>VLOOKUP($I$5,'Back Data'!A23:M35,5,0)</f>
        <v>80</v>
      </c>
      <c r="J31" s="210"/>
      <c r="K31" s="210"/>
      <c r="L31" s="211"/>
      <c r="M31" s="209">
        <v>100</v>
      </c>
      <c r="N31" s="210"/>
      <c r="O31" s="210"/>
      <c r="P31" s="211"/>
      <c r="Q31" s="209" t="str">
        <f t="shared" si="1"/>
        <v>A+</v>
      </c>
      <c r="R31" s="210"/>
      <c r="S31" s="210"/>
      <c r="T31" s="211"/>
      <c r="U31" s="97"/>
      <c r="V31" s="197" t="str">
        <f>IF(AND(I31&lt;=35),"Bad",IF(AND(I31&gt;=35,I31&lt;=45),"Poor",IF(AND(I31&gt;=45,I31&lt;=65),"Ok",IF(AND(I31&gt;=65,I31&lt;=75),"Good",IF(I31&gt;=75,"Excellent",)))))</f>
        <v>Excellent</v>
      </c>
      <c r="W31" s="198"/>
      <c r="X31" s="199"/>
      <c r="Y31" s="143"/>
      <c r="Z31" s="100"/>
      <c r="AA31" s="184"/>
      <c r="AB31" s="185"/>
      <c r="AC31" s="178"/>
      <c r="AD31" s="178">
        <v>2</v>
      </c>
      <c r="AE31" s="179" t="s">
        <v>70</v>
      </c>
      <c r="AF31" s="179">
        <v>60</v>
      </c>
      <c r="AG31" s="179">
        <v>65</v>
      </c>
      <c r="AH31" s="179">
        <v>69</v>
      </c>
      <c r="AI31" s="179">
        <v>78</v>
      </c>
      <c r="AJ31" s="179">
        <v>89</v>
      </c>
      <c r="AK31" s="179">
        <v>46</v>
      </c>
      <c r="AL31" s="179">
        <v>45</v>
      </c>
      <c r="AM31" s="179">
        <f t="shared" si="0"/>
        <v>452</v>
      </c>
      <c r="AN31" s="178"/>
      <c r="AO31" s="178"/>
      <c r="AP31" s="179" t="s">
        <v>39</v>
      </c>
      <c r="AQ31" s="179">
        <f>VLOOKUP($AP$23,$AD$23:$AM$36,9,FALSE)</f>
        <v>40</v>
      </c>
      <c r="AR31" s="178"/>
      <c r="AS31" s="178"/>
      <c r="AT31" s="180"/>
      <c r="AU31" s="180"/>
      <c r="AV31" s="180"/>
      <c r="AW31" s="180"/>
      <c r="AX31" s="181"/>
      <c r="AY31" s="62"/>
      <c r="AZ31" s="29"/>
    </row>
    <row r="32" spans="1:66" s="41" customFormat="1" ht="6" customHeight="1">
      <c r="A32" s="163"/>
      <c r="B32" s="60"/>
      <c r="C32" s="140"/>
      <c r="D32" s="104"/>
      <c r="E32" s="206"/>
      <c r="F32" s="207"/>
      <c r="G32" s="207"/>
      <c r="H32" s="208"/>
      <c r="I32" s="45"/>
      <c r="J32" s="104"/>
      <c r="K32" s="104"/>
      <c r="L32" s="106"/>
      <c r="M32" s="109"/>
      <c r="N32" s="104"/>
      <c r="O32" s="104"/>
      <c r="P32" s="106"/>
      <c r="Q32" s="109"/>
      <c r="R32" s="45"/>
      <c r="S32" s="45"/>
      <c r="T32" s="113"/>
      <c r="U32" s="97"/>
      <c r="V32" s="159"/>
      <c r="W32" s="44"/>
      <c r="X32" s="44"/>
      <c r="Y32" s="141"/>
      <c r="Z32" s="89"/>
      <c r="AA32" s="182"/>
      <c r="AB32" s="183"/>
      <c r="AC32" s="178"/>
      <c r="AD32" s="178">
        <v>10</v>
      </c>
      <c r="AE32" s="179" t="s">
        <v>42</v>
      </c>
      <c r="AF32" s="179">
        <v>38</v>
      </c>
      <c r="AG32" s="179">
        <v>57</v>
      </c>
      <c r="AH32" s="179">
        <v>36</v>
      </c>
      <c r="AI32" s="179">
        <v>52</v>
      </c>
      <c r="AJ32" s="179">
        <v>39</v>
      </c>
      <c r="AK32" s="179">
        <v>15</v>
      </c>
      <c r="AL32" s="179">
        <v>18</v>
      </c>
      <c r="AM32" s="179">
        <f t="shared" si="0"/>
        <v>255</v>
      </c>
      <c r="AN32" s="178"/>
      <c r="AO32" s="178"/>
      <c r="AP32" s="179" t="s">
        <v>40</v>
      </c>
      <c r="AQ32" s="179">
        <f>VLOOKUP($AP$23,$AD$23:$AM$36,10,FALSE)</f>
        <v>481</v>
      </c>
      <c r="AR32" s="178"/>
      <c r="AS32" s="178"/>
      <c r="AT32" s="180"/>
      <c r="AU32" s="180"/>
      <c r="AV32" s="180"/>
      <c r="AW32" s="180"/>
      <c r="AX32" s="181"/>
      <c r="AY32" s="62"/>
      <c r="AZ32" s="29"/>
    </row>
    <row r="33" spans="1:73" s="41" customFormat="1">
      <c r="A33" s="163"/>
      <c r="B33" s="60"/>
      <c r="C33" s="224">
        <v>5</v>
      </c>
      <c r="D33" s="211"/>
      <c r="E33" s="206" t="s">
        <v>168</v>
      </c>
      <c r="F33" s="207"/>
      <c r="G33" s="207"/>
      <c r="H33" s="208"/>
      <c r="I33" s="219">
        <f>VLOOKUP($I$5,'Back Data'!A23:M35,6,0)</f>
        <v>86</v>
      </c>
      <c r="J33" s="210"/>
      <c r="K33" s="210"/>
      <c r="L33" s="211"/>
      <c r="M33" s="209">
        <v>100</v>
      </c>
      <c r="N33" s="210"/>
      <c r="O33" s="210"/>
      <c r="P33" s="211"/>
      <c r="Q33" s="209" t="str">
        <f t="shared" si="1"/>
        <v>A+</v>
      </c>
      <c r="R33" s="210"/>
      <c r="S33" s="210"/>
      <c r="T33" s="211"/>
      <c r="U33" s="97"/>
      <c r="V33" s="197" t="str">
        <f>IF(AND(I33&lt;=35),"Bad",IF(AND(I33&gt;=35,I33&lt;=45),"Poor",IF(AND(I33&gt;=45,I33&lt;=65),"Ok",IF(AND(I33&gt;=65,I33&lt;=75),"Good",IF(I33&gt;=75,"Excellent",)))))</f>
        <v>Excellent</v>
      </c>
      <c r="W33" s="198"/>
      <c r="X33" s="199"/>
      <c r="Y33" s="143"/>
      <c r="Z33" s="100"/>
      <c r="AA33" s="184"/>
      <c r="AB33" s="185"/>
      <c r="AC33" s="178"/>
      <c r="AD33" s="178">
        <v>9</v>
      </c>
      <c r="AE33" s="179" t="s">
        <v>47</v>
      </c>
      <c r="AF33" s="179">
        <v>45</v>
      </c>
      <c r="AG33" s="179">
        <v>60</v>
      </c>
      <c r="AH33" s="179">
        <v>35</v>
      </c>
      <c r="AI33" s="179">
        <v>38</v>
      </c>
      <c r="AJ33" s="179">
        <v>60</v>
      </c>
      <c r="AK33" s="179">
        <v>20</v>
      </c>
      <c r="AL33" s="179">
        <v>24</v>
      </c>
      <c r="AM33" s="179">
        <f t="shared" si="0"/>
        <v>282</v>
      </c>
      <c r="AN33" s="178"/>
      <c r="AO33" s="178"/>
      <c r="AP33" s="178"/>
      <c r="AQ33" s="178"/>
      <c r="AR33" s="178"/>
      <c r="AS33" s="178"/>
      <c r="AT33" s="180"/>
      <c r="AU33" s="180"/>
      <c r="AV33" s="180"/>
      <c r="AW33" s="180"/>
      <c r="AX33" s="181"/>
      <c r="AY33" s="62"/>
      <c r="AZ33" s="29"/>
    </row>
    <row r="34" spans="1:73" s="41" customFormat="1" ht="6" customHeight="1">
      <c r="A34" s="163"/>
      <c r="B34" s="60"/>
      <c r="C34" s="140"/>
      <c r="D34" s="104"/>
      <c r="E34" s="206"/>
      <c r="F34" s="207"/>
      <c r="G34" s="207"/>
      <c r="H34" s="208"/>
      <c r="I34" s="45"/>
      <c r="J34" s="104"/>
      <c r="K34" s="104"/>
      <c r="L34" s="106"/>
      <c r="M34" s="109"/>
      <c r="N34" s="104"/>
      <c r="O34" s="104"/>
      <c r="P34" s="106"/>
      <c r="Q34" s="109"/>
      <c r="R34" s="45"/>
      <c r="S34" s="45"/>
      <c r="T34" s="113"/>
      <c r="U34" s="97"/>
      <c r="V34" s="159"/>
      <c r="W34" s="44"/>
      <c r="X34" s="44"/>
      <c r="Y34" s="141"/>
      <c r="Z34" s="89"/>
      <c r="AA34" s="182"/>
      <c r="AB34" s="183"/>
      <c r="AC34" s="178"/>
      <c r="AD34" s="178">
        <v>11</v>
      </c>
      <c r="AE34" s="179" t="s">
        <v>46</v>
      </c>
      <c r="AF34" s="179">
        <v>35</v>
      </c>
      <c r="AG34" s="179">
        <v>38</v>
      </c>
      <c r="AH34" s="179">
        <v>24</v>
      </c>
      <c r="AI34" s="179">
        <v>39</v>
      </c>
      <c r="AJ34" s="179">
        <v>36</v>
      </c>
      <c r="AK34" s="179">
        <v>12</v>
      </c>
      <c r="AL34" s="179">
        <v>16</v>
      </c>
      <c r="AM34" s="179">
        <f t="shared" si="0"/>
        <v>200</v>
      </c>
      <c r="AN34" s="178"/>
      <c r="AO34" s="178"/>
      <c r="AP34" s="178"/>
      <c r="AQ34" s="178"/>
      <c r="AR34" s="178"/>
      <c r="AS34" s="178"/>
      <c r="AT34" s="180"/>
      <c r="AU34" s="180"/>
      <c r="AV34" s="180"/>
      <c r="AW34" s="180"/>
      <c r="AX34" s="181"/>
      <c r="AY34" s="62"/>
      <c r="AZ34" s="29"/>
    </row>
    <row r="35" spans="1:73" s="41" customFormat="1">
      <c r="A35" s="163"/>
      <c r="B35" s="60"/>
      <c r="C35" s="224">
        <v>6</v>
      </c>
      <c r="D35" s="211"/>
      <c r="E35" s="206" t="s">
        <v>37</v>
      </c>
      <c r="F35" s="207"/>
      <c r="G35" s="207"/>
      <c r="H35" s="208"/>
      <c r="I35" s="219">
        <f>VLOOKUP($I$5,'Back Data'!A23:M35,7,0)</f>
        <v>45</v>
      </c>
      <c r="J35" s="210"/>
      <c r="K35" s="210"/>
      <c r="L35" s="211"/>
      <c r="M35" s="209">
        <v>50</v>
      </c>
      <c r="N35" s="210"/>
      <c r="O35" s="210"/>
      <c r="P35" s="211"/>
      <c r="Q35" s="209" t="str">
        <f>IF(AND(I35&lt;=17),"C",IF(AND(I35&gt;=17,I35&lt;=22),"B",IF(AND(I35&gt;=22,I35&lt;=30),"B+",IF(AND(I35&gt;=30,I35&lt;=40),"A",IF(I35&gt;=40,"A+",)))))</f>
        <v>A+</v>
      </c>
      <c r="R35" s="210"/>
      <c r="S35" s="210"/>
      <c r="T35" s="211"/>
      <c r="U35" s="97"/>
      <c r="V35" s="197" t="str">
        <f>IF(AND(I35&lt;=17),"Bad",IF(AND(I35&gt;=17,I35&lt;=22),"Poor",IF(AND(I35&gt;=22,I35&lt;=30),"Ok",IF(AND(I35&gt;=30,I35&lt;=40),"Good",IF(I35&gt;=40,"Excellent",)))))</f>
        <v>Excellent</v>
      </c>
      <c r="W35" s="198"/>
      <c r="X35" s="199"/>
      <c r="Y35" s="143"/>
      <c r="Z35" s="100"/>
      <c r="AA35" s="184"/>
      <c r="AB35" s="185"/>
      <c r="AC35" s="178"/>
      <c r="AD35" s="178">
        <v>5</v>
      </c>
      <c r="AE35" s="179" t="s">
        <v>72</v>
      </c>
      <c r="AF35" s="179">
        <v>75</v>
      </c>
      <c r="AG35" s="179">
        <v>65</v>
      </c>
      <c r="AH35" s="179">
        <v>49</v>
      </c>
      <c r="AI35" s="179">
        <v>95</v>
      </c>
      <c r="AJ35" s="179">
        <v>46</v>
      </c>
      <c r="AK35" s="179">
        <v>25</v>
      </c>
      <c r="AL35" s="179">
        <v>15</v>
      </c>
      <c r="AM35" s="179">
        <f t="shared" si="0"/>
        <v>370</v>
      </c>
      <c r="AN35" s="178"/>
      <c r="AO35" s="178"/>
      <c r="AP35" s="178"/>
      <c r="AQ35" s="178"/>
      <c r="AR35" s="178"/>
      <c r="AS35" s="178"/>
      <c r="AT35" s="180"/>
      <c r="AU35" s="180"/>
      <c r="AV35" s="180"/>
      <c r="AW35" s="180"/>
      <c r="AX35" s="181"/>
      <c r="AY35" s="62"/>
      <c r="AZ35" s="29"/>
    </row>
    <row r="36" spans="1:73" s="41" customFormat="1" ht="6" customHeight="1">
      <c r="A36" s="163"/>
      <c r="B36" s="60"/>
      <c r="C36" s="140"/>
      <c r="D36" s="104"/>
      <c r="E36" s="206"/>
      <c r="F36" s="207"/>
      <c r="G36" s="207"/>
      <c r="H36" s="208"/>
      <c r="I36" s="45"/>
      <c r="J36" s="104"/>
      <c r="K36" s="104"/>
      <c r="L36" s="106"/>
      <c r="M36" s="109"/>
      <c r="N36" s="104"/>
      <c r="O36" s="104"/>
      <c r="P36" s="106"/>
      <c r="Q36" s="109"/>
      <c r="R36" s="45"/>
      <c r="S36" s="45"/>
      <c r="T36" s="113"/>
      <c r="U36" s="97"/>
      <c r="V36" s="159"/>
      <c r="W36" s="44"/>
      <c r="X36" s="44"/>
      <c r="Y36" s="143"/>
      <c r="Z36" s="100"/>
      <c r="AA36" s="184"/>
      <c r="AB36" s="185"/>
      <c r="AC36" s="178"/>
      <c r="AD36" s="178">
        <v>4</v>
      </c>
      <c r="AE36" s="179" t="s">
        <v>44</v>
      </c>
      <c r="AF36" s="179">
        <v>68</v>
      </c>
      <c r="AG36" s="179">
        <v>60</v>
      </c>
      <c r="AH36" s="179">
        <v>69</v>
      </c>
      <c r="AI36" s="179">
        <v>60</v>
      </c>
      <c r="AJ36" s="179">
        <v>65</v>
      </c>
      <c r="AK36" s="179">
        <v>21</v>
      </c>
      <c r="AL36" s="179">
        <v>30</v>
      </c>
      <c r="AM36" s="179">
        <f t="shared" si="0"/>
        <v>373</v>
      </c>
      <c r="AN36" s="178"/>
      <c r="AO36" s="178"/>
      <c r="AP36" s="178"/>
      <c r="AQ36" s="178"/>
      <c r="AR36" s="178"/>
      <c r="AS36" s="178"/>
      <c r="AT36" s="180"/>
      <c r="AU36" s="180"/>
      <c r="AV36" s="180"/>
      <c r="AW36" s="180"/>
      <c r="AX36" s="181"/>
      <c r="AY36" s="62"/>
      <c r="AZ36" s="29"/>
    </row>
    <row r="37" spans="1:73" s="41" customFormat="1">
      <c r="A37" s="163"/>
      <c r="B37" s="60"/>
      <c r="C37" s="224">
        <v>7</v>
      </c>
      <c r="D37" s="211"/>
      <c r="E37" s="206" t="s">
        <v>39</v>
      </c>
      <c r="F37" s="207"/>
      <c r="G37" s="207"/>
      <c r="H37" s="208"/>
      <c r="I37" s="219">
        <f>VLOOKUP($I$5,'Back Data'!A23:M35,8,0)</f>
        <v>40</v>
      </c>
      <c r="J37" s="210"/>
      <c r="K37" s="210"/>
      <c r="L37" s="211"/>
      <c r="M37" s="209">
        <v>50</v>
      </c>
      <c r="N37" s="210"/>
      <c r="O37" s="210"/>
      <c r="P37" s="211"/>
      <c r="Q37" s="209" t="str">
        <f>IF(AND(I37&lt;=17),"C",IF(AND(I37&gt;=17,I37&lt;=22),"B",IF(AND(I37&gt;=22,I37&lt;=30),"B+",IF(AND(I37&gt;=30,I37&lt;=40),"A",IF(I37&gt;=40,"A+",)))))</f>
        <v>A</v>
      </c>
      <c r="R37" s="210"/>
      <c r="S37" s="210"/>
      <c r="T37" s="211"/>
      <c r="U37" s="97"/>
      <c r="V37" s="197" t="str">
        <f>IF(AND(I37&lt;=17),"Bad",IF(AND(I37&gt;=17,I37&lt;=22),"Poor",IF(AND(I37&gt;=22,I37&lt;=30),"Ok",IF(AND(I37&gt;=30,I37&lt;=40),"Good",IF(I37&gt;=40,"Excellent",)))))</f>
        <v>Good</v>
      </c>
      <c r="W37" s="198"/>
      <c r="X37" s="199"/>
      <c r="Y37" s="142"/>
      <c r="Z37" s="88"/>
      <c r="AA37" s="186"/>
      <c r="AB37" s="187"/>
      <c r="AC37" s="188"/>
      <c r="AD37" s="178"/>
      <c r="AE37" s="178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80"/>
      <c r="AU37" s="180"/>
      <c r="AV37" s="180"/>
      <c r="AW37" s="180"/>
      <c r="AX37" s="181"/>
      <c r="AY37" s="62"/>
      <c r="AZ37" s="29"/>
    </row>
    <row r="38" spans="1:73" s="41" customFormat="1" ht="5.0999999999999996" customHeight="1">
      <c r="A38" s="163"/>
      <c r="B38" s="60"/>
      <c r="C38" s="144"/>
      <c r="D38" s="105"/>
      <c r="E38" s="98"/>
      <c r="F38" s="105"/>
      <c r="G38" s="105"/>
      <c r="H38" s="115"/>
      <c r="I38" s="116"/>
      <c r="J38" s="105"/>
      <c r="K38" s="105"/>
      <c r="L38" s="115"/>
      <c r="M38" s="114"/>
      <c r="N38" s="105"/>
      <c r="O38" s="105"/>
      <c r="P38" s="115"/>
      <c r="Q38" s="114"/>
      <c r="R38" s="116"/>
      <c r="S38" s="116"/>
      <c r="T38" s="117"/>
      <c r="U38" s="97"/>
      <c r="V38" s="43"/>
      <c r="W38" s="103"/>
      <c r="X38" s="103"/>
      <c r="Y38" s="141"/>
      <c r="Z38" s="89"/>
      <c r="AA38" s="182"/>
      <c r="AB38" s="183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0"/>
      <c r="AN38" s="180"/>
      <c r="AO38" s="180"/>
      <c r="AP38" s="180"/>
      <c r="AQ38" s="180"/>
      <c r="AR38" s="180"/>
      <c r="AS38" s="180"/>
      <c r="AT38" s="180"/>
      <c r="AU38" s="180"/>
      <c r="AV38" s="180"/>
      <c r="AW38" s="180"/>
      <c r="AX38" s="181"/>
      <c r="AY38" s="62"/>
      <c r="AZ38" s="29"/>
    </row>
    <row r="39" spans="1:73" s="41" customFormat="1" ht="15.75" thickBot="1">
      <c r="A39" s="163"/>
      <c r="B39" s="60"/>
      <c r="C39" s="225"/>
      <c r="D39" s="226"/>
      <c r="E39" s="227" t="s">
        <v>40</v>
      </c>
      <c r="F39" s="228"/>
      <c r="G39" s="228"/>
      <c r="H39" s="228"/>
      <c r="I39" s="227">
        <f>SUM(I25:L37)</f>
        <v>481</v>
      </c>
      <c r="J39" s="228"/>
      <c r="K39" s="228"/>
      <c r="L39" s="226"/>
      <c r="M39" s="227">
        <f>SUM(M25:P37)</f>
        <v>600</v>
      </c>
      <c r="N39" s="228"/>
      <c r="O39" s="228"/>
      <c r="P39" s="226"/>
      <c r="Q39" s="227"/>
      <c r="R39" s="231"/>
      <c r="S39" s="231"/>
      <c r="T39" s="232"/>
      <c r="U39" s="145"/>
      <c r="V39" s="146"/>
      <c r="W39" s="147"/>
      <c r="X39" s="148"/>
      <c r="Y39" s="149"/>
      <c r="Z39" s="108"/>
      <c r="AA39" s="189"/>
      <c r="AB39" s="190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2"/>
      <c r="AY39" s="62"/>
      <c r="AZ39" s="29"/>
    </row>
    <row r="40" spans="1:73" s="41" customFormat="1" ht="9.9499999999999993" customHeight="1" thickTop="1">
      <c r="A40" s="163"/>
      <c r="B40" s="60"/>
      <c r="C40" s="87"/>
      <c r="D40" s="88"/>
      <c r="E40" s="87"/>
      <c r="F40" s="89"/>
      <c r="G40" s="89"/>
      <c r="H40" s="89"/>
      <c r="I40" s="89"/>
      <c r="J40" s="89"/>
      <c r="K40" s="87"/>
      <c r="L40" s="88"/>
      <c r="M40" s="88"/>
      <c r="N40" s="88"/>
      <c r="O40" s="87"/>
      <c r="P40" s="88"/>
      <c r="Q40" s="88"/>
      <c r="R40" s="88"/>
      <c r="S40" s="87"/>
      <c r="T40" s="87"/>
      <c r="U40" s="87"/>
      <c r="V40" s="87"/>
      <c r="W40" s="89"/>
      <c r="X40" s="81"/>
      <c r="Y40" s="81"/>
      <c r="Z40" s="81"/>
      <c r="AA40" s="81"/>
      <c r="AB40" s="8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2"/>
      <c r="AZ40" s="29"/>
    </row>
    <row r="41" spans="1:73" s="41" customFormat="1" ht="9.9499999999999993" customHeight="1">
      <c r="A41" s="163"/>
      <c r="B41" s="75"/>
      <c r="C41" s="212"/>
      <c r="D41" s="213"/>
      <c r="E41" s="90" t="s">
        <v>19</v>
      </c>
      <c r="F41" s="90"/>
      <c r="G41" s="214"/>
      <c r="H41" s="215"/>
      <c r="I41" s="78" t="s">
        <v>18</v>
      </c>
      <c r="J41" s="78"/>
      <c r="K41" s="214"/>
      <c r="L41" s="215"/>
      <c r="M41" s="78" t="s">
        <v>17</v>
      </c>
      <c r="N41" s="78"/>
      <c r="O41" s="214"/>
      <c r="P41" s="216"/>
      <c r="Q41" s="215"/>
      <c r="R41" s="78" t="s">
        <v>16</v>
      </c>
      <c r="S41" s="90"/>
      <c r="T41" s="90"/>
      <c r="U41" s="90"/>
      <c r="V41" s="217"/>
      <c r="W41" s="218"/>
      <c r="X41" s="78" t="s">
        <v>15</v>
      </c>
      <c r="Y41" s="78"/>
      <c r="Z41" s="90"/>
      <c r="AA41" s="78"/>
      <c r="AB41" s="78" t="s">
        <v>167</v>
      </c>
      <c r="AC41" s="78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1"/>
      <c r="AT41" s="91"/>
      <c r="AU41" s="78"/>
      <c r="AV41" s="78"/>
      <c r="AW41" s="90"/>
      <c r="AX41" s="90"/>
      <c r="AY41" s="92"/>
      <c r="AZ41" s="29"/>
    </row>
    <row r="42" spans="1:73" s="42" customFormat="1" ht="5.0999999999999996" customHeight="1" thickBot="1">
      <c r="A42" s="9"/>
      <c r="B42" s="76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93"/>
      <c r="AZ42" s="9"/>
    </row>
    <row r="43" spans="1:73" s="52" customFormat="1" ht="14.1" customHeight="1">
      <c r="A43" s="50"/>
      <c r="B43" s="50" t="s">
        <v>97</v>
      </c>
      <c r="C43" s="50"/>
      <c r="D43" s="50"/>
      <c r="E43" s="50"/>
      <c r="F43" s="50"/>
      <c r="G43" s="50"/>
      <c r="H43" s="51"/>
      <c r="I43" s="196" t="s">
        <v>177</v>
      </c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50"/>
      <c r="X43" s="50"/>
      <c r="Y43" s="50"/>
      <c r="Z43" s="50"/>
      <c r="AA43" s="243" t="s">
        <v>98</v>
      </c>
      <c r="AB43" s="243"/>
      <c r="AC43" s="243"/>
      <c r="AD43" s="243"/>
      <c r="AE43" s="243"/>
      <c r="AF43" s="243"/>
      <c r="AG43" s="243"/>
      <c r="AH43" s="243"/>
      <c r="AI43" s="243"/>
      <c r="AJ43" s="243"/>
      <c r="AK43" s="243"/>
      <c r="AL43" s="243"/>
      <c r="AM43" s="243"/>
      <c r="AN43" s="243"/>
      <c r="AO43" s="243"/>
      <c r="AP43" s="243"/>
      <c r="AQ43" s="243"/>
      <c r="AR43" s="243"/>
      <c r="AS43" s="243"/>
      <c r="AT43" s="243"/>
      <c r="AU43" s="243"/>
      <c r="AV43" s="243"/>
      <c r="AW43" s="243"/>
      <c r="AX43" s="243"/>
      <c r="AY43" s="243"/>
      <c r="AZ43" s="50"/>
    </row>
    <row r="44" spans="1:73" hidden="1"/>
    <row r="45" spans="1:73" hidden="1"/>
    <row r="46" spans="1:73" hidden="1"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</row>
    <row r="47" spans="1:73" hidden="1">
      <c r="BO47" s="41"/>
      <c r="BP47" s="41"/>
      <c r="BQ47" s="41"/>
    </row>
    <row r="48" spans="1:73" hidden="1">
      <c r="BO48" s="41"/>
      <c r="BP48" s="41"/>
      <c r="BQ48" s="41"/>
    </row>
    <row r="49" spans="67:69" hidden="1">
      <c r="BO49" s="41"/>
      <c r="BP49" s="41"/>
      <c r="BQ49" s="41"/>
    </row>
    <row r="50" spans="67:69" hidden="1">
      <c r="BO50" s="41"/>
      <c r="BP50" s="41"/>
      <c r="BQ50" s="41"/>
    </row>
    <row r="51" spans="67:69" hidden="1">
      <c r="BO51" s="41"/>
    </row>
    <row r="52" spans="67:69" hidden="1">
      <c r="BO52" s="41"/>
    </row>
    <row r="53" spans="67:69" hidden="1">
      <c r="BO53" s="41"/>
    </row>
    <row r="54" spans="67:69" hidden="1">
      <c r="BO54" s="41"/>
    </row>
    <row r="55" spans="67:69" hidden="1">
      <c r="BO55" s="41"/>
    </row>
    <row r="56" spans="67:69" hidden="1">
      <c r="BO56" s="41"/>
    </row>
    <row r="57" spans="67:69" hidden="1">
      <c r="BO57" s="41"/>
    </row>
    <row r="58" spans="67:69" hidden="1">
      <c r="BO58" s="41"/>
    </row>
    <row r="59" spans="67:69" hidden="1">
      <c r="BO59" s="41"/>
    </row>
    <row r="60" spans="67:69" hidden="1">
      <c r="BO60" s="41"/>
    </row>
  </sheetData>
  <sheetProtection password="FBD9" sheet="1" objects="1" scenarios="1" selectLockedCells="1"/>
  <mergeCells count="105">
    <mergeCell ref="G10:J10"/>
    <mergeCell ref="V9:Y9"/>
    <mergeCell ref="L9:O9"/>
    <mergeCell ref="L10:O10"/>
    <mergeCell ref="AB19:AI20"/>
    <mergeCell ref="AB17:AI18"/>
    <mergeCell ref="B1:T1"/>
    <mergeCell ref="AS1:AY1"/>
    <mergeCell ref="C3:AX3"/>
    <mergeCell ref="AK7:AX7"/>
    <mergeCell ref="AV5:AX5"/>
    <mergeCell ref="AJ5:AU5"/>
    <mergeCell ref="S13:X13"/>
    <mergeCell ref="G13:I13"/>
    <mergeCell ref="C7:Z7"/>
    <mergeCell ref="AB7:AI15"/>
    <mergeCell ref="I5:N5"/>
    <mergeCell ref="O5:Y5"/>
    <mergeCell ref="AA43:AY43"/>
    <mergeCell ref="AV9:AW9"/>
    <mergeCell ref="AQ15:AW15"/>
    <mergeCell ref="AO17:AQ17"/>
    <mergeCell ref="AU17:AW17"/>
    <mergeCell ref="AU19:AW19"/>
    <mergeCell ref="AO19:AQ19"/>
    <mergeCell ref="AT11:AW11"/>
    <mergeCell ref="AR11:AS11"/>
    <mergeCell ref="AS14:AW14"/>
    <mergeCell ref="AS13:AV13"/>
    <mergeCell ref="AP11:AQ11"/>
    <mergeCell ref="AO9:AP9"/>
    <mergeCell ref="Q23:T23"/>
    <mergeCell ref="Q35:T35"/>
    <mergeCell ref="Q39:T39"/>
    <mergeCell ref="J15:M15"/>
    <mergeCell ref="V15:Y15"/>
    <mergeCell ref="O17:Y17"/>
    <mergeCell ref="H17:K17"/>
    <mergeCell ref="G9:J9"/>
    <mergeCell ref="T11:W11"/>
    <mergeCell ref="M39:P39"/>
    <mergeCell ref="I23:L23"/>
    <mergeCell ref="I25:L25"/>
    <mergeCell ref="I27:L27"/>
    <mergeCell ref="Q25:T25"/>
    <mergeCell ref="Q27:T27"/>
    <mergeCell ref="Q29:T29"/>
    <mergeCell ref="Q31:T31"/>
    <mergeCell ref="Q33:T33"/>
    <mergeCell ref="I11:L11"/>
    <mergeCell ref="I12:L12"/>
    <mergeCell ref="M31:P31"/>
    <mergeCell ref="M33:P33"/>
    <mergeCell ref="M35:P35"/>
    <mergeCell ref="G19:Y19"/>
    <mergeCell ref="C39:D39"/>
    <mergeCell ref="E39:H39"/>
    <mergeCell ref="C29:D29"/>
    <mergeCell ref="C31:D31"/>
    <mergeCell ref="C37:D37"/>
    <mergeCell ref="I37:L37"/>
    <mergeCell ref="E29:H29"/>
    <mergeCell ref="I33:L33"/>
    <mergeCell ref="I35:L35"/>
    <mergeCell ref="I39:L39"/>
    <mergeCell ref="E30:H30"/>
    <mergeCell ref="E31:H31"/>
    <mergeCell ref="E32:H32"/>
    <mergeCell ref="E33:H33"/>
    <mergeCell ref="C33:D33"/>
    <mergeCell ref="C35:D35"/>
    <mergeCell ref="I29:L29"/>
    <mergeCell ref="M23:P23"/>
    <mergeCell ref="M25:P25"/>
    <mergeCell ref="M27:P27"/>
    <mergeCell ref="M29:P29"/>
    <mergeCell ref="E23:H23"/>
    <mergeCell ref="C23:D23"/>
    <mergeCell ref="C25:D25"/>
    <mergeCell ref="C27:D27"/>
    <mergeCell ref="E28:H28"/>
    <mergeCell ref="I43:V43"/>
    <mergeCell ref="V25:X25"/>
    <mergeCell ref="C22:Y22"/>
    <mergeCell ref="U23:Y23"/>
    <mergeCell ref="E36:H36"/>
    <mergeCell ref="E37:H37"/>
    <mergeCell ref="V29:X29"/>
    <mergeCell ref="V27:X27"/>
    <mergeCell ref="V37:X37"/>
    <mergeCell ref="V35:X35"/>
    <mergeCell ref="V33:X33"/>
    <mergeCell ref="V31:X31"/>
    <mergeCell ref="E34:H34"/>
    <mergeCell ref="E35:H35"/>
    <mergeCell ref="E25:H25"/>
    <mergeCell ref="E27:H27"/>
    <mergeCell ref="M37:P37"/>
    <mergeCell ref="Q37:T37"/>
    <mergeCell ref="C41:D41"/>
    <mergeCell ref="G41:H41"/>
    <mergeCell ref="K41:L41"/>
    <mergeCell ref="O41:Q41"/>
    <mergeCell ref="V41:W41"/>
    <mergeCell ref="I31:L31"/>
  </mergeCells>
  <conditionalFormatting sqref="AO17:AQ17">
    <cfRule type="expression" dxfId="41" priority="43">
      <formula>SEARCH("Fail",$AO$17)&gt;0</formula>
    </cfRule>
    <cfRule type="expression" dxfId="40" priority="44">
      <formula>SEARCH("Pass",$AO$17)&gt;0</formula>
    </cfRule>
  </conditionalFormatting>
  <conditionalFormatting sqref="C41:D41">
    <cfRule type="expression" dxfId="39" priority="36">
      <formula>SEARCH("Bad",$E$41)&gt;0</formula>
    </cfRule>
  </conditionalFormatting>
  <conditionalFormatting sqref="G41:H41">
    <cfRule type="expression" dxfId="38" priority="35">
      <formula>SEARCH("poor",$I$41)&gt;0</formula>
    </cfRule>
  </conditionalFormatting>
  <conditionalFormatting sqref="K41:L41">
    <cfRule type="expression" dxfId="37" priority="25">
      <formula>SEARCH("Ok",$M$41)&gt;0</formula>
    </cfRule>
  </conditionalFormatting>
  <conditionalFormatting sqref="V41:W41">
    <cfRule type="expression" dxfId="36" priority="16">
      <formula>SEARCH("excellent",$X$41)&gt;0</formula>
    </cfRule>
  </conditionalFormatting>
  <conditionalFormatting sqref="O41:Q41">
    <cfRule type="expression" dxfId="35" priority="13">
      <formula>SEARCH("Good",$R$41)&gt;0</formula>
    </cfRule>
  </conditionalFormatting>
  <conditionalFormatting sqref="V35">
    <cfRule type="expression" dxfId="34" priority="14">
      <formula>SEARCH("Ok",$V$35)&gt;0</formula>
    </cfRule>
    <cfRule type="expression" dxfId="33" priority="27">
      <formula>SEARCH("Poor",$V$35)&gt;0</formula>
    </cfRule>
    <cfRule type="expression" dxfId="32" priority="39">
      <formula>SEARCH("Bad",$V$35)&gt;0</formula>
    </cfRule>
  </conditionalFormatting>
  <conditionalFormatting sqref="V25">
    <cfRule type="expression" dxfId="31" priority="9">
      <formula>SEARCH("Good",$V$25)&gt;0</formula>
    </cfRule>
    <cfRule type="expression" dxfId="30" priority="15">
      <formula>SEARCH("Excellent",$V$25)&gt;0</formula>
    </cfRule>
    <cfRule type="expression" dxfId="29" priority="24">
      <formula>SEARCH("Ok",$V$25)&gt;0</formula>
    </cfRule>
    <cfRule type="expression" dxfId="28" priority="34">
      <formula>SEARCH("Bad",$V$25)&gt;0</formula>
    </cfRule>
    <cfRule type="expression" dxfId="27" priority="42">
      <formula>SEARCH("Poor",$V$25)&gt;0</formula>
    </cfRule>
  </conditionalFormatting>
  <conditionalFormatting sqref="V27">
    <cfRule type="expression" dxfId="26" priority="10">
      <formula>SEARCH("Good",$V$27)&gt;0</formula>
    </cfRule>
    <cfRule type="expression" dxfId="25" priority="23">
      <formula>SEARCH("Ok",$V$27)&gt;0</formula>
    </cfRule>
    <cfRule type="expression" dxfId="24" priority="32">
      <formula>SEARCH("Poor",$V$27)&gt;0</formula>
    </cfRule>
  </conditionalFormatting>
  <conditionalFormatting sqref="V29">
    <cfRule type="expression" dxfId="23" priority="12">
      <formula>SEARCH("Good",$V$29)&gt;0</formula>
    </cfRule>
    <cfRule type="expression" dxfId="22" priority="18">
      <formula>SEARCH("Excellent",$V$29)&gt;0</formula>
    </cfRule>
    <cfRule type="expression" dxfId="21" priority="22">
      <formula>SEARCH("Ok",$V$29)&gt;0</formula>
    </cfRule>
    <cfRule type="expression" dxfId="20" priority="30">
      <formula>SEARCH("Poor",$V$29)&gt;0</formula>
    </cfRule>
    <cfRule type="expression" dxfId="19" priority="31">
      <formula>SEARCH("Bad",$V$29)&gt;0</formula>
    </cfRule>
  </conditionalFormatting>
  <conditionalFormatting sqref="V31">
    <cfRule type="expression" dxfId="18" priority="21">
      <formula>SEARCH("Ok",$V$31)&gt;0</formula>
    </cfRule>
    <cfRule type="expression" dxfId="17" priority="29">
      <formula>SEARCH("Poor",$V$31)&gt;0</formula>
    </cfRule>
    <cfRule type="expression" dxfId="16" priority="37">
      <formula>"search(""bad"",$W$27)&gt;"</formula>
    </cfRule>
    <cfRule type="expression" dxfId="15" priority="41">
      <formula>SEARCH("Excellent",$V$31)&gt;0</formula>
    </cfRule>
  </conditionalFormatting>
  <conditionalFormatting sqref="V33">
    <cfRule type="expression" dxfId="14" priority="8">
      <formula>SEARCH("Good",$V$33)&gt;0</formula>
    </cfRule>
    <cfRule type="expression" dxfId="13" priority="17">
      <formula>SEARCH("Excellent",$V$33)&gt;0</formula>
    </cfRule>
    <cfRule type="expression" dxfId="12" priority="20">
      <formula>SEARCH("Ok",$V$33)&gt;0</formula>
    </cfRule>
    <cfRule type="expression" dxfId="11" priority="28">
      <formula>SEARCH("Poor",$V$33)</formula>
    </cfRule>
    <cfRule type="expression" dxfId="10" priority="38">
      <formula>SEARCH("Bad",$V$33)&gt;0</formula>
    </cfRule>
  </conditionalFormatting>
  <conditionalFormatting sqref="V37">
    <cfRule type="expression" dxfId="9" priority="19">
      <formula>SEARCH("Ok",$V$37)&gt;0</formula>
    </cfRule>
    <cfRule type="expression" dxfId="8" priority="26">
      <formula>SEARCH("Poor",$V$37)</formula>
    </cfRule>
    <cfRule type="expression" dxfId="7" priority="40">
      <formula>SEARCH("Bad",$V$37)&gt;0</formula>
    </cfRule>
  </conditionalFormatting>
  <conditionalFormatting sqref="V35">
    <cfRule type="expression" dxfId="6" priority="6">
      <formula>SEARCH("Excellent",$V$35)&gt;0</formula>
    </cfRule>
    <cfRule type="expression" dxfId="5" priority="7">
      <formula>SEARCH("good",$V$35)&gt;0</formula>
    </cfRule>
  </conditionalFormatting>
  <conditionalFormatting sqref="V37">
    <cfRule type="expression" dxfId="4" priority="5">
      <formula>SEARCH("Excellent",$V$37)&gt;0</formula>
    </cfRule>
  </conditionalFormatting>
  <conditionalFormatting sqref="V37:X37">
    <cfRule type="expression" dxfId="3" priority="4">
      <formula>SEARCH("Good",$V$37)&gt;0</formula>
    </cfRule>
  </conditionalFormatting>
  <conditionalFormatting sqref="V27:X27">
    <cfRule type="expression" dxfId="2" priority="2">
      <formula>SEARCH("Excellent",$V$27)&gt;0</formula>
    </cfRule>
    <cfRule type="expression" dxfId="1" priority="3">
      <formula>SEARCH("Bad",$V$27)&gt;0</formula>
    </cfRule>
  </conditionalFormatting>
  <conditionalFormatting sqref="V31:X31">
    <cfRule type="expression" dxfId="0" priority="1">
      <formula>SEARCH("Good",$V$31)&gt;0</formula>
    </cfRule>
  </conditionalFormatting>
  <dataValidations count="1">
    <dataValidation type="list" allowBlank="1" showInputMessage="1" showErrorMessage="1" sqref="I5">
      <formula1>'Back Data'!A5:A15</formula1>
    </dataValidation>
  </dataValidations>
  <pageMargins left="0.7" right="0.7" top="0.75" bottom="0.75" header="0.3" footer="0.3"/>
  <pageSetup paperSize="9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Y37"/>
  <sheetViews>
    <sheetView topLeftCell="A3" workbookViewId="0">
      <selection activeCell="A18" sqref="A18"/>
    </sheetView>
  </sheetViews>
  <sheetFormatPr defaultRowHeight="15"/>
  <cols>
    <col min="1" max="1" width="15.42578125" bestFit="1" customWidth="1"/>
    <col min="5" max="5" width="10.7109375" bestFit="1" customWidth="1"/>
    <col min="6" max="6" width="15.140625" bestFit="1" customWidth="1"/>
    <col min="12" max="12" width="12.5703125" bestFit="1" customWidth="1"/>
    <col min="14" max="14" width="10.7109375" bestFit="1" customWidth="1"/>
    <col min="15" max="15" width="10.5703125" bestFit="1" customWidth="1"/>
    <col min="18" max="18" width="10.5703125" bestFit="1" customWidth="1"/>
    <col min="19" max="19" width="9.7109375" bestFit="1" customWidth="1"/>
    <col min="20" max="20" width="11" customWidth="1"/>
    <col min="21" max="21" width="49.42578125" bestFit="1" customWidth="1"/>
    <col min="22" max="22" width="24.28515625" bestFit="1" customWidth="1"/>
  </cols>
  <sheetData>
    <row r="1" spans="1:25">
      <c r="A1" s="303" t="s">
        <v>41</v>
      </c>
      <c r="B1" s="307" t="s">
        <v>24</v>
      </c>
      <c r="C1" s="308"/>
      <c r="D1" s="308"/>
      <c r="E1" s="308"/>
      <c r="F1" s="308"/>
      <c r="G1" s="308"/>
      <c r="H1" s="308"/>
      <c r="I1" s="308"/>
      <c r="J1" s="309"/>
      <c r="K1" s="310" t="s">
        <v>56</v>
      </c>
      <c r="L1" s="310"/>
      <c r="M1" s="310"/>
      <c r="N1" s="310"/>
      <c r="O1" s="310"/>
      <c r="P1" s="310"/>
      <c r="Q1" s="310"/>
      <c r="R1" s="310"/>
      <c r="S1" s="301" t="s">
        <v>23</v>
      </c>
      <c r="T1" s="302"/>
      <c r="U1" s="302"/>
      <c r="V1" s="302"/>
      <c r="W1" s="19"/>
      <c r="X1" s="19"/>
      <c r="Y1" s="19"/>
    </row>
    <row r="2" spans="1:25" s="18" customFormat="1">
      <c r="A2" s="303"/>
      <c r="B2" s="22" t="s">
        <v>1</v>
      </c>
      <c r="C2" s="22" t="s">
        <v>5</v>
      </c>
      <c r="D2" s="22" t="s">
        <v>2</v>
      </c>
      <c r="E2" s="22" t="s">
        <v>54</v>
      </c>
      <c r="F2" s="22" t="s">
        <v>21</v>
      </c>
      <c r="G2" s="22" t="s">
        <v>12</v>
      </c>
      <c r="H2" s="22" t="s">
        <v>33</v>
      </c>
      <c r="I2" s="22" t="s">
        <v>13</v>
      </c>
      <c r="J2" s="22" t="s">
        <v>14</v>
      </c>
      <c r="K2" s="22" t="s">
        <v>57</v>
      </c>
      <c r="L2" s="22" t="s">
        <v>58</v>
      </c>
      <c r="M2" s="22" t="s">
        <v>27</v>
      </c>
      <c r="N2" s="22" t="s">
        <v>59</v>
      </c>
      <c r="O2" s="22" t="s">
        <v>4</v>
      </c>
      <c r="P2" s="23" t="s">
        <v>103</v>
      </c>
      <c r="Q2" s="22" t="s">
        <v>60</v>
      </c>
      <c r="R2" s="22" t="s">
        <v>61</v>
      </c>
      <c r="S2" s="22" t="s">
        <v>62</v>
      </c>
      <c r="T2" s="22" t="s">
        <v>63</v>
      </c>
      <c r="U2" s="22" t="s">
        <v>64</v>
      </c>
      <c r="V2" s="22" t="s">
        <v>3</v>
      </c>
      <c r="W2" s="22"/>
      <c r="X2" s="22"/>
      <c r="Y2" s="22"/>
    </row>
    <row r="3" spans="1:25" s="18" customFormat="1">
      <c r="A3" s="24">
        <v>1</v>
      </c>
      <c r="B3" s="25">
        <v>2</v>
      </c>
      <c r="C3" s="24">
        <v>3</v>
      </c>
      <c r="D3" s="24">
        <v>4</v>
      </c>
      <c r="E3" s="24">
        <v>5</v>
      </c>
      <c r="F3" s="24">
        <v>6</v>
      </c>
      <c r="G3" s="24">
        <v>7</v>
      </c>
      <c r="H3" s="24">
        <v>8</v>
      </c>
      <c r="I3" s="24">
        <v>9</v>
      </c>
      <c r="J3" s="24">
        <v>10</v>
      </c>
      <c r="K3" s="24">
        <v>11</v>
      </c>
      <c r="L3" s="24">
        <v>12</v>
      </c>
      <c r="M3" s="24">
        <v>13</v>
      </c>
      <c r="N3" s="24">
        <v>14</v>
      </c>
      <c r="O3" s="24">
        <v>15</v>
      </c>
      <c r="P3" s="24">
        <v>16</v>
      </c>
      <c r="Q3" s="24">
        <v>17</v>
      </c>
      <c r="R3" s="24">
        <v>18</v>
      </c>
      <c r="S3" s="24">
        <v>19</v>
      </c>
      <c r="T3" s="24">
        <v>20</v>
      </c>
      <c r="U3" s="24">
        <v>21</v>
      </c>
      <c r="V3" s="24">
        <v>22</v>
      </c>
      <c r="W3" s="24"/>
      <c r="X3" s="24"/>
      <c r="Y3" s="24"/>
    </row>
    <row r="4" spans="1:25">
      <c r="A4" s="28" t="s">
        <v>99</v>
      </c>
      <c r="B4" s="25" t="s">
        <v>69</v>
      </c>
      <c r="C4" s="24" t="s">
        <v>69</v>
      </c>
      <c r="D4" s="24" t="s">
        <v>69</v>
      </c>
      <c r="E4" s="24" t="s">
        <v>69</v>
      </c>
      <c r="F4" s="24" t="s">
        <v>69</v>
      </c>
      <c r="G4" s="24" t="s">
        <v>69</v>
      </c>
      <c r="H4" s="24" t="s">
        <v>69</v>
      </c>
      <c r="I4" s="24" t="s">
        <v>69</v>
      </c>
      <c r="J4" s="24" t="s">
        <v>69</v>
      </c>
      <c r="K4" s="24" t="s">
        <v>69</v>
      </c>
      <c r="L4" s="24" t="s">
        <v>69</v>
      </c>
      <c r="M4" s="24" t="s">
        <v>69</v>
      </c>
      <c r="N4" s="24" t="s">
        <v>69</v>
      </c>
      <c r="O4" s="24" t="s">
        <v>69</v>
      </c>
      <c r="P4" s="24" t="s">
        <v>69</v>
      </c>
      <c r="Q4" s="24" t="s">
        <v>69</v>
      </c>
      <c r="R4" s="24" t="s">
        <v>69</v>
      </c>
      <c r="S4" s="24" t="s">
        <v>69</v>
      </c>
      <c r="T4" s="24" t="s">
        <v>69</v>
      </c>
      <c r="U4" s="24" t="s">
        <v>69</v>
      </c>
      <c r="V4" s="24" t="s">
        <v>69</v>
      </c>
      <c r="W4" s="24" t="s">
        <v>69</v>
      </c>
      <c r="X4" s="24" t="s">
        <v>69</v>
      </c>
      <c r="Y4" s="24" t="s">
        <v>69</v>
      </c>
    </row>
    <row r="5" spans="1:25" s="18" customFormat="1">
      <c r="A5" s="20" t="s">
        <v>48</v>
      </c>
      <c r="B5" s="20" t="s">
        <v>49</v>
      </c>
      <c r="C5" s="20">
        <v>26</v>
      </c>
      <c r="D5" s="20" t="s">
        <v>50</v>
      </c>
      <c r="E5" s="21">
        <v>41840</v>
      </c>
      <c r="F5" s="20" t="s">
        <v>55</v>
      </c>
      <c r="G5" s="20" t="str">
        <f t="shared" ref="G5:G15" si="0">IF(A5=A25,L25)</f>
        <v>Pass</v>
      </c>
      <c r="H5" s="26">
        <f>IF(A5=A25,J25)</f>
        <v>0.80166666666666664</v>
      </c>
      <c r="I5" s="20">
        <f>RANK(H5,$H$5:$H$15)</f>
        <v>1</v>
      </c>
      <c r="J5" s="20" t="str">
        <f>IF(AND(H5&lt;=35%),"C",IF(AND(H5&gt;=35%,H5&lt;=45%),"B",IF(AND(H5&gt;=45%,H5&lt;=65%),"B+",IF(AND(H5&gt;=65%,H5&lt;=75%),"A",IF(H5&gt;=75%,"A+",)))))</f>
        <v>A+</v>
      </c>
      <c r="K5" s="20" t="s">
        <v>83</v>
      </c>
      <c r="L5" s="20" t="s">
        <v>84</v>
      </c>
      <c r="M5" s="20" t="s">
        <v>85</v>
      </c>
      <c r="N5" s="21">
        <v>23815</v>
      </c>
      <c r="O5" s="20" t="s">
        <v>101</v>
      </c>
      <c r="P5" s="20" t="s">
        <v>105</v>
      </c>
      <c r="Q5" s="20" t="s">
        <v>89</v>
      </c>
      <c r="R5" s="20" t="s">
        <v>92</v>
      </c>
      <c r="S5" s="20" t="s">
        <v>128</v>
      </c>
      <c r="T5" s="20">
        <v>4436251643</v>
      </c>
      <c r="U5" s="20" t="s">
        <v>149</v>
      </c>
      <c r="V5" s="20" t="s">
        <v>139</v>
      </c>
      <c r="W5" s="20"/>
      <c r="X5" s="20"/>
      <c r="Y5" s="20"/>
    </row>
    <row r="6" spans="1:25">
      <c r="A6" s="20" t="s">
        <v>43</v>
      </c>
      <c r="B6" s="20" t="s">
        <v>49</v>
      </c>
      <c r="C6" s="20">
        <v>29</v>
      </c>
      <c r="D6" s="20" t="s">
        <v>51</v>
      </c>
      <c r="E6" s="21">
        <v>42934</v>
      </c>
      <c r="F6" s="20" t="s">
        <v>165</v>
      </c>
      <c r="G6" s="20" t="str">
        <f t="shared" si="0"/>
        <v>Pass</v>
      </c>
      <c r="H6" s="26">
        <f t="shared" ref="H6:H15" si="1">IF(A6=A26,J26)</f>
        <v>0.71499999999999997</v>
      </c>
      <c r="I6" s="20">
        <f t="shared" ref="I6:I15" si="2">RANK(H6,$H$5:$H$15)</f>
        <v>3</v>
      </c>
      <c r="J6" s="20" t="str">
        <f t="shared" ref="J6:J15" si="3">IF(AND(H6&lt;=35%),"C",IF(AND(H6&gt;=35%,H6&lt;=45%),"B",IF(AND(H6&gt;=45%,H6&lt;=65%),"B+",IF(AND(H6&gt;=65%,H6&lt;=75%),"A",IF(H6&gt;=75%,"A+",)))))</f>
        <v>A</v>
      </c>
      <c r="K6" s="20" t="s">
        <v>110</v>
      </c>
      <c r="L6" s="20" t="s">
        <v>111</v>
      </c>
      <c r="M6" s="20" t="s">
        <v>112</v>
      </c>
      <c r="N6" s="21">
        <v>26969</v>
      </c>
      <c r="O6" s="20" t="s">
        <v>102</v>
      </c>
      <c r="P6" s="20" t="s">
        <v>104</v>
      </c>
      <c r="Q6" s="20" t="s">
        <v>91</v>
      </c>
      <c r="R6" s="20" t="s">
        <v>93</v>
      </c>
      <c r="S6" s="20" t="s">
        <v>131</v>
      </c>
      <c r="T6" s="20">
        <v>2236594812</v>
      </c>
      <c r="U6" s="20" t="s">
        <v>150</v>
      </c>
      <c r="V6" s="20" t="s">
        <v>146</v>
      </c>
      <c r="W6" s="20"/>
      <c r="X6" s="20"/>
      <c r="Y6" s="20"/>
    </row>
    <row r="7" spans="1:25">
      <c r="A7" s="20" t="s">
        <v>71</v>
      </c>
      <c r="B7" s="20" t="s">
        <v>49</v>
      </c>
      <c r="C7" s="20">
        <v>26</v>
      </c>
      <c r="D7" s="20" t="s">
        <v>73</v>
      </c>
      <c r="E7" s="21">
        <v>42934</v>
      </c>
      <c r="F7" s="20" t="s">
        <v>74</v>
      </c>
      <c r="G7" s="20" t="str">
        <f t="shared" si="0"/>
        <v>Pass</v>
      </c>
      <c r="H7" s="26">
        <f t="shared" si="1"/>
        <v>0.49333333333333335</v>
      </c>
      <c r="I7" s="20">
        <f t="shared" si="2"/>
        <v>8</v>
      </c>
      <c r="J7" s="20" t="str">
        <f t="shared" si="3"/>
        <v>B+</v>
      </c>
      <c r="K7" s="20" t="s">
        <v>124</v>
      </c>
      <c r="L7" s="20" t="s">
        <v>122</v>
      </c>
      <c r="M7" s="20" t="s">
        <v>123</v>
      </c>
      <c r="N7" s="21">
        <v>29774</v>
      </c>
      <c r="O7" s="20" t="s">
        <v>101</v>
      </c>
      <c r="P7" s="20" t="s">
        <v>104</v>
      </c>
      <c r="Q7" s="20" t="s">
        <v>89</v>
      </c>
      <c r="R7" s="20" t="s">
        <v>92</v>
      </c>
      <c r="S7" s="20" t="s">
        <v>134</v>
      </c>
      <c r="T7" s="20">
        <v>4456239745</v>
      </c>
      <c r="U7" s="20" t="s">
        <v>160</v>
      </c>
      <c r="V7" s="20" t="s">
        <v>142</v>
      </c>
      <c r="W7" s="20"/>
      <c r="X7" s="20"/>
      <c r="Y7" s="20"/>
    </row>
    <row r="8" spans="1:25">
      <c r="A8" s="20" t="s">
        <v>53</v>
      </c>
      <c r="B8" s="20" t="s">
        <v>49</v>
      </c>
      <c r="C8" s="20">
        <v>40</v>
      </c>
      <c r="D8" s="20" t="s">
        <v>52</v>
      </c>
      <c r="E8" s="21">
        <v>41840</v>
      </c>
      <c r="F8" s="20" t="s">
        <v>80</v>
      </c>
      <c r="G8" s="20" t="str">
        <f t="shared" si="0"/>
        <v>Pass</v>
      </c>
      <c r="H8" s="26">
        <f t="shared" si="1"/>
        <v>0.56499999999999995</v>
      </c>
      <c r="I8" s="20">
        <f t="shared" si="2"/>
        <v>6</v>
      </c>
      <c r="J8" s="20" t="str">
        <f t="shared" si="3"/>
        <v>B+</v>
      </c>
      <c r="K8" s="20" t="s">
        <v>115</v>
      </c>
      <c r="L8" s="20" t="s">
        <v>116</v>
      </c>
      <c r="M8" s="20" t="s">
        <v>117</v>
      </c>
      <c r="N8" s="21">
        <v>24607</v>
      </c>
      <c r="O8" s="20" t="s">
        <v>102</v>
      </c>
      <c r="P8" s="20" t="s">
        <v>104</v>
      </c>
      <c r="Q8" s="20" t="s">
        <v>91</v>
      </c>
      <c r="R8" s="20" t="s">
        <v>93</v>
      </c>
      <c r="S8" s="20" t="s">
        <v>137</v>
      </c>
      <c r="T8" s="20">
        <v>2236598748</v>
      </c>
      <c r="U8" s="20" t="s">
        <v>151</v>
      </c>
      <c r="V8" s="20" t="s">
        <v>141</v>
      </c>
      <c r="W8" s="20"/>
      <c r="X8" s="20"/>
      <c r="Y8" s="20"/>
    </row>
    <row r="9" spans="1:25">
      <c r="A9" s="20" t="s">
        <v>45</v>
      </c>
      <c r="B9" s="20" t="s">
        <v>49</v>
      </c>
      <c r="C9" s="20">
        <v>35</v>
      </c>
      <c r="D9" s="20" t="s">
        <v>51</v>
      </c>
      <c r="E9" s="21">
        <v>41839</v>
      </c>
      <c r="F9" s="20" t="s">
        <v>165</v>
      </c>
      <c r="G9" s="20" t="str">
        <f t="shared" si="0"/>
        <v>Pass</v>
      </c>
      <c r="H9" s="26">
        <f t="shared" si="1"/>
        <v>0.54</v>
      </c>
      <c r="I9" s="20">
        <f t="shared" si="2"/>
        <v>7</v>
      </c>
      <c r="J9" s="20" t="str">
        <f t="shared" si="3"/>
        <v>B+</v>
      </c>
      <c r="K9" s="20" t="s">
        <v>96</v>
      </c>
      <c r="L9" s="20" t="s">
        <v>95</v>
      </c>
      <c r="M9" s="20" t="s">
        <v>113</v>
      </c>
      <c r="N9" s="21">
        <v>30150</v>
      </c>
      <c r="O9" s="20" t="s">
        <v>102</v>
      </c>
      <c r="P9" s="20" t="s">
        <v>104</v>
      </c>
      <c r="Q9" s="20" t="s">
        <v>94</v>
      </c>
      <c r="R9" s="20" t="s">
        <v>92</v>
      </c>
      <c r="S9" s="20" t="s">
        <v>136</v>
      </c>
      <c r="T9" s="20">
        <v>6623654356</v>
      </c>
      <c r="U9" s="20" t="s">
        <v>156</v>
      </c>
      <c r="V9" s="20" t="s">
        <v>148</v>
      </c>
      <c r="W9" s="20"/>
      <c r="X9" s="20"/>
      <c r="Y9" s="20"/>
    </row>
    <row r="10" spans="1:25">
      <c r="A10" s="20" t="s">
        <v>70</v>
      </c>
      <c r="B10" s="20" t="s">
        <v>49</v>
      </c>
      <c r="C10" s="20">
        <v>25</v>
      </c>
      <c r="D10" s="20" t="s">
        <v>73</v>
      </c>
      <c r="E10" s="21">
        <v>41836</v>
      </c>
      <c r="F10" s="20" t="s">
        <v>74</v>
      </c>
      <c r="G10" s="20" t="str">
        <f t="shared" si="0"/>
        <v>Pass</v>
      </c>
      <c r="H10" s="26">
        <f t="shared" si="1"/>
        <v>0.7533333333333333</v>
      </c>
      <c r="I10" s="20">
        <f t="shared" si="2"/>
        <v>2</v>
      </c>
      <c r="J10" s="20" t="str">
        <f t="shared" si="3"/>
        <v>A+</v>
      </c>
      <c r="K10" s="20" t="s">
        <v>119</v>
      </c>
      <c r="L10" s="20" t="s">
        <v>120</v>
      </c>
      <c r="M10" s="20" t="s">
        <v>121</v>
      </c>
      <c r="N10" s="21">
        <v>26778</v>
      </c>
      <c r="O10" s="20" t="s">
        <v>101</v>
      </c>
      <c r="P10" s="20" t="s">
        <v>104</v>
      </c>
      <c r="Q10" s="20" t="s">
        <v>91</v>
      </c>
      <c r="R10" s="20" t="s">
        <v>92</v>
      </c>
      <c r="S10" s="20" t="s">
        <v>133</v>
      </c>
      <c r="T10" s="20">
        <v>3346547952</v>
      </c>
      <c r="U10" s="20" t="s">
        <v>157</v>
      </c>
      <c r="V10" s="20" t="s">
        <v>140</v>
      </c>
      <c r="W10" s="20"/>
      <c r="X10" s="20"/>
      <c r="Y10" s="20"/>
    </row>
    <row r="11" spans="1:25">
      <c r="A11" s="20" t="s">
        <v>42</v>
      </c>
      <c r="B11" s="20" t="s">
        <v>49</v>
      </c>
      <c r="C11" s="20">
        <v>17</v>
      </c>
      <c r="D11" s="20" t="s">
        <v>50</v>
      </c>
      <c r="E11" s="21">
        <v>41836</v>
      </c>
      <c r="F11" s="20" t="s">
        <v>55</v>
      </c>
      <c r="G11" s="20" t="str">
        <f t="shared" si="0"/>
        <v>Pass</v>
      </c>
      <c r="H11" s="26">
        <f t="shared" si="1"/>
        <v>0.42499999999999999</v>
      </c>
      <c r="I11" s="20">
        <f t="shared" si="2"/>
        <v>10</v>
      </c>
      <c r="J11" s="20" t="str">
        <f t="shared" si="3"/>
        <v>B</v>
      </c>
      <c r="K11" s="20" t="s">
        <v>86</v>
      </c>
      <c r="L11" s="20" t="s">
        <v>87</v>
      </c>
      <c r="M11" s="20" t="s">
        <v>88</v>
      </c>
      <c r="N11" s="21">
        <v>24103</v>
      </c>
      <c r="O11" s="20" t="s">
        <v>101</v>
      </c>
      <c r="P11" s="20" t="s">
        <v>105</v>
      </c>
      <c r="Q11" s="20" t="s">
        <v>93</v>
      </c>
      <c r="R11" s="20" t="s">
        <v>93</v>
      </c>
      <c r="S11" s="20" t="s">
        <v>130</v>
      </c>
      <c r="T11" s="20">
        <v>3362562514</v>
      </c>
      <c r="U11" s="20" t="s">
        <v>155</v>
      </c>
      <c r="V11" s="20" t="s">
        <v>145</v>
      </c>
      <c r="W11" s="20"/>
      <c r="X11" s="20"/>
      <c r="Y11" s="20"/>
    </row>
    <row r="12" spans="1:25">
      <c r="A12" s="20" t="s">
        <v>47</v>
      </c>
      <c r="B12" s="20" t="s">
        <v>49</v>
      </c>
      <c r="C12" s="20">
        <v>11</v>
      </c>
      <c r="D12" s="20" t="s">
        <v>50</v>
      </c>
      <c r="E12" s="21">
        <v>41835</v>
      </c>
      <c r="F12" s="20" t="s">
        <v>55</v>
      </c>
      <c r="G12" s="20" t="str">
        <f t="shared" si="0"/>
        <v>Pass</v>
      </c>
      <c r="H12" s="26">
        <f t="shared" si="1"/>
        <v>0.47</v>
      </c>
      <c r="I12" s="20">
        <f t="shared" si="2"/>
        <v>9</v>
      </c>
      <c r="J12" s="20" t="str">
        <f t="shared" si="3"/>
        <v>B+</v>
      </c>
      <c r="K12" s="20" t="s">
        <v>81</v>
      </c>
      <c r="L12" s="20" t="s">
        <v>166</v>
      </c>
      <c r="M12" s="20" t="s">
        <v>82</v>
      </c>
      <c r="N12" s="21">
        <v>20299</v>
      </c>
      <c r="O12" s="20" t="s">
        <v>101</v>
      </c>
      <c r="P12" s="20" t="s">
        <v>104</v>
      </c>
      <c r="Q12" s="20" t="s">
        <v>90</v>
      </c>
      <c r="R12" s="20" t="s">
        <v>106</v>
      </c>
      <c r="S12" s="20" t="s">
        <v>129</v>
      </c>
      <c r="T12" s="20">
        <v>5536252361</v>
      </c>
      <c r="U12" s="20" t="s">
        <v>154</v>
      </c>
      <c r="V12" s="20" t="s">
        <v>144</v>
      </c>
      <c r="W12" s="20"/>
      <c r="X12" s="20"/>
      <c r="Y12" s="20"/>
    </row>
    <row r="13" spans="1:25">
      <c r="A13" s="20" t="s">
        <v>46</v>
      </c>
      <c r="B13" s="20" t="s">
        <v>49</v>
      </c>
      <c r="C13" s="20">
        <v>39</v>
      </c>
      <c r="D13" s="20" t="s">
        <v>52</v>
      </c>
      <c r="E13" s="21">
        <v>41835</v>
      </c>
      <c r="F13" s="20" t="s">
        <v>80</v>
      </c>
      <c r="G13" s="20" t="str">
        <f t="shared" si="0"/>
        <v>Fail</v>
      </c>
      <c r="H13" s="26">
        <f t="shared" si="1"/>
        <v>0.33333333333333331</v>
      </c>
      <c r="I13" s="20">
        <f t="shared" si="2"/>
        <v>11</v>
      </c>
      <c r="J13" s="20" t="str">
        <f t="shared" si="3"/>
        <v>C</v>
      </c>
      <c r="K13" s="20" t="s">
        <v>118</v>
      </c>
      <c r="L13" s="20" t="s">
        <v>87</v>
      </c>
      <c r="M13" s="20" t="s">
        <v>114</v>
      </c>
      <c r="N13" s="21">
        <v>24048</v>
      </c>
      <c r="O13" s="20" t="s">
        <v>101</v>
      </c>
      <c r="P13" s="20" t="s">
        <v>105</v>
      </c>
      <c r="Q13" s="20" t="s">
        <v>89</v>
      </c>
      <c r="R13" s="20" t="s">
        <v>91</v>
      </c>
      <c r="S13" s="20" t="s">
        <v>135</v>
      </c>
      <c r="T13" s="20">
        <v>1132652645</v>
      </c>
      <c r="U13" s="20" t="s">
        <v>152</v>
      </c>
      <c r="V13" s="20" t="s">
        <v>153</v>
      </c>
      <c r="W13" s="20"/>
      <c r="X13" s="20"/>
      <c r="Y13" s="20"/>
    </row>
    <row r="14" spans="1:25">
      <c r="A14" s="20" t="s">
        <v>72</v>
      </c>
      <c r="B14" s="20" t="s">
        <v>49</v>
      </c>
      <c r="C14" s="20">
        <v>37</v>
      </c>
      <c r="D14" s="20" t="s">
        <v>73</v>
      </c>
      <c r="E14" s="21">
        <v>41840</v>
      </c>
      <c r="F14" s="20" t="s">
        <v>74</v>
      </c>
      <c r="G14" s="20" t="str">
        <f t="shared" si="0"/>
        <v>Pass</v>
      </c>
      <c r="H14" s="26">
        <f t="shared" si="1"/>
        <v>0.6166666666666667</v>
      </c>
      <c r="I14" s="20">
        <f t="shared" si="2"/>
        <v>5</v>
      </c>
      <c r="J14" s="20" t="str">
        <f t="shared" si="3"/>
        <v>B+</v>
      </c>
      <c r="K14" s="20" t="s">
        <v>125</v>
      </c>
      <c r="L14" s="20" t="s">
        <v>126</v>
      </c>
      <c r="M14" s="20" t="s">
        <v>127</v>
      </c>
      <c r="N14" s="21">
        <v>32452</v>
      </c>
      <c r="O14" s="20" t="s">
        <v>101</v>
      </c>
      <c r="P14" s="20" t="s">
        <v>104</v>
      </c>
      <c r="Q14" s="20" t="s">
        <v>93</v>
      </c>
      <c r="R14" s="20" t="s">
        <v>93</v>
      </c>
      <c r="S14" s="20" t="s">
        <v>138</v>
      </c>
      <c r="T14" s="20">
        <v>5523659484</v>
      </c>
      <c r="U14" s="20" t="s">
        <v>159</v>
      </c>
      <c r="V14" s="20" t="s">
        <v>143</v>
      </c>
      <c r="W14" s="20"/>
      <c r="X14" s="20"/>
      <c r="Y14" s="20"/>
    </row>
    <row r="15" spans="1:25">
      <c r="A15" s="20" t="s">
        <v>44</v>
      </c>
      <c r="B15" s="20" t="s">
        <v>49</v>
      </c>
      <c r="C15" s="20">
        <v>30</v>
      </c>
      <c r="D15" s="20" t="s">
        <v>51</v>
      </c>
      <c r="E15" s="21">
        <v>41840</v>
      </c>
      <c r="F15" s="20" t="s">
        <v>165</v>
      </c>
      <c r="G15" s="20" t="str">
        <f t="shared" si="0"/>
        <v>Pass</v>
      </c>
      <c r="H15" s="26">
        <f t="shared" si="1"/>
        <v>0.6216666666666667</v>
      </c>
      <c r="I15" s="20">
        <f t="shared" si="2"/>
        <v>4</v>
      </c>
      <c r="J15" s="20" t="str">
        <f t="shared" si="3"/>
        <v>B+</v>
      </c>
      <c r="K15" s="20" t="s">
        <v>107</v>
      </c>
      <c r="L15" s="20" t="s">
        <v>108</v>
      </c>
      <c r="M15" s="20" t="s">
        <v>109</v>
      </c>
      <c r="N15" s="21">
        <v>28006</v>
      </c>
      <c r="O15" s="20" t="s">
        <v>101</v>
      </c>
      <c r="P15" s="20" t="s">
        <v>104</v>
      </c>
      <c r="Q15" s="20" t="s">
        <v>90</v>
      </c>
      <c r="R15" s="20" t="s">
        <v>92</v>
      </c>
      <c r="S15" s="20" t="s">
        <v>132</v>
      </c>
      <c r="T15" s="20">
        <v>1123659465</v>
      </c>
      <c r="U15" s="20" t="s">
        <v>158</v>
      </c>
      <c r="V15" s="20" t="s">
        <v>147</v>
      </c>
      <c r="W15" s="20"/>
      <c r="X15" s="20"/>
      <c r="Y15" s="20"/>
    </row>
    <row r="16" spans="1: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9" spans="1:16">
      <c r="H19" t="s">
        <v>19</v>
      </c>
      <c r="I19" t="s">
        <v>18</v>
      </c>
      <c r="J19" t="s">
        <v>17</v>
      </c>
      <c r="K19" t="s">
        <v>16</v>
      </c>
      <c r="L19" t="s">
        <v>15</v>
      </c>
    </row>
    <row r="20" spans="1:16">
      <c r="H20" t="s">
        <v>75</v>
      </c>
      <c r="I20" t="s">
        <v>76</v>
      </c>
      <c r="J20" t="s">
        <v>77</v>
      </c>
      <c r="K20" t="s">
        <v>78</v>
      </c>
      <c r="L20" t="s">
        <v>79</v>
      </c>
      <c r="O20" s="53"/>
      <c r="P20" s="53"/>
    </row>
    <row r="21" spans="1:16">
      <c r="A21" s="303" t="s">
        <v>41</v>
      </c>
      <c r="B21" s="304" t="s">
        <v>24</v>
      </c>
      <c r="C21" s="305"/>
      <c r="D21" s="305"/>
      <c r="E21" s="305"/>
      <c r="F21" s="305"/>
      <c r="G21" s="305"/>
      <c r="H21" s="305"/>
      <c r="I21" s="305"/>
      <c r="J21" s="305"/>
      <c r="K21" s="305"/>
      <c r="L21" s="305"/>
      <c r="M21" s="306"/>
      <c r="O21" s="53"/>
      <c r="P21" s="53"/>
    </row>
    <row r="22" spans="1:16">
      <c r="A22" s="303"/>
      <c r="B22" s="22" t="s">
        <v>9</v>
      </c>
      <c r="C22" s="22" t="s">
        <v>11</v>
      </c>
      <c r="D22" s="22" t="s">
        <v>10</v>
      </c>
      <c r="E22" s="22" t="s">
        <v>65</v>
      </c>
      <c r="F22" s="22" t="s">
        <v>66</v>
      </c>
      <c r="G22" s="22" t="s">
        <v>67</v>
      </c>
      <c r="H22" s="22" t="s">
        <v>68</v>
      </c>
      <c r="I22" s="22" t="s">
        <v>40</v>
      </c>
      <c r="J22" s="22" t="s">
        <v>33</v>
      </c>
      <c r="K22" s="22" t="s">
        <v>13</v>
      </c>
      <c r="L22" s="22" t="s">
        <v>12</v>
      </c>
      <c r="M22" s="23" t="s">
        <v>161</v>
      </c>
      <c r="O22" s="53"/>
      <c r="P22" s="53"/>
    </row>
    <row r="23" spans="1:16">
      <c r="A23" s="24">
        <v>1</v>
      </c>
      <c r="B23" s="25">
        <v>2</v>
      </c>
      <c r="C23" s="24">
        <v>3</v>
      </c>
      <c r="D23" s="24">
        <v>4</v>
      </c>
      <c r="E23" s="24">
        <v>5</v>
      </c>
      <c r="F23" s="24">
        <v>6</v>
      </c>
      <c r="G23" s="24">
        <v>7</v>
      </c>
      <c r="H23" s="24">
        <v>8</v>
      </c>
      <c r="I23" s="24">
        <v>9</v>
      </c>
      <c r="J23" s="24" t="s">
        <v>69</v>
      </c>
      <c r="K23" s="24"/>
      <c r="L23" s="24"/>
      <c r="M23" s="24">
        <v>10</v>
      </c>
      <c r="O23" s="53"/>
      <c r="P23" s="53"/>
    </row>
    <row r="24" spans="1:16">
      <c r="A24" s="24"/>
      <c r="B24" s="25">
        <v>100</v>
      </c>
      <c r="C24" s="24">
        <v>100</v>
      </c>
      <c r="D24" s="24">
        <v>100</v>
      </c>
      <c r="E24" s="24">
        <v>100</v>
      </c>
      <c r="F24" s="24">
        <v>100</v>
      </c>
      <c r="G24" s="24">
        <v>50</v>
      </c>
      <c r="H24" s="24">
        <v>50</v>
      </c>
      <c r="I24" s="20">
        <f t="shared" ref="I24:I35" si="4">SUM(B24:H24)</f>
        <v>600</v>
      </c>
      <c r="J24" s="24" t="s">
        <v>69</v>
      </c>
      <c r="K24" s="24"/>
      <c r="L24" s="24"/>
      <c r="M24" s="24"/>
      <c r="O24" s="53"/>
      <c r="P24" s="53"/>
    </row>
    <row r="25" spans="1:16">
      <c r="A25" s="20" t="s">
        <v>48</v>
      </c>
      <c r="B25" s="20">
        <v>65</v>
      </c>
      <c r="C25" s="20">
        <v>70</v>
      </c>
      <c r="D25" s="20">
        <v>95</v>
      </c>
      <c r="E25" s="20">
        <v>80</v>
      </c>
      <c r="F25" s="20">
        <v>86</v>
      </c>
      <c r="G25" s="20">
        <v>45</v>
      </c>
      <c r="H25" s="20">
        <v>40</v>
      </c>
      <c r="I25" s="20">
        <f t="shared" si="4"/>
        <v>481</v>
      </c>
      <c r="J25" s="26">
        <f>+I25/$I$24</f>
        <v>0.80166666666666664</v>
      </c>
      <c r="K25" s="20">
        <f>RANK(J25,$J$25:$J$35)</f>
        <v>1</v>
      </c>
      <c r="L25" s="20" t="str">
        <f>IF(J25&gt;=35%,"Pass","Fail")</f>
        <v>Pass</v>
      </c>
      <c r="M25" s="20" t="str">
        <f t="shared" ref="M25:M35" si="5">IF(AND(J25&lt;=35%),"Bad",IF(AND(J25&gt;=35%,J25&lt;=45%),"Poor",IF(AND(J25&gt;=45%,J25&lt;=65%),"Ok",IF(AND(J25&gt;=65%,J25&lt;=75%),"Good",IF(J25&gt;=75%,"Excellent",)))))</f>
        <v>Excellent</v>
      </c>
    </row>
    <row r="26" spans="1:16">
      <c r="A26" s="20" t="s">
        <v>43</v>
      </c>
      <c r="B26" s="20">
        <v>50</v>
      </c>
      <c r="C26" s="20">
        <f>AVERAGE(60)</f>
        <v>60</v>
      </c>
      <c r="D26" s="20">
        <v>63</v>
      </c>
      <c r="E26" s="20">
        <v>91</v>
      </c>
      <c r="F26" s="20">
        <v>78</v>
      </c>
      <c r="G26" s="20">
        <v>42</v>
      </c>
      <c r="H26" s="20">
        <v>45</v>
      </c>
      <c r="I26" s="20">
        <f t="shared" si="4"/>
        <v>429</v>
      </c>
      <c r="J26" s="26">
        <f t="shared" ref="J26:J35" si="6">+I26/$I$24</f>
        <v>0.71499999999999997</v>
      </c>
      <c r="K26" s="20">
        <f t="shared" ref="K26:K35" si="7">RANK(J26,$J$25:$J$35)</f>
        <v>3</v>
      </c>
      <c r="L26" s="20" t="str">
        <f t="shared" ref="L26:L35" si="8">IF(J26&gt;=35%,"Pass","Fail")</f>
        <v>Pass</v>
      </c>
      <c r="M26" s="20" t="str">
        <f t="shared" si="5"/>
        <v>Good</v>
      </c>
      <c r="O26" t="str">
        <f>SIM!I5</f>
        <v>Aamir Khan</v>
      </c>
    </row>
    <row r="27" spans="1:16">
      <c r="A27" s="20" t="s">
        <v>71</v>
      </c>
      <c r="B27" s="20">
        <v>36</v>
      </c>
      <c r="C27" s="20">
        <v>39</v>
      </c>
      <c r="D27" s="20">
        <v>60</v>
      </c>
      <c r="E27" s="20">
        <v>59</v>
      </c>
      <c r="F27" s="20">
        <v>69</v>
      </c>
      <c r="G27" s="20">
        <v>18</v>
      </c>
      <c r="H27" s="20">
        <v>15</v>
      </c>
      <c r="I27" s="20">
        <f t="shared" si="4"/>
        <v>296</v>
      </c>
      <c r="J27" s="26">
        <f t="shared" si="6"/>
        <v>0.49333333333333335</v>
      </c>
      <c r="K27" s="20">
        <f t="shared" si="7"/>
        <v>8</v>
      </c>
      <c r="L27" s="20" t="str">
        <f t="shared" si="8"/>
        <v>Pass</v>
      </c>
      <c r="M27" s="20" t="str">
        <f t="shared" si="5"/>
        <v>Ok</v>
      </c>
    </row>
    <row r="28" spans="1:16">
      <c r="A28" s="20" t="s">
        <v>53</v>
      </c>
      <c r="B28" s="20">
        <v>59</v>
      </c>
      <c r="C28" s="20">
        <v>63</v>
      </c>
      <c r="D28" s="20">
        <v>62</v>
      </c>
      <c r="E28" s="20">
        <v>45</v>
      </c>
      <c r="F28" s="20">
        <f>AVERAGE(60)</f>
        <v>60</v>
      </c>
      <c r="G28" s="20">
        <v>23</v>
      </c>
      <c r="H28" s="20">
        <v>27</v>
      </c>
      <c r="I28" s="20">
        <f t="shared" si="4"/>
        <v>339</v>
      </c>
      <c r="J28" s="26">
        <f t="shared" si="6"/>
        <v>0.56499999999999995</v>
      </c>
      <c r="K28" s="20">
        <f t="shared" si="7"/>
        <v>6</v>
      </c>
      <c r="L28" s="20" t="str">
        <f t="shared" si="8"/>
        <v>Pass</v>
      </c>
      <c r="M28" s="20" t="str">
        <f t="shared" si="5"/>
        <v>Ok</v>
      </c>
      <c r="O28" t="s">
        <v>9</v>
      </c>
      <c r="P28">
        <f>VLOOKUP($O$26,$A$21:$M$35,2,0)</f>
        <v>65</v>
      </c>
    </row>
    <row r="29" spans="1:16">
      <c r="A29" s="20" t="s">
        <v>45</v>
      </c>
      <c r="B29" s="20">
        <v>45</v>
      </c>
      <c r="C29" s="20">
        <f>AVERAGE(60)</f>
        <v>60</v>
      </c>
      <c r="D29" s="20">
        <v>55</v>
      </c>
      <c r="E29" s="20">
        <v>49</v>
      </c>
      <c r="F29" s="20">
        <v>48</v>
      </c>
      <c r="G29" s="20">
        <v>38</v>
      </c>
      <c r="H29" s="20">
        <v>29</v>
      </c>
      <c r="I29" s="20">
        <f t="shared" si="4"/>
        <v>324</v>
      </c>
      <c r="J29" s="26">
        <f t="shared" si="6"/>
        <v>0.54</v>
      </c>
      <c r="K29" s="20">
        <f t="shared" si="7"/>
        <v>7</v>
      </c>
      <c r="L29" s="20" t="str">
        <f t="shared" si="8"/>
        <v>Pass</v>
      </c>
      <c r="M29" s="20" t="str">
        <f t="shared" si="5"/>
        <v>Ok</v>
      </c>
      <c r="O29" t="s">
        <v>11</v>
      </c>
      <c r="P29">
        <f>VLOOKUP($O$26,$A$21:$M$35,3,0)</f>
        <v>70</v>
      </c>
    </row>
    <row r="30" spans="1:16">
      <c r="A30" s="20" t="s">
        <v>70</v>
      </c>
      <c r="B30" s="20">
        <v>60</v>
      </c>
      <c r="C30" s="20">
        <v>65</v>
      </c>
      <c r="D30" s="20">
        <v>69</v>
      </c>
      <c r="E30" s="20">
        <v>78</v>
      </c>
      <c r="F30" s="20">
        <v>89</v>
      </c>
      <c r="G30" s="20">
        <v>46</v>
      </c>
      <c r="H30" s="20">
        <v>45</v>
      </c>
      <c r="I30" s="20">
        <f t="shared" si="4"/>
        <v>452</v>
      </c>
      <c r="J30" s="26">
        <f t="shared" si="6"/>
        <v>0.7533333333333333</v>
      </c>
      <c r="K30" s="20">
        <f t="shared" si="7"/>
        <v>2</v>
      </c>
      <c r="L30" s="20" t="str">
        <f t="shared" si="8"/>
        <v>Pass</v>
      </c>
      <c r="M30" s="20" t="str">
        <f t="shared" si="5"/>
        <v>Excellent</v>
      </c>
      <c r="O30" t="s">
        <v>10</v>
      </c>
      <c r="P30">
        <f>VLOOKUP($O$26,$A$21:$M$35,4,0)</f>
        <v>95</v>
      </c>
    </row>
    <row r="31" spans="1:16">
      <c r="A31" s="20" t="s">
        <v>42</v>
      </c>
      <c r="B31" s="20">
        <v>38</v>
      </c>
      <c r="C31" s="20">
        <v>57</v>
      </c>
      <c r="D31" s="20">
        <v>36</v>
      </c>
      <c r="E31" s="20">
        <v>52</v>
      </c>
      <c r="F31" s="20">
        <v>39</v>
      </c>
      <c r="G31" s="20">
        <v>15</v>
      </c>
      <c r="H31" s="20">
        <v>18</v>
      </c>
      <c r="I31" s="20">
        <f t="shared" si="4"/>
        <v>255</v>
      </c>
      <c r="J31" s="26">
        <f t="shared" si="6"/>
        <v>0.42499999999999999</v>
      </c>
      <c r="K31" s="20">
        <f t="shared" si="7"/>
        <v>10</v>
      </c>
      <c r="L31" s="20" t="str">
        <f t="shared" si="8"/>
        <v>Pass</v>
      </c>
      <c r="M31" s="20" t="str">
        <f t="shared" si="5"/>
        <v>Poor</v>
      </c>
      <c r="O31" t="s">
        <v>65</v>
      </c>
      <c r="P31">
        <f>VLOOKUP($O$26,$A$21:$M$35,5,0)</f>
        <v>80</v>
      </c>
    </row>
    <row r="32" spans="1:16">
      <c r="A32" s="20" t="s">
        <v>47</v>
      </c>
      <c r="B32" s="20">
        <v>45</v>
      </c>
      <c r="C32" s="20">
        <f>AVERAGE(60)</f>
        <v>60</v>
      </c>
      <c r="D32" s="20">
        <v>35</v>
      </c>
      <c r="E32" s="20">
        <v>38</v>
      </c>
      <c r="F32" s="20">
        <f>AVERAGE(60)</f>
        <v>60</v>
      </c>
      <c r="G32" s="20">
        <v>20</v>
      </c>
      <c r="H32" s="20">
        <v>24</v>
      </c>
      <c r="I32" s="20">
        <f t="shared" si="4"/>
        <v>282</v>
      </c>
      <c r="J32" s="26">
        <f t="shared" si="6"/>
        <v>0.47</v>
      </c>
      <c r="K32" s="20">
        <f t="shared" si="7"/>
        <v>9</v>
      </c>
      <c r="L32" s="20" t="str">
        <f t="shared" si="8"/>
        <v>Pass</v>
      </c>
      <c r="M32" s="20" t="str">
        <f t="shared" si="5"/>
        <v>Ok</v>
      </c>
      <c r="O32" t="s">
        <v>36</v>
      </c>
      <c r="P32">
        <f>VLOOKUP($O$26,$A$21:$M$35,6,0)</f>
        <v>86</v>
      </c>
    </row>
    <row r="33" spans="1:16">
      <c r="A33" s="20" t="s">
        <v>46</v>
      </c>
      <c r="B33" s="20">
        <v>35</v>
      </c>
      <c r="C33" s="20">
        <v>38</v>
      </c>
      <c r="D33" s="20">
        <v>24</v>
      </c>
      <c r="E33" s="20">
        <v>39</v>
      </c>
      <c r="F33" s="20">
        <v>36</v>
      </c>
      <c r="G33" s="20">
        <v>12</v>
      </c>
      <c r="H33" s="20">
        <v>16</v>
      </c>
      <c r="I33" s="20">
        <f t="shared" si="4"/>
        <v>200</v>
      </c>
      <c r="J33" s="26">
        <f t="shared" si="6"/>
        <v>0.33333333333333331</v>
      </c>
      <c r="K33" s="20">
        <f t="shared" si="7"/>
        <v>11</v>
      </c>
      <c r="L33" s="20" t="str">
        <f t="shared" si="8"/>
        <v>Fail</v>
      </c>
      <c r="M33" s="20" t="str">
        <f t="shared" si="5"/>
        <v>Bad</v>
      </c>
      <c r="O33" s="27" t="s">
        <v>37</v>
      </c>
      <c r="P33">
        <f>VLOOKUP($O$26,$A$21:$M$35,7,0)</f>
        <v>45</v>
      </c>
    </row>
    <row r="34" spans="1:16" s="27" customFormat="1">
      <c r="A34" s="20" t="s">
        <v>72</v>
      </c>
      <c r="B34" s="20">
        <v>75</v>
      </c>
      <c r="C34" s="20">
        <v>65</v>
      </c>
      <c r="D34" s="20">
        <v>49</v>
      </c>
      <c r="E34" s="20">
        <v>95</v>
      </c>
      <c r="F34" s="20">
        <v>46</v>
      </c>
      <c r="G34" s="20">
        <v>25</v>
      </c>
      <c r="H34" s="20">
        <v>15</v>
      </c>
      <c r="I34" s="20">
        <f t="shared" si="4"/>
        <v>370</v>
      </c>
      <c r="J34" s="26">
        <f t="shared" si="6"/>
        <v>0.6166666666666667</v>
      </c>
      <c r="K34" s="20">
        <f t="shared" si="7"/>
        <v>5</v>
      </c>
      <c r="L34" s="20" t="str">
        <f t="shared" si="8"/>
        <v>Pass</v>
      </c>
      <c r="M34" s="20" t="str">
        <f t="shared" si="5"/>
        <v>Ok</v>
      </c>
      <c r="O34" s="47" t="s">
        <v>39</v>
      </c>
      <c r="P34">
        <f>VLOOKUP($O$26,$A$21:$M$35,8,0)</f>
        <v>40</v>
      </c>
    </row>
    <row r="35" spans="1:16" s="27" customFormat="1">
      <c r="A35" s="20" t="s">
        <v>44</v>
      </c>
      <c r="B35" s="20">
        <v>68</v>
      </c>
      <c r="C35" s="20">
        <f>AVERAGE(60)</f>
        <v>60</v>
      </c>
      <c r="D35" s="20">
        <v>69</v>
      </c>
      <c r="E35" s="20">
        <f>AVERAGE(60)</f>
        <v>60</v>
      </c>
      <c r="F35" s="20">
        <v>65</v>
      </c>
      <c r="G35" s="20">
        <v>21</v>
      </c>
      <c r="H35" s="20">
        <v>30</v>
      </c>
      <c r="I35" s="20">
        <f t="shared" si="4"/>
        <v>373</v>
      </c>
      <c r="J35" s="26">
        <f t="shared" si="6"/>
        <v>0.6216666666666667</v>
      </c>
      <c r="K35" s="20">
        <f t="shared" si="7"/>
        <v>4</v>
      </c>
      <c r="L35" s="20" t="str">
        <f t="shared" si="8"/>
        <v>Pass</v>
      </c>
      <c r="M35" s="20" t="str">
        <f t="shared" si="5"/>
        <v>Ok</v>
      </c>
      <c r="O35" s="47" t="s">
        <v>40</v>
      </c>
      <c r="P35" s="27">
        <f>SUM(P28:P34)</f>
        <v>481</v>
      </c>
    </row>
    <row r="36" spans="1:16" s="27" customFormat="1"/>
    <row r="37" spans="1:16" s="27" customFormat="1">
      <c r="A37"/>
      <c r="B37"/>
      <c r="C37"/>
      <c r="D37"/>
      <c r="E37"/>
      <c r="F37"/>
      <c r="G37"/>
      <c r="H37"/>
      <c r="I37"/>
      <c r="J37"/>
      <c r="K37"/>
      <c r="L37"/>
      <c r="M37"/>
      <c r="O37"/>
      <c r="P37"/>
    </row>
  </sheetData>
  <sheetProtection password="8418" sheet="1" objects="1" scenarios="1"/>
  <mergeCells count="6">
    <mergeCell ref="S1:V1"/>
    <mergeCell ref="A21:A22"/>
    <mergeCell ref="B21:M21"/>
    <mergeCell ref="A1:A2"/>
    <mergeCell ref="B1:J1"/>
    <mergeCell ref="K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2:B13"/>
  <sheetViews>
    <sheetView topLeftCell="A9" zoomScale="145" zoomScaleNormal="145" workbookViewId="0">
      <selection activeCell="D9" sqref="D9"/>
    </sheetView>
  </sheetViews>
  <sheetFormatPr defaultRowHeight="15"/>
  <cols>
    <col min="1" max="1" width="16.140625" bestFit="1" customWidth="1"/>
    <col min="2" max="2" width="20.7109375" customWidth="1"/>
  </cols>
  <sheetData>
    <row r="2" spans="1:2" s="18" customFormat="1">
      <c r="A2" s="165" t="s">
        <v>41</v>
      </c>
      <c r="B2" s="168" t="s">
        <v>178</v>
      </c>
    </row>
    <row r="3" spans="1:2" s="166" customFormat="1" ht="120" customHeight="1">
      <c r="A3" s="167" t="s">
        <v>48</v>
      </c>
      <c r="B3" s="169"/>
    </row>
    <row r="4" spans="1:2" s="166" customFormat="1" ht="120" customHeight="1">
      <c r="A4" s="170" t="s">
        <v>43</v>
      </c>
      <c r="B4" s="169"/>
    </row>
    <row r="5" spans="1:2" s="166" customFormat="1" ht="120" customHeight="1">
      <c r="A5" s="170" t="s">
        <v>71</v>
      </c>
      <c r="B5" s="169"/>
    </row>
    <row r="6" spans="1:2" s="166" customFormat="1" ht="120" customHeight="1">
      <c r="A6" s="170" t="s">
        <v>53</v>
      </c>
      <c r="B6" s="169"/>
    </row>
    <row r="7" spans="1:2" s="166" customFormat="1" ht="120" customHeight="1">
      <c r="A7" s="170" t="s">
        <v>45</v>
      </c>
      <c r="B7" s="169"/>
    </row>
    <row r="8" spans="1:2" s="166" customFormat="1" ht="120" customHeight="1">
      <c r="A8" s="170" t="s">
        <v>70</v>
      </c>
      <c r="B8" s="169"/>
    </row>
    <row r="9" spans="1:2" s="166" customFormat="1" ht="120" customHeight="1">
      <c r="A9" s="170" t="s">
        <v>42</v>
      </c>
      <c r="B9" s="169"/>
    </row>
    <row r="10" spans="1:2" s="166" customFormat="1" ht="120" customHeight="1">
      <c r="A10" s="170" t="s">
        <v>47</v>
      </c>
      <c r="B10" s="169"/>
    </row>
    <row r="11" spans="1:2" s="166" customFormat="1" ht="120" customHeight="1">
      <c r="A11" s="170" t="s">
        <v>46</v>
      </c>
      <c r="B11" s="169"/>
    </row>
    <row r="12" spans="1:2" s="166" customFormat="1" ht="120" customHeight="1">
      <c r="A12" s="170" t="s">
        <v>72</v>
      </c>
      <c r="B12" s="169"/>
    </row>
    <row r="13" spans="1:2" s="166" customFormat="1" ht="120" customHeight="1">
      <c r="A13" s="170" t="s">
        <v>44</v>
      </c>
      <c r="B13" s="169"/>
    </row>
  </sheetData>
  <sheetProtection password="8418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</vt:lpstr>
      <vt:lpstr>SIM</vt:lpstr>
      <vt:lpstr>Back Data</vt:lpstr>
      <vt:lpstr>Photo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Sanjay</dc:creator>
  <cp:lastModifiedBy>computer02</cp:lastModifiedBy>
  <cp:lastPrinted>2015-01-18T13:25:34Z</cp:lastPrinted>
  <dcterms:created xsi:type="dcterms:W3CDTF">2015-01-07T15:12:05Z</dcterms:created>
  <dcterms:modified xsi:type="dcterms:W3CDTF">2015-01-23T13:54:33Z</dcterms:modified>
</cp:coreProperties>
</file>