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 firstSheet="1" activeTab="2"/>
  </bookViews>
  <sheets>
    <sheet name="WORKING OF DEPRECIATION" sheetId="3" state="hidden" r:id="rId1"/>
    <sheet name="Schedule II" sheetId="10" r:id="rId2"/>
    <sheet name="Assets" sheetId="9" r:id="rId3"/>
    <sheet name="FAR" sheetId="4" r:id="rId4"/>
    <sheet name="WDV Rates" sheetId="7" r:id="rId5"/>
  </sheets>
  <externalReferences>
    <externalReference r:id="rId6"/>
  </externalReferences>
  <definedNames>
    <definedName name="assets">'[1]Useful Life'!$B$6:$B$105</definedName>
    <definedName name="assets1">OFFSET([1]Assets!$B$3,1,0,COUNTA([1]Assets!$B:$B)-1,1)</definedName>
    <definedName name="Assetype">'Schedule II'!$B$2:$B$126</definedName>
    <definedName name="coment">'Schedule II'!$I$3:$I$4</definedName>
    <definedName name="depreciationmethod">'Schedule II'!$H$1:$H$2</definedName>
    <definedName name="method">[1]Openings!$P$1:$P$2</definedName>
    <definedName name="natureofasset">'Schedule II'!$B$2:$B$126</definedName>
    <definedName name="natureofassets">'Schedule II'!$B$2:$B$100</definedName>
  </definedNames>
  <calcPr calcId="124519"/>
</workbook>
</file>

<file path=xl/calcChain.xml><?xml version="1.0" encoding="utf-8"?>
<calcChain xmlns="http://schemas.openxmlformats.org/spreadsheetml/2006/main">
  <c r="S5" i="9"/>
  <c r="S6"/>
  <c r="M12"/>
  <c r="M11"/>
  <c r="M10"/>
  <c r="M9"/>
  <c r="M8"/>
  <c r="M7"/>
  <c r="M6"/>
  <c r="U6" s="1"/>
  <c r="M5"/>
  <c r="U5" s="1"/>
  <c r="M4"/>
  <c r="M3"/>
  <c r="J12"/>
  <c r="J11"/>
  <c r="J10"/>
  <c r="J9"/>
  <c r="J8"/>
  <c r="J7"/>
  <c r="J6"/>
  <c r="J5"/>
  <c r="J4"/>
  <c r="J3"/>
  <c r="A3" i="10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H12" i="9" l="1"/>
  <c r="H11"/>
  <c r="H10"/>
  <c r="H9"/>
  <c r="H8"/>
  <c r="H7"/>
  <c r="H6"/>
  <c r="H5"/>
  <c r="H4"/>
  <c r="H3"/>
  <c r="O12"/>
  <c r="E12"/>
  <c r="D12"/>
  <c r="O11"/>
  <c r="O10"/>
  <c r="O9"/>
  <c r="O8"/>
  <c r="O7"/>
  <c r="O6"/>
  <c r="O5"/>
  <c r="D11"/>
  <c r="D10"/>
  <c r="N10" s="1"/>
  <c r="P10" s="1"/>
  <c r="S10" s="1"/>
  <c r="D9"/>
  <c r="D8"/>
  <c r="D7"/>
  <c r="N7" s="1"/>
  <c r="D6"/>
  <c r="N6" s="1"/>
  <c r="P6" s="1"/>
  <c r="D5"/>
  <c r="D4"/>
  <c r="D3"/>
  <c r="O4"/>
  <c r="O3"/>
  <c r="N1"/>
  <c r="N11" l="1"/>
  <c r="P11" s="1"/>
  <c r="N12"/>
  <c r="P7"/>
  <c r="S7" s="1"/>
  <c r="Q10"/>
  <c r="R10" s="1"/>
  <c r="P12"/>
  <c r="N5"/>
  <c r="P5" s="1"/>
  <c r="N9"/>
  <c r="P9" s="1"/>
  <c r="S9" s="1"/>
  <c r="N8"/>
  <c r="P8" s="1"/>
  <c r="S8" s="1"/>
  <c r="T10"/>
  <c r="U10" s="1"/>
  <c r="T5"/>
  <c r="Q7"/>
  <c r="R7" s="1"/>
  <c r="T6"/>
  <c r="Q6"/>
  <c r="R6" s="1"/>
  <c r="E11"/>
  <c r="E10"/>
  <c r="E9"/>
  <c r="E8"/>
  <c r="E7"/>
  <c r="E6"/>
  <c r="E5"/>
  <c r="E4"/>
  <c r="N4"/>
  <c r="P4" s="1"/>
  <c r="S4" s="1"/>
  <c r="E3" i="4"/>
  <c r="E3" i="9"/>
  <c r="D3" i="4"/>
  <c r="N3" i="9"/>
  <c r="P3" s="1"/>
  <c r="A4"/>
  <c r="A5" s="1"/>
  <c r="A6" s="1"/>
  <c r="A7" s="1"/>
  <c r="A8" s="1"/>
  <c r="A9" s="1"/>
  <c r="A10" s="1"/>
  <c r="A11" s="1"/>
  <c r="A12" s="1"/>
  <c r="O47" i="4"/>
  <c r="O46"/>
  <c r="O45"/>
  <c r="O44"/>
  <c r="O40"/>
  <c r="O37"/>
  <c r="O36"/>
  <c r="O32"/>
  <c r="O31"/>
  <c r="O27"/>
  <c r="P27" s="1"/>
  <c r="O23"/>
  <c r="O19"/>
  <c r="O15"/>
  <c r="O13"/>
  <c r="T7" i="9" l="1"/>
  <c r="U7" s="1"/>
  <c r="V7" s="1"/>
  <c r="Q3"/>
  <c r="R3" s="1"/>
  <c r="S3"/>
  <c r="T11"/>
  <c r="U11" s="1"/>
  <c r="S11"/>
  <c r="Q12"/>
  <c r="R12" s="1"/>
  <c r="S12"/>
  <c r="T12"/>
  <c r="U12" s="1"/>
  <c r="Q5"/>
  <c r="Q8"/>
  <c r="R8" s="1"/>
  <c r="Q9"/>
  <c r="R9" s="1"/>
  <c r="T9"/>
  <c r="U9" s="1"/>
  <c r="T8"/>
  <c r="U8" s="1"/>
  <c r="V6"/>
  <c r="W6" s="1"/>
  <c r="V10"/>
  <c r="W10" s="1"/>
  <c r="T3"/>
  <c r="U3" s="1"/>
  <c r="Q11"/>
  <c r="R11" s="1"/>
  <c r="T4"/>
  <c r="U4" s="1"/>
  <c r="Q4"/>
  <c r="R4" s="1"/>
  <c r="Q27" i="4"/>
  <c r="O8"/>
  <c r="O7"/>
  <c r="H47"/>
  <c r="I47" s="1"/>
  <c r="H46"/>
  <c r="I46" s="1"/>
  <c r="H45"/>
  <c r="I45" s="1"/>
  <c r="I44"/>
  <c r="H44"/>
  <c r="H40"/>
  <c r="I40" s="1"/>
  <c r="H37"/>
  <c r="I37" s="1"/>
  <c r="H36"/>
  <c r="I36" s="1"/>
  <c r="H32"/>
  <c r="I32" s="1"/>
  <c r="H31"/>
  <c r="I31" s="1"/>
  <c r="H23"/>
  <c r="I23" s="1"/>
  <c r="H19"/>
  <c r="I19" s="1"/>
  <c r="H15"/>
  <c r="I15" s="1"/>
  <c r="H14"/>
  <c r="I14" s="1"/>
  <c r="H13"/>
  <c r="I13" s="1"/>
  <c r="A4" i="7"/>
  <c r="A5" s="1"/>
  <c r="B3"/>
  <c r="R5" i="9" l="1"/>
  <c r="V5" s="1"/>
  <c r="W5" s="1"/>
  <c r="V12"/>
  <c r="W12" s="1"/>
  <c r="V8"/>
  <c r="W8" s="1"/>
  <c r="V9"/>
  <c r="W9" s="1"/>
  <c r="V4"/>
  <c r="W4" s="1"/>
  <c r="V3"/>
  <c r="W3" s="1"/>
  <c r="V11"/>
  <c r="W11" s="1"/>
  <c r="W7"/>
  <c r="B4" i="7"/>
  <c r="B5"/>
  <c r="A6"/>
  <c r="B6" l="1"/>
  <c r="A7"/>
  <c r="J37" i="4" l="1"/>
  <c r="J36"/>
  <c r="B7" i="7"/>
  <c r="A8"/>
  <c r="J32" i="4" l="1"/>
  <c r="J31"/>
  <c r="J40"/>
  <c r="J47"/>
  <c r="B8" i="7"/>
  <c r="A9"/>
  <c r="B9" l="1"/>
  <c r="A10"/>
  <c r="B10" l="1"/>
  <c r="A11"/>
  <c r="B11" l="1"/>
  <c r="A12"/>
  <c r="B12" l="1"/>
  <c r="A13"/>
  <c r="B13" l="1"/>
  <c r="A14"/>
  <c r="B14" l="1"/>
  <c r="A15"/>
  <c r="B15" l="1"/>
  <c r="A16"/>
  <c r="B16" l="1"/>
  <c r="A17"/>
  <c r="B17" l="1"/>
  <c r="A18"/>
  <c r="B18" l="1"/>
  <c r="A19"/>
  <c r="B19" l="1"/>
  <c r="A20"/>
  <c r="B20" l="1"/>
  <c r="A21"/>
  <c r="B21" l="1"/>
  <c r="A22"/>
  <c r="B22" l="1"/>
  <c r="A23"/>
  <c r="B23" l="1"/>
  <c r="A24"/>
  <c r="B24" l="1"/>
  <c r="A25"/>
  <c r="B25" l="1"/>
  <c r="A26"/>
  <c r="B26" l="1"/>
  <c r="A27"/>
  <c r="B27" l="1"/>
  <c r="A28"/>
  <c r="B28" l="1"/>
  <c r="A29"/>
  <c r="B29" l="1"/>
  <c r="A30"/>
  <c r="B30" l="1"/>
  <c r="A31"/>
  <c r="B31" l="1"/>
  <c r="A32"/>
  <c r="B32" l="1"/>
  <c r="A33"/>
  <c r="B33" l="1"/>
  <c r="A34"/>
  <c r="B34" l="1"/>
  <c r="A35"/>
  <c r="B35" l="1"/>
  <c r="A36"/>
  <c r="B36" l="1"/>
  <c r="A37"/>
  <c r="B37" l="1"/>
  <c r="A38"/>
  <c r="B38" l="1"/>
  <c r="A39"/>
  <c r="B39" l="1"/>
  <c r="A40"/>
  <c r="B40" l="1"/>
  <c r="A41"/>
  <c r="B41" l="1"/>
  <c r="A42"/>
  <c r="B42" l="1"/>
  <c r="A43"/>
  <c r="B43" l="1"/>
  <c r="A44"/>
  <c r="B44" l="1"/>
  <c r="A45"/>
  <c r="B45" l="1"/>
  <c r="A46"/>
  <c r="B46" l="1"/>
  <c r="A47"/>
  <c r="B47" l="1"/>
  <c r="A48"/>
  <c r="B48" l="1"/>
  <c r="A49"/>
  <c r="B49" l="1"/>
  <c r="A50"/>
  <c r="B50" l="1"/>
  <c r="A51"/>
  <c r="B51" l="1"/>
  <c r="A52"/>
  <c r="B52" l="1"/>
  <c r="A53"/>
  <c r="B53" l="1"/>
  <c r="A54"/>
  <c r="B54" l="1"/>
  <c r="A55"/>
  <c r="B55" l="1"/>
  <c r="A56"/>
  <c r="B56" l="1"/>
  <c r="A57"/>
  <c r="B57" l="1"/>
  <c r="A58"/>
  <c r="B58" l="1"/>
  <c r="A59"/>
  <c r="B59" l="1"/>
  <c r="A60"/>
  <c r="B60" l="1"/>
  <c r="A61"/>
  <c r="B61" l="1"/>
  <c r="A62"/>
  <c r="B62" l="1"/>
  <c r="A63"/>
  <c r="B63" l="1"/>
  <c r="A64"/>
  <c r="B64" l="1"/>
  <c r="A65"/>
  <c r="B65" l="1"/>
  <c r="A66"/>
  <c r="B66" l="1"/>
  <c r="A67"/>
  <c r="B67" l="1"/>
  <c r="A68"/>
  <c r="B68" l="1"/>
  <c r="A69"/>
  <c r="B69" l="1"/>
  <c r="A70"/>
  <c r="B70" l="1"/>
  <c r="A71"/>
  <c r="B71" l="1"/>
  <c r="A72"/>
  <c r="B72" l="1"/>
  <c r="A73"/>
  <c r="B73" l="1"/>
  <c r="A74"/>
  <c r="B74" l="1"/>
  <c r="A75"/>
  <c r="B75" l="1"/>
  <c r="A76"/>
  <c r="B76" l="1"/>
  <c r="A77"/>
  <c r="B77" l="1"/>
  <c r="A78"/>
  <c r="B78" l="1"/>
  <c r="A79"/>
  <c r="B79" l="1"/>
  <c r="A80"/>
  <c r="B80" l="1"/>
  <c r="A81"/>
  <c r="B81" l="1"/>
  <c r="A82"/>
  <c r="B82" l="1"/>
  <c r="A83"/>
  <c r="B83" l="1"/>
  <c r="A84"/>
  <c r="B84" l="1"/>
  <c r="A85"/>
  <c r="B85" l="1"/>
  <c r="A86"/>
  <c r="B86" l="1"/>
  <c r="A87"/>
  <c r="B87" l="1"/>
  <c r="A88"/>
  <c r="B88" l="1"/>
  <c r="A89"/>
  <c r="B89" l="1"/>
  <c r="A90"/>
  <c r="B90" l="1"/>
  <c r="A91"/>
  <c r="B91" l="1"/>
  <c r="A92"/>
  <c r="B92" l="1"/>
  <c r="A93"/>
  <c r="B93" l="1"/>
  <c r="A94"/>
  <c r="B94" l="1"/>
  <c r="A95"/>
  <c r="B95" l="1"/>
  <c r="A96"/>
  <c r="B96" l="1"/>
  <c r="A97"/>
  <c r="B97" l="1"/>
  <c r="A98"/>
  <c r="B98" l="1"/>
  <c r="A99"/>
  <c r="B99" l="1"/>
  <c r="A100"/>
  <c r="B100" l="1"/>
  <c r="A101"/>
  <c r="B101" l="1"/>
  <c r="A102"/>
  <c r="B102" s="1"/>
  <c r="J46" i="4" l="1"/>
  <c r="J19"/>
  <c r="J15"/>
  <c r="J44"/>
  <c r="J45"/>
  <c r="J14"/>
  <c r="J13"/>
  <c r="J23"/>
  <c r="H8" l="1"/>
  <c r="I8" s="1"/>
  <c r="J8" s="1"/>
  <c r="H7"/>
  <c r="I7" s="1"/>
  <c r="J7" s="1"/>
  <c r="F47"/>
  <c r="G47" s="1"/>
  <c r="P47" s="1"/>
  <c r="Q47" s="1"/>
  <c r="F46"/>
  <c r="G46" s="1"/>
  <c r="P46" s="1"/>
  <c r="Q46" s="1"/>
  <c r="F45"/>
  <c r="G45" s="1"/>
  <c r="P45" s="1"/>
  <c r="Q45" s="1"/>
  <c r="F44"/>
  <c r="G44" s="1"/>
  <c r="P44" s="1"/>
  <c r="F40"/>
  <c r="G40" s="1"/>
  <c r="P40" s="1"/>
  <c r="Q40" s="1"/>
  <c r="Q41" s="1"/>
  <c r="F37"/>
  <c r="G37" s="1"/>
  <c r="P37" s="1"/>
  <c r="Q37" s="1"/>
  <c r="F36"/>
  <c r="G36" s="1"/>
  <c r="P36" s="1"/>
  <c r="Q36" s="1"/>
  <c r="F32"/>
  <c r="G32" s="1"/>
  <c r="P32" s="1"/>
  <c r="Q32" s="1"/>
  <c r="F31"/>
  <c r="G31" s="1"/>
  <c r="P31" s="1"/>
  <c r="Q31" s="1"/>
  <c r="F23"/>
  <c r="G23" s="1"/>
  <c r="P23" s="1"/>
  <c r="F19"/>
  <c r="G19" s="1"/>
  <c r="P19" s="1"/>
  <c r="Q19" s="1"/>
  <c r="Q20" s="1"/>
  <c r="F15"/>
  <c r="G15" s="1"/>
  <c r="P15" s="1"/>
  <c r="Q15" s="1"/>
  <c r="F14"/>
  <c r="G14" s="1"/>
  <c r="F13"/>
  <c r="G13" s="1"/>
  <c r="P13" s="1"/>
  <c r="Q13" s="1"/>
  <c r="F8"/>
  <c r="G8" s="1"/>
  <c r="F7"/>
  <c r="G7" s="1"/>
  <c r="L9"/>
  <c r="L20"/>
  <c r="L24"/>
  <c r="L28"/>
  <c r="L33"/>
  <c r="L38"/>
  <c r="L41"/>
  <c r="L48"/>
  <c r="O38"/>
  <c r="O41"/>
  <c r="O48"/>
  <c r="P33"/>
  <c r="O33"/>
  <c r="Q28"/>
  <c r="P28"/>
  <c r="O28"/>
  <c r="O24"/>
  <c r="O20"/>
  <c r="O9"/>
  <c r="L14"/>
  <c r="O14" s="1"/>
  <c r="O16" s="1"/>
  <c r="Q33" l="1"/>
  <c r="P41"/>
  <c r="P20"/>
  <c r="Q38"/>
  <c r="P8"/>
  <c r="Q8" s="1"/>
  <c r="P38"/>
  <c r="P7"/>
  <c r="Q7" s="1"/>
  <c r="L16"/>
  <c r="L50" s="1"/>
  <c r="P14"/>
  <c r="P16" s="1"/>
  <c r="Q23"/>
  <c r="Q24" s="1"/>
  <c r="P24"/>
  <c r="Q44"/>
  <c r="Q48" s="1"/>
  <c r="P48"/>
  <c r="P9" l="1"/>
  <c r="P50" s="1"/>
  <c r="Q14"/>
  <c r="Q16" s="1"/>
  <c r="Q9"/>
  <c r="I77" i="3"/>
  <c r="H77"/>
  <c r="I76"/>
  <c r="H76"/>
  <c r="I75"/>
  <c r="H75"/>
  <c r="I74"/>
  <c r="H74"/>
  <c r="I73"/>
  <c r="H73"/>
  <c r="I72"/>
  <c r="H72"/>
  <c r="I71"/>
  <c r="H71"/>
  <c r="I70"/>
  <c r="H70"/>
  <c r="I69"/>
  <c r="H69"/>
  <c r="I68"/>
  <c r="H68"/>
  <c r="I67"/>
  <c r="H67"/>
  <c r="I66"/>
  <c r="H66"/>
  <c r="I65"/>
  <c r="H65"/>
  <c r="I64"/>
  <c r="H64"/>
  <c r="I63"/>
  <c r="H63"/>
  <c r="I62"/>
  <c r="H62"/>
  <c r="I61"/>
  <c r="H61"/>
  <c r="I60"/>
  <c r="H60"/>
  <c r="I59"/>
  <c r="H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41"/>
  <c r="H41"/>
  <c r="I40"/>
  <c r="H40"/>
  <c r="I39"/>
  <c r="H39"/>
  <c r="I38"/>
  <c r="H38"/>
  <c r="I37"/>
  <c r="H37"/>
  <c r="L36"/>
  <c r="K36"/>
  <c r="I36"/>
  <c r="H36"/>
  <c r="I35"/>
  <c r="H35"/>
  <c r="I34"/>
  <c r="H34"/>
  <c r="I33"/>
  <c r="I79" s="1"/>
  <c r="H33"/>
  <c r="I32"/>
  <c r="H32"/>
  <c r="I31"/>
  <c r="H31"/>
  <c r="I30"/>
  <c r="H30"/>
  <c r="I29"/>
  <c r="H29"/>
  <c r="I28"/>
  <c r="H28"/>
  <c r="H20"/>
  <c r="I20" s="1"/>
  <c r="H19"/>
  <c r="I19" s="1"/>
  <c r="H18"/>
  <c r="I18" s="1"/>
  <c r="H17"/>
  <c r="I17" s="1"/>
  <c r="H16"/>
  <c r="I16" s="1"/>
  <c r="H15"/>
  <c r="I15" s="1"/>
  <c r="H14"/>
  <c r="I14" s="1"/>
  <c r="H13"/>
  <c r="I13" s="1"/>
  <c r="H12"/>
  <c r="I12" s="1"/>
  <c r="I22" l="1"/>
  <c r="I81" s="1"/>
  <c r="Q50" i="4"/>
</calcChain>
</file>

<file path=xl/comments1.xml><?xml version="1.0" encoding="utf-8"?>
<comments xmlns="http://schemas.openxmlformats.org/spreadsheetml/2006/main">
  <authors>
    <author>lenovo</author>
  </authors>
  <commentList>
    <comment ref="G36" authorId="0">
      <text>
        <r>
          <rPr>
            <sz val="9"/>
            <color indexed="81"/>
            <rFont val="宋体"/>
            <charset val="134"/>
          </rPr>
          <t xml:space="preserve">lenovo:
before
</t>
        </r>
      </text>
    </comment>
  </commentList>
</comments>
</file>

<file path=xl/sharedStrings.xml><?xml version="1.0" encoding="utf-8"?>
<sst xmlns="http://schemas.openxmlformats.org/spreadsheetml/2006/main" count="382" uniqueCount="225">
  <si>
    <t>After 180 Days</t>
  </si>
  <si>
    <t>Sewing Machine</t>
  </si>
  <si>
    <t xml:space="preserve">Electricals Installation </t>
  </si>
  <si>
    <t>Furniture &amp; Fixture</t>
  </si>
  <si>
    <t>Office Equipment</t>
  </si>
  <si>
    <t>Plant &amp; Machinery</t>
  </si>
  <si>
    <t>Car</t>
  </si>
  <si>
    <t>Water Filter</t>
  </si>
  <si>
    <t>Computer</t>
  </si>
  <si>
    <t>Weighing Machine</t>
  </si>
  <si>
    <t>Scooter</t>
  </si>
  <si>
    <t>Rotary Machine</t>
  </si>
  <si>
    <t>Boiler</t>
  </si>
  <si>
    <t>Electronic Vacuum Cleaner</t>
  </si>
  <si>
    <t>Boiler Feed Pump</t>
  </si>
  <si>
    <t>Transformer</t>
  </si>
  <si>
    <t>Gas line Fitting</t>
  </si>
  <si>
    <t>Pipe line Fitting</t>
  </si>
  <si>
    <t>Water treatment Plant</t>
  </si>
  <si>
    <t>Honda Aviator</t>
  </si>
  <si>
    <t>Trolly</t>
  </si>
  <si>
    <t>Factory Building Const.</t>
  </si>
  <si>
    <t>Diesel Generator</t>
  </si>
  <si>
    <t>Electric Generator</t>
  </si>
  <si>
    <t>Plot</t>
  </si>
  <si>
    <t>Rack</t>
  </si>
  <si>
    <t>Hundai I-20</t>
  </si>
  <si>
    <t>Air Condition</t>
  </si>
  <si>
    <t>Fire Fighting</t>
  </si>
  <si>
    <t>EPBX System</t>
  </si>
  <si>
    <t>Design Book</t>
  </si>
  <si>
    <t>Boring A/c</t>
  </si>
  <si>
    <t>Motor Cycle</t>
  </si>
  <si>
    <t>Honda Eterno</t>
  </si>
  <si>
    <t>Scooter M-80</t>
  </si>
  <si>
    <t>Cycle</t>
  </si>
  <si>
    <t>Cooling Air Conditioner</t>
  </si>
  <si>
    <t>Mobile</t>
  </si>
  <si>
    <t>Inventor Purchase</t>
  </si>
  <si>
    <t xml:space="preserve">Avenger </t>
  </si>
  <si>
    <t>Water Cooler</t>
  </si>
  <si>
    <t>Rickshaw TVS</t>
  </si>
  <si>
    <t>Attendance Machine</t>
  </si>
  <si>
    <t>Dranage Construction</t>
  </si>
  <si>
    <t>Total</t>
  </si>
  <si>
    <t xml:space="preserve">Particular </t>
  </si>
  <si>
    <t>Rate of Depreciation</t>
  </si>
  <si>
    <t>Opening Balance as on 01/04/2013</t>
  </si>
  <si>
    <t>Addition during the year</t>
  </si>
  <si>
    <t>Deduction during the year</t>
  </si>
  <si>
    <t>Closing Balance as on 30/09/2013</t>
  </si>
  <si>
    <t>Amount of Depreciation</t>
  </si>
  <si>
    <t>Before</t>
  </si>
  <si>
    <t>After</t>
  </si>
  <si>
    <t>Before 180 Days</t>
  </si>
  <si>
    <t xml:space="preserve">Toatl Amount of Depreciation </t>
  </si>
  <si>
    <t>NAME OF ASSETS</t>
  </si>
  <si>
    <t>DATE/YEAR OF PURCHASE</t>
  </si>
  <si>
    <t>USEFUL LIFE</t>
  </si>
  <si>
    <t>REMAINING DAYS</t>
  </si>
  <si>
    <t>EXPIRED LIFE</t>
  </si>
  <si>
    <t>REMAINING LIFE</t>
  </si>
  <si>
    <t>NEW RATE</t>
  </si>
  <si>
    <t>Purchase Cost</t>
  </si>
  <si>
    <t>Addition / (Deletion)</t>
  </si>
  <si>
    <t>Depreciation For FY-2015-16</t>
  </si>
  <si>
    <t>WDV As On 31.03.2016</t>
  </si>
  <si>
    <t>COMPUTER</t>
  </si>
  <si>
    <t>WDV As On 01.04.2015</t>
  </si>
  <si>
    <t>PLANT AND MACHINERY</t>
  </si>
  <si>
    <t>MACHINERY</t>
  </si>
  <si>
    <t>FURNITURE</t>
  </si>
  <si>
    <t>FACTORY BUILDING</t>
  </si>
  <si>
    <t>LAND(PLOT)</t>
  </si>
  <si>
    <t>C.C.T.V.CAMERA</t>
  </si>
  <si>
    <t xml:space="preserve">A.C </t>
  </si>
  <si>
    <t>EPBX SYSTEM</t>
  </si>
  <si>
    <t>VEHICLE</t>
  </si>
  <si>
    <t>SCODA</t>
  </si>
  <si>
    <t>VESPA</t>
  </si>
  <si>
    <t>MOTOR CAR</t>
  </si>
  <si>
    <t>CYCLE</t>
  </si>
  <si>
    <t>SUB TOTAL</t>
  </si>
  <si>
    <t>TOTAL</t>
  </si>
  <si>
    <t>Total
Days</t>
  </si>
  <si>
    <t>Days Used</t>
  </si>
  <si>
    <t>Useful Life</t>
  </si>
  <si>
    <t>WDV Rate</t>
  </si>
  <si>
    <t>Residual Value</t>
  </si>
  <si>
    <t>Depreiciable Value</t>
  </si>
  <si>
    <t>Days Expired</t>
  </si>
  <si>
    <t>Asset Name</t>
  </si>
  <si>
    <t>Asset Type as per Schedule-II (Select from Drop Down List)</t>
  </si>
  <si>
    <t>Nature of Assets</t>
  </si>
  <si>
    <t>Rate [SLM]</t>
  </si>
  <si>
    <t>Rate [WDV]</t>
  </si>
  <si>
    <t>Buildings (other than factory building) RCC Frame Structure</t>
  </si>
  <si>
    <t>Years</t>
  </si>
  <si>
    <t>Buildings (other than factory building) Other than RCC Frame Structure</t>
  </si>
  <si>
    <t>Buildings-Factory Building</t>
  </si>
  <si>
    <t>Buildings-Fences, Wells, Tube Wells</t>
  </si>
  <si>
    <t>Buildings-Others (including temporary structures etc.)</t>
  </si>
  <si>
    <t xml:space="preserve">Bridges, Culverts, Bunders, etc. </t>
  </si>
  <si>
    <t>Roads-Carpeted Roads-RCC</t>
  </si>
  <si>
    <t>Roads-Carpeted Roads-Other than RCC</t>
  </si>
  <si>
    <t>Roads-Non-Carpeted Roads</t>
  </si>
  <si>
    <t>P&amp;M-General Plant &amp; Machinery</t>
  </si>
  <si>
    <t>P&amp;M-Continuous Process Plant</t>
  </si>
  <si>
    <t>P&amp;M-Cinematograph Films</t>
  </si>
  <si>
    <t>P&amp;M-Projecting Equipments-for Film Exhibition</t>
  </si>
  <si>
    <t>P&amp;M-Recuperative, regenerative Glass Melting Furnaces</t>
  </si>
  <si>
    <t>P&amp;M-Glass Manufacturing Moulds</t>
  </si>
  <si>
    <t>P&amp;M-Float Glass Melting Furnaces</t>
  </si>
  <si>
    <t>P&amp;M-Mine &amp; Quarries</t>
  </si>
  <si>
    <t>P&amp;M-Telecommunication Towers</t>
  </si>
  <si>
    <t>P&amp;M-Telecom Network Equipments</t>
  </si>
  <si>
    <t>P&amp;M-Satellites</t>
  </si>
  <si>
    <t>P&amp;M-Oil and Gas Refineries</t>
  </si>
  <si>
    <t>P&amp;M-Oil and Gas Assets Processing Plants &amp; Facilities</t>
  </si>
  <si>
    <t>P&amp;M-Oil and Gas Petrochemical Plant</t>
  </si>
  <si>
    <t>P&amp;M-Oil and Gas Storage Tanks and Related Equipments</t>
  </si>
  <si>
    <t>P&amp;M-Oil and Gas Pipelines</t>
  </si>
  <si>
    <t>P&amp;M-Oil and Gas Drilling Rig</t>
  </si>
  <si>
    <t>P&amp;M-Oil and Gas Field Operation above Ground</t>
  </si>
  <si>
    <t>P&amp;M-Oil and Gas Loggers</t>
  </si>
  <si>
    <t>P&amp;M-Power-Thermal/Gas/Combined Cycle Plant</t>
  </si>
  <si>
    <t>P&amp;M-Power-Hydro Plant</t>
  </si>
  <si>
    <t>P&amp;M-Power-Nuclear Plant</t>
  </si>
  <si>
    <t>P&amp;M-Power-Transmission Lines, Cables, other Network Assets</t>
  </si>
  <si>
    <t>P&amp;M-Power-Wind Power Plant</t>
  </si>
  <si>
    <t>P&amp;M-Power-Electric Distribution Plant</t>
  </si>
  <si>
    <t>P&amp;M-Power-Gas Storage, Distribution Plant</t>
  </si>
  <si>
    <t>P&amp;M-Power-Water Distribution Plant including Pipelines</t>
  </si>
  <si>
    <t>P&amp;M-Steel-Sinter Plant</t>
  </si>
  <si>
    <t>P&amp;M-Steel-Blast Furnace</t>
  </si>
  <si>
    <t>P&amp;M-Steel-Coke Ovens</t>
  </si>
  <si>
    <t>P&amp;M-Steel-Rolling Mills in Steel Plant</t>
  </si>
  <si>
    <t>P&amp;M-Steel-Basic Oxygen Furnace Converter</t>
  </si>
  <si>
    <t>P&amp;M-Non-Ferros-Metal-Pot Line</t>
  </si>
  <si>
    <t>P&amp;M-Non-Ferros-Metal-Bauxite Crushing, Grinding Section</t>
  </si>
  <si>
    <t>P&amp;M-Non-Ferros-Metal-Digester Section</t>
  </si>
  <si>
    <t>P&amp;M-Non-Ferros-Metal-Turbine</t>
  </si>
  <si>
    <t>P&amp;M-Non-Ferros-Metal-Equipments and Calcination</t>
  </si>
  <si>
    <t>P&amp;M-Non-Ferros-Metal-Copper Smelter</t>
  </si>
  <si>
    <t>P&amp;M-Non-Ferros-Metal-Roll Grinder</t>
  </si>
  <si>
    <t>P&amp;M-Non-Ferros-Metal-Soaking Pit</t>
  </si>
  <si>
    <t>P&amp;M-Non-Ferros-Metal-Annealing Furnace</t>
  </si>
  <si>
    <t>P&amp;M-Non-Ferros-Metal-Rolling Mills</t>
  </si>
  <si>
    <t>P&amp;M-Non-Ferros-Metal-Equipment for Scalping, Slitting etc.</t>
  </si>
  <si>
    <t>P&amp;M-Non-Ferros-Metal-Surface Miner, Ripper Dozer etc used in Mines</t>
  </si>
  <si>
    <t>P&amp;M-Non-Ferros-Metal-Copper Refining Plant</t>
  </si>
  <si>
    <t>P&amp;M-Medical-Surgical-Machinery</t>
  </si>
  <si>
    <t>P&amp;M-Medical-Surgical-Other Equipments</t>
  </si>
  <si>
    <t>P&amp;M-Pharma-Chemicals-Reactors</t>
  </si>
  <si>
    <t>P&amp;M-Pharma-Chemicals-Distillation Columns</t>
  </si>
  <si>
    <t>P&amp;M-Pharma-Chemicals-Drying Equipments/Centriguges and Decanters</t>
  </si>
  <si>
    <t>P&amp;M-Pharma-Chemicals-Vessel/Storage Tanks</t>
  </si>
  <si>
    <t>P&amp;M-Civil Construction-Concreting, Crushing, Piling and Road Making Equipments</t>
  </si>
  <si>
    <t>P&amp;M-Civil Construction-Heavy Lifting Cranes more than  100 Tons</t>
  </si>
  <si>
    <t>P&amp;M-Civil Construction-Heavy Lifting Cranes less than 100 Tons</t>
  </si>
  <si>
    <t>P&amp;M-Civil Construction-Transmission Lines, Tunneling Eqipments</t>
  </si>
  <si>
    <t>P&amp;M-Civil Construction-Earth Moving Equipments</t>
  </si>
  <si>
    <t>P&amp;M-Civil Construction-Others</t>
  </si>
  <si>
    <t>P&amp;M-Civil Salt Works</t>
  </si>
  <si>
    <t xml:space="preserve">Furniture &amp; Fixture-General </t>
  </si>
  <si>
    <t>Furniture &amp; Fixture-Hotels, Schools, Cinema, Functions etc.</t>
  </si>
  <si>
    <t>MV-Motor Cycles, Scooters, Mopeds</t>
  </si>
  <si>
    <t>MV-Buses, Lorries, Cars and Taxies used in business of hire</t>
  </si>
  <si>
    <t>MV-Buses, Lorries, Cars and Taxies other than used in business of hire</t>
  </si>
  <si>
    <t>MV-Tractors, Harvesting Combines, Heavy Vehicles</t>
  </si>
  <si>
    <t>MV-Electric, Battery or Fuel Cell Powered Vehicles</t>
  </si>
  <si>
    <t>Ships-Ocean Going-Bulk Carriers and Liner Vessels</t>
  </si>
  <si>
    <t>Ships-Ocean Going-Crude tankers, product Carriers &amp; Easy Chemical Carriers</t>
  </si>
  <si>
    <t>Ships-Ocean Going-Chemical and Acid Carriers-Stainless Steel tanks</t>
  </si>
  <si>
    <t>Ships-Ocean Going-Chemical and Acid Carriers-other tanks</t>
  </si>
  <si>
    <t>Ships-Ocean Going-Chemical and Acid Carriers-Liquified Gas Carriers</t>
  </si>
  <si>
    <t>Ships-Ocean Going-Large Pessenger Vessels</t>
  </si>
  <si>
    <t>Ships-Ocean Going-Coastal Service</t>
  </si>
  <si>
    <t>Ships-Ocean Going-Offshore Supply &amp; Support</t>
  </si>
  <si>
    <t>Ships-Ocean Going-Catamarans, Other High Spped Ships/Boats</t>
  </si>
  <si>
    <t>Ships-Ocean Going-Drill Ships</t>
  </si>
  <si>
    <t>Ships-Ocean Going-Hovercrafts</t>
  </si>
  <si>
    <t>Ships-Ocean Going-Fishing Vessel with Wooden Hull</t>
  </si>
  <si>
    <t>Ships-Ocean Going-Dredgers</t>
  </si>
  <si>
    <t>Ships-Inland-Waters-Speed Boats</t>
  </si>
  <si>
    <t>Ships-Inland-Waters-Other Vessels</t>
  </si>
  <si>
    <t>Aircraft or Helicopters</t>
  </si>
  <si>
    <t>Railway Siding etc.</t>
  </si>
  <si>
    <t>Ropeway Structures</t>
  </si>
  <si>
    <t>Office Equipments</t>
  </si>
  <si>
    <t>Computer &amp; Data Processing Units-Servers &amp; Networks</t>
  </si>
  <si>
    <t>Computer &amp; Data Processing Units-End User Devices-Desktops, Laptops</t>
  </si>
  <si>
    <t>Laboratory Equipments-General</t>
  </si>
  <si>
    <t>Laboratory Equipments-Educational Equipments</t>
  </si>
  <si>
    <t>Electrical Installation &amp; Equipments</t>
  </si>
  <si>
    <t>Hydraulic Works, Pipelines &amp; Sluices</t>
  </si>
  <si>
    <t>Useful life
(In Years)</t>
  </si>
  <si>
    <t>WDV</t>
  </si>
  <si>
    <t xml:space="preserve">Select Method :- </t>
  </si>
  <si>
    <t>SN</t>
  </si>
  <si>
    <t>Rate of Dep'n</t>
  </si>
  <si>
    <t>W.D.V.</t>
  </si>
  <si>
    <r>
      <t xml:space="preserve">Purchase dt
</t>
    </r>
    <r>
      <rPr>
        <sz val="8"/>
        <color indexed="8"/>
        <rFont val="Times New Roman"/>
        <family val="1"/>
      </rPr>
      <t>(MM/DD/YYYY)</t>
    </r>
  </si>
  <si>
    <t>Days used for the year</t>
  </si>
  <si>
    <t>SLM</t>
  </si>
  <si>
    <t>Days Remaining</t>
  </si>
  <si>
    <t>Years Remaining</t>
  </si>
  <si>
    <t>Addition</t>
  </si>
  <si>
    <t>Deletion</t>
  </si>
  <si>
    <t>Depreciable Value</t>
  </si>
  <si>
    <t>Depr'n for the Year</t>
  </si>
  <si>
    <t>Retain Earning Effect</t>
  </si>
  <si>
    <t>Rate</t>
  </si>
  <si>
    <t>Factory Building</t>
  </si>
  <si>
    <t>Furniture</t>
  </si>
  <si>
    <t>Office equipments</t>
  </si>
  <si>
    <t>Computer &amp; Printer</t>
  </si>
  <si>
    <t>Computer &amp; Software</t>
  </si>
  <si>
    <t>Electric Installation</t>
  </si>
  <si>
    <r>
      <t xml:space="preserve">Sale dt
</t>
    </r>
    <r>
      <rPr>
        <sz val="8"/>
        <color indexed="8"/>
        <rFont val="Times New Roman"/>
        <family val="1"/>
      </rPr>
      <t>(MM/DD/YYYY)</t>
    </r>
  </si>
  <si>
    <t>Sale</t>
  </si>
  <si>
    <t>Purchase cost</t>
  </si>
  <si>
    <t>Motor Cycle (9741)</t>
  </si>
  <si>
    <t>Car (4586)</t>
  </si>
  <si>
    <t>Truck (1458)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</si>
</sst>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409]d\-mmm\-yyyy;@"/>
    <numFmt numFmtId="166" formatCode="dd/mm/yyyy;@"/>
    <numFmt numFmtId="167" formatCode="[$-409]dd\-mmm\-yy;@"/>
    <numFmt numFmtId="168" formatCode="#,##0_ ;\-#,##0\ "/>
    <numFmt numFmtId="169" formatCode="0_ ;\-0\ "/>
  </numFmts>
  <fonts count="25">
    <font>
      <sz val="11"/>
      <color indexed="8"/>
      <name val="Calibri"/>
      <family val="2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34"/>
    </font>
    <font>
      <sz val="12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4"/>
      <color indexed="10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sz val="9"/>
      <color indexed="81"/>
      <name val="宋体"/>
      <charset val="134"/>
    </font>
    <font>
      <sz val="11"/>
      <color indexed="8"/>
      <name val="Calibri"/>
      <family val="2"/>
      <charset val="134"/>
    </font>
    <font>
      <b/>
      <sz val="10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0"/>
      <name val="Times New Roman"/>
      <family val="1"/>
    </font>
    <font>
      <sz val="8"/>
      <color indexed="8"/>
      <name val="Times New Roman"/>
      <family val="1"/>
    </font>
    <font>
      <b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7" fillId="0" borderId="0"/>
    <xf numFmtId="0" fontId="18" fillId="0" borderId="0"/>
    <xf numFmtId="9" fontId="18" fillId="0" borderId="0" applyFont="0" applyFill="0" applyBorder="0" applyAlignment="0" applyProtection="0"/>
  </cellStyleXfs>
  <cellXfs count="120">
    <xf numFmtId="0" fontId="0" fillId="0" borderId="0" xfId="0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5" xfId="0" applyFont="1" applyBorder="1" applyAlignment="1"/>
    <xf numFmtId="9" fontId="5" fillId="0" borderId="0" xfId="0" applyNumberFormat="1" applyFont="1" applyBorder="1" applyAlignment="1"/>
    <xf numFmtId="0" fontId="5" fillId="2" borderId="5" xfId="0" applyFont="1" applyFill="1" applyBorder="1" applyAlignment="1"/>
    <xf numFmtId="0" fontId="6" fillId="0" borderId="6" xfId="0" applyFont="1" applyBorder="1" applyAlignment="1"/>
    <xf numFmtId="0" fontId="5" fillId="0" borderId="7" xfId="0" applyFont="1" applyBorder="1" applyAlignment="1"/>
    <xf numFmtId="0" fontId="5" fillId="0" borderId="6" xfId="0" applyFont="1" applyBorder="1" applyAlignment="1"/>
    <xf numFmtId="0" fontId="5" fillId="0" borderId="4" xfId="0" applyFont="1" applyBorder="1" applyAlignment="1"/>
    <xf numFmtId="0" fontId="5" fillId="0" borderId="8" xfId="0" applyFont="1" applyBorder="1" applyAlignment="1"/>
    <xf numFmtId="0" fontId="5" fillId="2" borderId="0" xfId="0" applyFont="1" applyFill="1" applyBorder="1" applyAlignment="1"/>
    <xf numFmtId="1" fontId="5" fillId="0" borderId="5" xfId="0" applyNumberFormat="1" applyFont="1" applyBorder="1" applyAlignment="1"/>
    <xf numFmtId="1" fontId="6" fillId="0" borderId="6" xfId="0" applyNumberFormat="1" applyFont="1" applyBorder="1" applyAlignment="1"/>
    <xf numFmtId="0" fontId="6" fillId="0" borderId="9" xfId="0" applyFont="1" applyBorder="1" applyAlignment="1"/>
    <xf numFmtId="0" fontId="5" fillId="0" borderId="10" xfId="0" applyFont="1" applyBorder="1" applyAlignment="1"/>
    <xf numFmtId="1" fontId="6" fillId="0" borderId="11" xfId="0" applyNumberFormat="1" applyFont="1" applyBorder="1" applyAlignment="1"/>
    <xf numFmtId="1" fontId="6" fillId="0" borderId="12" xfId="0" applyNumberFormat="1" applyFont="1" applyBorder="1" applyAlignment="1"/>
    <xf numFmtId="0" fontId="14" fillId="0" borderId="0" xfId="0" applyFont="1" applyAlignment="1"/>
    <xf numFmtId="0" fontId="15" fillId="0" borderId="0" xfId="0" applyFont="1" applyAlignment="1"/>
    <xf numFmtId="0" fontId="14" fillId="0" borderId="7" xfId="0" applyFont="1" applyBorder="1" applyAlignment="1"/>
    <xf numFmtId="0" fontId="0" fillId="0" borderId="7" xfId="0" applyBorder="1" applyAlignment="1"/>
    <xf numFmtId="166" fontId="0" fillId="0" borderId="0" xfId="0" applyNumberFormat="1" applyAlignment="1"/>
    <xf numFmtId="166" fontId="0" fillId="0" borderId="7" xfId="0" applyNumberFormat="1" applyBorder="1" applyAlignment="1"/>
    <xf numFmtId="1" fontId="0" fillId="0" borderId="0" xfId="0" applyNumberFormat="1" applyAlignmen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47" applyFont="1"/>
    <xf numFmtId="0" fontId="2" fillId="0" borderId="0" xfId="47"/>
    <xf numFmtId="164" fontId="0" fillId="0" borderId="0" xfId="48" applyFont="1"/>
    <xf numFmtId="10" fontId="0" fillId="0" borderId="0" xfId="46" applyNumberFormat="1" applyFont="1" applyAlignment="1">
      <alignment horizontal="center"/>
    </xf>
    <xf numFmtId="1" fontId="14" fillId="0" borderId="7" xfId="0" applyNumberFormat="1" applyFont="1" applyBorder="1" applyAlignment="1"/>
    <xf numFmtId="166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Border="1" applyAlignment="1"/>
    <xf numFmtId="0" fontId="14" fillId="0" borderId="0" xfId="0" applyFont="1" applyBorder="1" applyAlignment="1"/>
    <xf numFmtId="166" fontId="0" fillId="0" borderId="0" xfId="0" applyNumberForma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1" fontId="14" fillId="0" borderId="0" xfId="0" applyNumberFormat="1" applyFont="1" applyBorder="1" applyAlignment="1"/>
    <xf numFmtId="1" fontId="0" fillId="0" borderId="0" xfId="0" applyNumberFormat="1" applyBorder="1" applyAlignment="1"/>
    <xf numFmtId="0" fontId="2" fillId="0" borderId="0" xfId="47" applyAlignment="1">
      <alignment horizontal="center"/>
    </xf>
    <xf numFmtId="0" fontId="16" fillId="0" borderId="6" xfId="47" applyFont="1" applyBorder="1" applyAlignment="1">
      <alignment horizontal="center"/>
    </xf>
    <xf numFmtId="0" fontId="2" fillId="0" borderId="6" xfId="47" applyBorder="1" applyAlignment="1">
      <alignment horizontal="center"/>
    </xf>
    <xf numFmtId="10" fontId="2" fillId="0" borderId="6" xfId="47" applyNumberFormat="1" applyBorder="1" applyAlignment="1">
      <alignment horizontal="center"/>
    </xf>
    <xf numFmtId="0" fontId="18" fillId="0" borderId="0" xfId="50" applyFill="1" applyBorder="1" applyAlignment="1">
      <alignment horizontal="left" vertical="top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167" fontId="20" fillId="0" borderId="6" xfId="0" applyNumberFormat="1" applyFont="1" applyBorder="1" applyAlignment="1">
      <alignment horizontal="center" vertical="center"/>
    </xf>
    <xf numFmtId="167" fontId="22" fillId="5" borderId="0" xfId="0" applyNumberFormat="1" applyFont="1" applyFill="1" applyAlignment="1" applyProtection="1">
      <alignment horizontal="center"/>
      <protection locked="0" hidden="1"/>
    </xf>
    <xf numFmtId="0" fontId="20" fillId="0" borderId="0" xfId="0" applyFont="1" applyAlignment="1">
      <alignment vertical="center"/>
    </xf>
    <xf numFmtId="0" fontId="20" fillId="4" borderId="6" xfId="0" applyFont="1" applyFill="1" applyBorder="1" applyAlignment="1" applyProtection="1">
      <alignment horizontal="center" vertical="center"/>
      <protection hidden="1"/>
    </xf>
    <xf numFmtId="0" fontId="20" fillId="4" borderId="6" xfId="0" applyFont="1" applyFill="1" applyBorder="1" applyAlignment="1" applyProtection="1">
      <alignment horizontal="center" vertical="center" wrapText="1"/>
      <protection hidden="1"/>
    </xf>
    <xf numFmtId="0" fontId="20" fillId="4" borderId="13" xfId="0" applyFont="1" applyFill="1" applyBorder="1" applyAlignment="1" applyProtection="1">
      <alignment horizontal="center" vertical="center" wrapText="1"/>
      <protection hidden="1"/>
    </xf>
    <xf numFmtId="167" fontId="20" fillId="4" borderId="6" xfId="0" applyNumberFormat="1" applyFont="1" applyFill="1" applyBorder="1" applyAlignment="1" applyProtection="1">
      <alignment horizontal="center" vertical="center" wrapText="1"/>
      <protection hidden="1"/>
    </xf>
    <xf numFmtId="10" fontId="20" fillId="0" borderId="13" xfId="46" applyNumberFormat="1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0" fillId="4" borderId="6" xfId="0" applyNumberFormat="1" applyFont="1" applyFill="1" applyBorder="1" applyAlignment="1" applyProtection="1">
      <alignment horizontal="center" vertical="center" wrapText="1"/>
      <protection hidden="1"/>
    </xf>
    <xf numFmtId="169" fontId="20" fillId="4" borderId="6" xfId="0" applyNumberFormat="1" applyFont="1" applyFill="1" applyBorder="1" applyAlignment="1" applyProtection="1">
      <alignment horizontal="center" vertical="center" wrapText="1"/>
      <protection hidden="1"/>
    </xf>
    <xf numFmtId="169" fontId="20" fillId="0" borderId="6" xfId="0" applyNumberFormat="1" applyFont="1" applyBorder="1" applyAlignment="1">
      <alignment vertical="center"/>
    </xf>
    <xf numFmtId="1" fontId="24" fillId="0" borderId="0" xfId="0" applyNumberFormat="1" applyFont="1" applyFill="1" applyAlignment="1" applyProtection="1">
      <alignment horizontal="center"/>
      <protection locked="0" hidden="1"/>
    </xf>
    <xf numFmtId="169" fontId="24" fillId="0" borderId="0" xfId="0" applyNumberFormat="1" applyFont="1" applyFill="1" applyAlignment="1" applyProtection="1">
      <alignment horizontal="center"/>
      <protection locked="0" hidden="1"/>
    </xf>
    <xf numFmtId="168" fontId="20" fillId="4" borderId="13" xfId="0" applyNumberFormat="1" applyFont="1" applyFill="1" applyBorder="1" applyAlignment="1" applyProtection="1">
      <alignment horizontal="center" vertical="center" wrapText="1"/>
      <protection hidden="1"/>
    </xf>
    <xf numFmtId="168" fontId="20" fillId="0" borderId="13" xfId="0" applyNumberFormat="1" applyFont="1" applyBorder="1" applyAlignment="1">
      <alignment vertical="center"/>
    </xf>
    <xf numFmtId="168" fontId="20" fillId="0" borderId="0" xfId="0" applyNumberFormat="1" applyFont="1" applyBorder="1" applyAlignment="1">
      <alignment vertical="center"/>
    </xf>
    <xf numFmtId="1" fontId="20" fillId="0" borderId="6" xfId="0" applyNumberFormat="1" applyFont="1" applyBorder="1" applyAlignment="1">
      <alignment vertical="center"/>
    </xf>
    <xf numFmtId="1" fontId="20" fillId="4" borderId="6" xfId="0" applyNumberFormat="1" applyFont="1" applyFill="1" applyBorder="1" applyAlignment="1" applyProtection="1">
      <alignment horizontal="center" vertical="center" wrapText="1"/>
      <protection hidden="1"/>
    </xf>
    <xf numFmtId="37" fontId="20" fillId="0" borderId="6" xfId="0" applyNumberFormat="1" applyFont="1" applyBorder="1" applyAlignment="1">
      <alignment vertical="center"/>
    </xf>
    <xf numFmtId="37" fontId="20" fillId="4" borderId="6" xfId="0" applyNumberFormat="1" applyFont="1" applyFill="1" applyBorder="1" applyAlignment="1" applyProtection="1">
      <alignment horizontal="center" vertical="center" wrapText="1"/>
      <protection hidden="1"/>
    </xf>
    <xf numFmtId="10" fontId="1" fillId="0" borderId="6" xfId="47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1" fillId="3" borderId="1" xfId="8" applyFont="1" applyFill="1" applyBorder="1" applyAlignment="1">
      <alignment horizontal="center" vertical="center" wrapText="1"/>
    </xf>
    <xf numFmtId="0" fontId="11" fillId="3" borderId="4" xfId="8" applyFont="1" applyFill="1" applyBorder="1" applyAlignment="1">
      <alignment horizontal="center" vertical="center" wrapText="1"/>
    </xf>
    <xf numFmtId="0" fontId="11" fillId="3" borderId="6" xfId="8" applyFont="1" applyFill="1" applyBorder="1" applyAlignment="1">
      <alignment horizontal="center" vertical="center"/>
    </xf>
    <xf numFmtId="0" fontId="12" fillId="3" borderId="6" xfId="8" applyFont="1" applyFill="1" applyBorder="1" applyAlignment="1">
      <alignment horizontal="center" vertical="center"/>
    </xf>
    <xf numFmtId="166" fontId="11" fillId="3" borderId="1" xfId="8" applyNumberFormat="1" applyFont="1" applyFill="1" applyBorder="1" applyAlignment="1">
      <alignment horizontal="center" vertical="center" wrapText="1"/>
    </xf>
    <xf numFmtId="166" fontId="13" fillId="0" borderId="4" xfId="8" applyNumberFormat="1" applyFont="1" applyFill="1" applyBorder="1" applyAlignment="1">
      <alignment horizontal="center" vertical="center" wrapText="1"/>
    </xf>
    <xf numFmtId="0" fontId="11" fillId="3" borderId="6" xfId="8" applyFont="1" applyFill="1" applyBorder="1" applyAlignment="1">
      <alignment horizontal="center" vertical="center" wrapText="1"/>
    </xf>
    <xf numFmtId="0" fontId="12" fillId="3" borderId="6" xfId="8" applyFont="1" applyFill="1" applyBorder="1" applyAlignment="1">
      <alignment horizontal="center" vertical="center" wrapText="1"/>
    </xf>
    <xf numFmtId="1" fontId="11" fillId="3" borderId="6" xfId="8" applyNumberFormat="1" applyFont="1" applyFill="1" applyBorder="1" applyAlignment="1">
      <alignment horizontal="center" vertical="center" wrapText="1"/>
    </xf>
    <xf numFmtId="1" fontId="13" fillId="0" borderId="6" xfId="8" applyNumberFormat="1" applyFont="1" applyBorder="1" applyAlignment="1">
      <alignment horizontal="center" vertical="center" wrapText="1"/>
    </xf>
    <xf numFmtId="1" fontId="11" fillId="3" borderId="1" xfId="8" applyNumberFormat="1" applyFont="1" applyFill="1" applyBorder="1" applyAlignment="1">
      <alignment horizontal="center" vertical="center" wrapText="1"/>
    </xf>
    <xf numFmtId="1" fontId="12" fillId="3" borderId="4" xfId="8" applyNumberFormat="1" applyFont="1" applyFill="1" applyBorder="1" applyAlignment="1">
      <alignment horizontal="center" vertical="center" wrapText="1"/>
    </xf>
    <xf numFmtId="0" fontId="13" fillId="0" borderId="6" xfId="8" applyFont="1" applyFill="1" applyBorder="1" applyAlignment="1">
      <alignment horizontal="center" vertical="center" wrapText="1"/>
    </xf>
    <xf numFmtId="165" fontId="11" fillId="3" borderId="6" xfId="8" applyNumberFormat="1" applyFont="1" applyFill="1" applyBorder="1" applyAlignment="1">
      <alignment horizontal="center" vertical="center" wrapText="1"/>
    </xf>
    <xf numFmtId="0" fontId="13" fillId="0" borderId="6" xfId="8" applyFont="1" applyBorder="1" applyAlignment="1">
      <alignment horizontal="center" vertical="center" wrapText="1"/>
    </xf>
    <xf numFmtId="165" fontId="11" fillId="3" borderId="1" xfId="8" applyNumberFormat="1" applyFont="1" applyFill="1" applyBorder="1" applyAlignment="1">
      <alignment horizontal="center" vertical="center" wrapText="1"/>
    </xf>
    <xf numFmtId="165" fontId="11" fillId="3" borderId="4" xfId="8" applyNumberFormat="1" applyFont="1" applyFill="1" applyBorder="1" applyAlignment="1">
      <alignment horizontal="center" vertical="center" wrapText="1"/>
    </xf>
    <xf numFmtId="1" fontId="11" fillId="3" borderId="4" xfId="8" applyNumberFormat="1" applyFont="1" applyFill="1" applyBorder="1" applyAlignment="1">
      <alignment horizontal="center" vertical="center" wrapText="1"/>
    </xf>
    <xf numFmtId="0" fontId="18" fillId="0" borderId="0" xfId="50" applyFill="1" applyBorder="1" applyAlignment="1">
      <alignment horizontal="center" vertical="top"/>
    </xf>
    <xf numFmtId="0" fontId="18" fillId="0" borderId="6" xfId="50" applyFill="1" applyBorder="1" applyAlignment="1">
      <alignment vertical="top" wrapText="1"/>
    </xf>
    <xf numFmtId="10" fontId="0" fillId="0" borderId="6" xfId="51" applyNumberFormat="1" applyFont="1" applyFill="1" applyBorder="1" applyAlignment="1">
      <alignment vertical="top" wrapText="1"/>
    </xf>
    <xf numFmtId="0" fontId="18" fillId="0" borderId="6" xfId="50" applyFont="1" applyFill="1" applyBorder="1" applyAlignment="1">
      <alignment vertical="top" wrapText="1"/>
    </xf>
    <xf numFmtId="0" fontId="18" fillId="0" borderId="6" xfId="50" applyFill="1" applyBorder="1" applyAlignment="1">
      <alignment vertical="top"/>
    </xf>
    <xf numFmtId="0" fontId="18" fillId="0" borderId="6" xfId="50" applyFill="1" applyBorder="1" applyAlignment="1">
      <alignment horizontal="center" vertical="top" wrapText="1"/>
    </xf>
    <xf numFmtId="0" fontId="18" fillId="0" borderId="6" xfId="50" applyFill="1" applyBorder="1" applyAlignment="1">
      <alignment horizontal="center" vertical="top"/>
    </xf>
    <xf numFmtId="0" fontId="19" fillId="0" borderId="6" xfId="50" applyFont="1" applyFill="1" applyBorder="1" applyAlignment="1">
      <alignment horizontal="center" vertical="center" wrapText="1"/>
    </xf>
    <xf numFmtId="0" fontId="19" fillId="0" borderId="6" xfId="50" applyFont="1" applyFill="1" applyBorder="1" applyAlignment="1">
      <alignment vertical="center" wrapText="1"/>
    </xf>
    <xf numFmtId="0" fontId="19" fillId="0" borderId="6" xfId="50" applyFont="1" applyFill="1" applyBorder="1" applyAlignment="1">
      <alignment vertical="center" wrapText="1"/>
    </xf>
    <xf numFmtId="0" fontId="18" fillId="0" borderId="0" xfId="50" applyFill="1" applyBorder="1" applyAlignment="1">
      <alignment horizontal="left" vertical="center"/>
    </xf>
    <xf numFmtId="0" fontId="18" fillId="0" borderId="6" xfId="50" applyFill="1" applyBorder="1" applyAlignment="1">
      <alignment horizontal="left" vertical="top"/>
    </xf>
    <xf numFmtId="0" fontId="20" fillId="6" borderId="6" xfId="0" applyFont="1" applyFill="1" applyBorder="1" applyAlignment="1">
      <alignment horizontal="center" vertical="center"/>
    </xf>
    <xf numFmtId="168" fontId="20" fillId="6" borderId="6" xfId="0" applyNumberFormat="1" applyFont="1" applyFill="1" applyBorder="1" applyAlignment="1">
      <alignment vertical="center"/>
    </xf>
    <xf numFmtId="169" fontId="20" fillId="6" borderId="6" xfId="0" applyNumberFormat="1" applyFont="1" applyFill="1" applyBorder="1" applyAlignment="1">
      <alignment horizontal="center" vertical="center"/>
    </xf>
    <xf numFmtId="168" fontId="20" fillId="6" borderId="6" xfId="0" applyNumberFormat="1" applyFont="1" applyFill="1" applyBorder="1" applyAlignment="1">
      <alignment horizontal="center" vertical="center"/>
    </xf>
    <xf numFmtId="168" fontId="20" fillId="6" borderId="13" xfId="0" applyNumberFormat="1" applyFont="1" applyFill="1" applyBorder="1" applyAlignment="1">
      <alignment horizontal="center" vertical="center"/>
    </xf>
    <xf numFmtId="10" fontId="20" fillId="6" borderId="13" xfId="46" applyNumberFormat="1" applyFont="1" applyFill="1" applyBorder="1" applyAlignment="1">
      <alignment horizontal="center" vertical="center"/>
    </xf>
    <xf numFmtId="37" fontId="20" fillId="6" borderId="6" xfId="0" applyNumberFormat="1" applyFont="1" applyFill="1" applyBorder="1" applyAlignment="1">
      <alignment horizontal="right" vertical="center"/>
    </xf>
  </cellXfs>
  <cellStyles count="52">
    <cellStyle name="Comma 2" xfId="48"/>
    <cellStyle name="Normal" xfId="0" builtinId="0"/>
    <cellStyle name="Normal - Style1" xfId="3"/>
    <cellStyle name="Normal 10" xfId="10"/>
    <cellStyle name="Normal 11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1"/>
    <cellStyle name="Normal 20" xfId="20"/>
    <cellStyle name="Normal 21" xfId="21"/>
    <cellStyle name="Normal 22" xfId="22"/>
    <cellStyle name="Normal 23" xfId="23"/>
    <cellStyle name="Normal 24" xfId="24"/>
    <cellStyle name="Normal 25" xfId="25"/>
    <cellStyle name="Normal 26" xfId="26"/>
    <cellStyle name="Normal 27" xfId="27"/>
    <cellStyle name="Normal 28" xfId="28"/>
    <cellStyle name="Normal 29" xfId="29"/>
    <cellStyle name="Normal 3" xfId="2"/>
    <cellStyle name="Normal 30" xfId="30"/>
    <cellStyle name="Normal 31" xfId="31"/>
    <cellStyle name="Normal 32" xfId="32"/>
    <cellStyle name="Normal 33" xfId="33"/>
    <cellStyle name="Normal 34" xfId="34"/>
    <cellStyle name="Normal 35" xfId="35"/>
    <cellStyle name="Normal 36" xfId="36"/>
    <cellStyle name="Normal 37" xfId="47"/>
    <cellStyle name="Normal 38" xfId="37"/>
    <cellStyle name="Normal 39" xfId="38"/>
    <cellStyle name="Normal 4" xfId="4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50"/>
    <cellStyle name="Normal 5" xfId="5"/>
    <cellStyle name="Normal 6" xfId="6"/>
    <cellStyle name="Normal 7" xfId="7"/>
    <cellStyle name="Normal 8" xfId="8"/>
    <cellStyle name="Normal 8 2 2" xfId="49"/>
    <cellStyle name="Normal 9" xfId="9"/>
    <cellStyle name="Percent" xfId="46" builtinId="5"/>
    <cellStyle name="Percent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reciation-cos-act-2013-calculator-v15-501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ssets"/>
      <sheetName val="Openings"/>
      <sheetName val="Rate Table"/>
      <sheetName val="Useful Life"/>
      <sheetName val="working sheet"/>
      <sheetName val="Additions"/>
      <sheetName val="Opening-Deletions"/>
      <sheetName val="Compilation"/>
      <sheetName val="Depreciation-Chart"/>
    </sheetNames>
    <sheetDataSet>
      <sheetData sheetId="0">
        <row r="3">
          <cell r="B3" t="str">
            <v>Asset Name</v>
          </cell>
        </row>
        <row r="4">
          <cell r="B4" t="str">
            <v>Car</v>
          </cell>
        </row>
        <row r="5">
          <cell r="B5" t="str">
            <v>Building</v>
          </cell>
        </row>
        <row r="6">
          <cell r="B6" t="str">
            <v>Furniture</v>
          </cell>
        </row>
        <row r="7">
          <cell r="B7" t="str">
            <v>computer</v>
          </cell>
        </row>
      </sheetData>
      <sheetData sheetId="1">
        <row r="1">
          <cell r="P1" t="str">
            <v>WDV</v>
          </cell>
        </row>
        <row r="2">
          <cell r="P2" t="str">
            <v>SLM</v>
          </cell>
        </row>
      </sheetData>
      <sheetData sheetId="2" refreshError="1"/>
      <sheetData sheetId="3">
        <row r="6">
          <cell r="B6" t="str">
            <v>Buildings (other than factory building) RCC Frame Structure</v>
          </cell>
        </row>
        <row r="7">
          <cell r="B7" t="str">
            <v>Buildings (other than factory building) Other than RCC Frame Structure</v>
          </cell>
        </row>
        <row r="8">
          <cell r="B8" t="str">
            <v>Buildings-Factory Building</v>
          </cell>
        </row>
        <row r="9">
          <cell r="B9" t="str">
            <v>Buildings-Fences, Wells, Tube Wells</v>
          </cell>
        </row>
        <row r="10">
          <cell r="B10" t="str">
            <v>Buildings-Others (including temporary structures etc.)</v>
          </cell>
        </row>
        <row r="11">
          <cell r="B11" t="str">
            <v xml:space="preserve">Bridges, Culverts, Bunders, etc. </v>
          </cell>
        </row>
        <row r="12">
          <cell r="B12" t="str">
            <v>Roads-Carpeted Roads-RCC</v>
          </cell>
        </row>
        <row r="13">
          <cell r="B13" t="str">
            <v>Roads-Carpeted Roads-Other than RCC</v>
          </cell>
        </row>
        <row r="14">
          <cell r="B14" t="str">
            <v>Roads-Non-Carpeted Roads</v>
          </cell>
        </row>
        <row r="15">
          <cell r="B15" t="str">
            <v>P&amp;M-General Plant &amp; Machinery</v>
          </cell>
        </row>
        <row r="16">
          <cell r="B16" t="str">
            <v>P&amp;M-Continuous Process Plant</v>
          </cell>
        </row>
        <row r="17">
          <cell r="B17" t="str">
            <v>P&amp;M-Cinematograph Films</v>
          </cell>
        </row>
        <row r="18">
          <cell r="B18" t="str">
            <v>P&amp;M-Projecting Equipments-for Film Exhibition</v>
          </cell>
        </row>
        <row r="19">
          <cell r="B19" t="str">
            <v>P&amp;M-Recuperative, regenerative Glass Melting Furnaces</v>
          </cell>
        </row>
        <row r="20">
          <cell r="B20" t="str">
            <v>P&amp;M-Glass Manufacturing Moulds</v>
          </cell>
        </row>
        <row r="21">
          <cell r="B21" t="str">
            <v>P&amp;M-Float Glass Melting Furnaces</v>
          </cell>
        </row>
        <row r="22">
          <cell r="B22" t="str">
            <v>P&amp;M-Mine &amp; Quarries</v>
          </cell>
        </row>
        <row r="23">
          <cell r="B23" t="str">
            <v>P&amp;M-Telecommunication Towers</v>
          </cell>
        </row>
        <row r="24">
          <cell r="B24" t="str">
            <v>P&amp;M-Telecom Network Equipments</v>
          </cell>
        </row>
        <row r="25">
          <cell r="B25" t="str">
            <v>P&amp;M-Telecom-Ducts, Cables &amp; Optical Fibre</v>
          </cell>
        </row>
        <row r="26">
          <cell r="B26" t="str">
            <v>P&amp;M-Satellites</v>
          </cell>
        </row>
        <row r="27">
          <cell r="B27" t="str">
            <v>P&amp;M-Oil and Gas Refineries</v>
          </cell>
        </row>
        <row r="28">
          <cell r="B28" t="str">
            <v>P&amp;M-Oil and Gas Assets Processing Plants &amp; Facilities</v>
          </cell>
        </row>
        <row r="29">
          <cell r="B29" t="str">
            <v>P&amp;M-Oil and Gas Petrochemical Plant</v>
          </cell>
        </row>
        <row r="30">
          <cell r="B30" t="str">
            <v>P&amp;M-Oil and Gas Storage Tanks and Related Equipments</v>
          </cell>
        </row>
        <row r="31">
          <cell r="B31" t="str">
            <v>P&amp;M-Oil and Gas Pipelines</v>
          </cell>
        </row>
        <row r="32">
          <cell r="B32" t="str">
            <v>P&amp;M-Oil and Gas Drilling Rig</v>
          </cell>
        </row>
        <row r="33">
          <cell r="B33" t="str">
            <v>P&amp;M-Oil and Gas Field Operation above Ground</v>
          </cell>
        </row>
        <row r="34">
          <cell r="B34" t="str">
            <v>P&amp;M-Oil and Gas Loggers</v>
          </cell>
        </row>
        <row r="35">
          <cell r="B35" t="str">
            <v>P&amp;M-Power-Thermal/Gas/Combined Cycle Plant</v>
          </cell>
        </row>
        <row r="36">
          <cell r="B36" t="str">
            <v>P&amp;M-Power-Hydro Plant</v>
          </cell>
        </row>
        <row r="37">
          <cell r="B37" t="str">
            <v>P&amp;M-Power-Nuclear Plant</v>
          </cell>
        </row>
        <row r="38">
          <cell r="B38" t="str">
            <v>P&amp;M-Power-Transmission Lines, Cables, other Network Assets</v>
          </cell>
        </row>
        <row r="39">
          <cell r="B39" t="str">
            <v>P&amp;M-Power-Wind Power Plant</v>
          </cell>
        </row>
        <row r="40">
          <cell r="B40" t="str">
            <v>P&amp;M-Power-Electric Distribution Plant</v>
          </cell>
        </row>
        <row r="41">
          <cell r="B41" t="str">
            <v>P&amp;M-Power-Gas Storage, Distribution Plant</v>
          </cell>
        </row>
        <row r="42">
          <cell r="B42" t="str">
            <v>P&amp;M-Power-Water Distribution Plant including Pipelines</v>
          </cell>
        </row>
        <row r="43">
          <cell r="B43" t="str">
            <v>P&amp;M-Steel-Sinter Plant</v>
          </cell>
        </row>
        <row r="44">
          <cell r="B44" t="str">
            <v>P&amp;M-Steel-Blast Furnace</v>
          </cell>
        </row>
        <row r="45">
          <cell r="B45" t="str">
            <v>P&amp;M-Steel-Coke Ovens</v>
          </cell>
        </row>
        <row r="46">
          <cell r="B46" t="str">
            <v>P&amp;M-Steel-Rolling Mills in Steel Plant</v>
          </cell>
        </row>
        <row r="47">
          <cell r="B47" t="str">
            <v>P&amp;M-Steel-Basic Oxygen Furnace Converter</v>
          </cell>
        </row>
        <row r="48">
          <cell r="B48" t="str">
            <v>P&amp;M-Non-Ferros-Metal-Pot Line</v>
          </cell>
        </row>
        <row r="49">
          <cell r="B49" t="str">
            <v>P&amp;M-Non-Ferros-Metal-Bauxite Crushing, Grinding Section</v>
          </cell>
        </row>
        <row r="50">
          <cell r="B50" t="str">
            <v>P&amp;M-Non-Ferros-Metal-Digester Section</v>
          </cell>
        </row>
        <row r="51">
          <cell r="B51" t="str">
            <v>P&amp;M-Non-Ferros-Metal-Turbine</v>
          </cell>
        </row>
        <row r="52">
          <cell r="B52" t="str">
            <v>P&amp;M-Non-Ferros-Metal-Equipments and Calcination</v>
          </cell>
        </row>
        <row r="53">
          <cell r="B53" t="str">
            <v>P&amp;M-Non-Ferros-Metal-Copper Smelter</v>
          </cell>
        </row>
        <row r="54">
          <cell r="B54" t="str">
            <v>P&amp;M-Non-Ferros-Metal-Roll Grinder</v>
          </cell>
        </row>
        <row r="55">
          <cell r="B55" t="str">
            <v>P&amp;M-Non-Ferros-Metal-Soaking Pit</v>
          </cell>
        </row>
        <row r="56">
          <cell r="B56" t="str">
            <v>P&amp;M-Non-Ferros-Metal-Annealing Furnace</v>
          </cell>
        </row>
        <row r="57">
          <cell r="B57" t="str">
            <v>P&amp;M-Non-Ferros-Metal-Rolling Mills</v>
          </cell>
        </row>
        <row r="58">
          <cell r="B58" t="str">
            <v>P&amp;M-Non-Ferros-Metal-Equipment for Scalping, Slitting etc.</v>
          </cell>
        </row>
        <row r="59">
          <cell r="B59" t="str">
            <v>P&amp;M-Non-Ferros-Metal-Surface Miner, Ripper Dozer etc used in Mines</v>
          </cell>
        </row>
        <row r="60">
          <cell r="B60" t="str">
            <v>P&amp;M-Non-Ferros-Metal-Copper Refining Plant</v>
          </cell>
        </row>
        <row r="61">
          <cell r="B61" t="str">
            <v>P&amp;M-Medical-Surgical-Machinery</v>
          </cell>
        </row>
        <row r="62">
          <cell r="B62" t="str">
            <v>P&amp;M-Medical-Surgical-Other Equipments</v>
          </cell>
        </row>
        <row r="63">
          <cell r="B63" t="str">
            <v>P&amp;M-Pharma-Chemicals-Reactors</v>
          </cell>
        </row>
        <row r="64">
          <cell r="B64" t="str">
            <v>P&amp;M-Pharma-Chemicals-Distillation Columns</v>
          </cell>
        </row>
        <row r="65">
          <cell r="B65" t="str">
            <v>P&amp;M-Pharma-Chemicals-Drying Equipments/Centriguges and Decanters</v>
          </cell>
        </row>
        <row r="66">
          <cell r="B66" t="str">
            <v>P&amp;M-Pharma-Chemicals-Vessel/Storage Tanks</v>
          </cell>
        </row>
        <row r="67">
          <cell r="B67" t="str">
            <v>P&amp;M-Civil Construction-Concreting, Crushing, Piling and Road Making Equipments</v>
          </cell>
        </row>
        <row r="68">
          <cell r="B68" t="str">
            <v>P&amp;M-Civil Construction-Heavy Lifting Cranes more than  100 Tons</v>
          </cell>
        </row>
        <row r="69">
          <cell r="B69" t="str">
            <v>P&amp;M-Civil Construction-Heavy Lifting Cranes less than 100 Tons</v>
          </cell>
        </row>
        <row r="70">
          <cell r="B70" t="str">
            <v>P&amp;M-Civil Construction-Transmission Lines, Tunneling Eqipments</v>
          </cell>
        </row>
        <row r="71">
          <cell r="B71" t="str">
            <v>P&amp;M-Civil Construction-Earth Moving Equipments</v>
          </cell>
        </row>
        <row r="72">
          <cell r="B72" t="str">
            <v>P&amp;M-Civil Construction-Others</v>
          </cell>
        </row>
        <row r="73">
          <cell r="B73" t="str">
            <v>P&amp;M-Civil Salt Works</v>
          </cell>
        </row>
        <row r="74">
          <cell r="B74" t="str">
            <v xml:space="preserve">Furniture &amp; Fixture-General </v>
          </cell>
        </row>
        <row r="75">
          <cell r="B75" t="str">
            <v>Furniture &amp; Fixture-Hotels, Schools, Cinema, Functions etc.</v>
          </cell>
        </row>
        <row r="76">
          <cell r="B76" t="str">
            <v>MV-Motor Cycles, Scooters, Mopeds</v>
          </cell>
        </row>
        <row r="77">
          <cell r="B77" t="str">
            <v>MV-Buses, Lorries, Cars and Taxies used in business of hire</v>
          </cell>
        </row>
        <row r="78">
          <cell r="B78" t="str">
            <v>MV-Buses, Lorries, Cars and Taxies other than used in business of hire</v>
          </cell>
        </row>
        <row r="79">
          <cell r="B79" t="str">
            <v>MV-Tractors, Harvesting Combines, Heavy Vehicles</v>
          </cell>
        </row>
        <row r="80">
          <cell r="B80" t="str">
            <v>MV-Electric, Battery or Fuel Cell Powered Vehicles</v>
          </cell>
        </row>
        <row r="81">
          <cell r="B81" t="str">
            <v>Ships-Ocean Going-Bulk Carriers and Liner Vessels</v>
          </cell>
        </row>
        <row r="82">
          <cell r="B82" t="str">
            <v>Ships-Ocean Going-Crude tankers, product Carriers &amp; Easy Chemical Carriers</v>
          </cell>
        </row>
        <row r="83">
          <cell r="B83" t="str">
            <v>Ships-Ocean Going-Chemical and Acid Carriers-Stainless Steel tanks</v>
          </cell>
        </row>
        <row r="84">
          <cell r="B84" t="str">
            <v>Ships-Ocean Going-Chemical and Acid Carriers-other tanks</v>
          </cell>
        </row>
        <row r="85">
          <cell r="B85" t="str">
            <v>Ships-Ocean Going-Chemical and Acid Carriers-Liquified Gas Carriers</v>
          </cell>
        </row>
        <row r="86">
          <cell r="B86" t="str">
            <v>Ships-Ocean Going-Large Pessenger Vessels</v>
          </cell>
        </row>
        <row r="87">
          <cell r="B87" t="str">
            <v>Ships-Ocean Going-Coastal Service</v>
          </cell>
        </row>
        <row r="88">
          <cell r="B88" t="str">
            <v>Ships-Ocean Going-Offshore Supply &amp; Support</v>
          </cell>
        </row>
        <row r="89">
          <cell r="B89" t="str">
            <v>Ships-Ocean Going-Catamarans, Other High Spped Ships/Boats</v>
          </cell>
        </row>
        <row r="90">
          <cell r="B90" t="str">
            <v>Ships-Ocean Going-Drill Ships</v>
          </cell>
        </row>
        <row r="91">
          <cell r="B91" t="str">
            <v>Ships-Ocean Going-Hovercrafts</v>
          </cell>
        </row>
        <row r="92">
          <cell r="B92" t="str">
            <v>Ships-Ocean Going-Fishing Vessel with Wooden Hull</v>
          </cell>
        </row>
        <row r="93">
          <cell r="B93" t="str">
            <v>Ships-Ocean Going-Dredgers</v>
          </cell>
        </row>
        <row r="94">
          <cell r="B94" t="str">
            <v>Ships-Inland-Waters-Speed Boats</v>
          </cell>
        </row>
        <row r="95">
          <cell r="B95" t="str">
            <v>Ships-Inland-Waters-Other Vessels</v>
          </cell>
        </row>
        <row r="96">
          <cell r="B96" t="str">
            <v>Aircraft or Helicopters</v>
          </cell>
        </row>
        <row r="97">
          <cell r="B97" t="str">
            <v>Railway Siding etc.</v>
          </cell>
        </row>
        <row r="98">
          <cell r="B98" t="str">
            <v>Ropeway Structures</v>
          </cell>
        </row>
        <row r="99">
          <cell r="B99" t="str">
            <v>Office Equipments</v>
          </cell>
        </row>
        <row r="100">
          <cell r="B100" t="str">
            <v>Computer &amp; Data Processing Units-Servers &amp; Networks</v>
          </cell>
        </row>
        <row r="101">
          <cell r="B101" t="str">
            <v>Computer &amp; Data Processing Units-End User Devices-Desktops, Laptops</v>
          </cell>
        </row>
        <row r="102">
          <cell r="B102" t="str">
            <v>Laboratory Equipments-General</v>
          </cell>
        </row>
        <row r="103">
          <cell r="B103" t="str">
            <v>Laboratory Equipments-Educational Equipments</v>
          </cell>
        </row>
        <row r="104">
          <cell r="B104" t="str">
            <v>Electrical Installation &amp; Equipments</v>
          </cell>
        </row>
        <row r="105">
          <cell r="B105" t="str">
            <v>Hydraulic Works, Pipelines &amp; Sluices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L88"/>
  <sheetViews>
    <sheetView workbookViewId="0">
      <selection activeCell="E2" sqref="E2"/>
    </sheetView>
  </sheetViews>
  <sheetFormatPr defaultColWidth="9.140625" defaultRowHeight="15.75"/>
  <cols>
    <col min="1" max="1" width="9.140625" style="1"/>
    <col min="2" max="2" width="30.5703125" style="1" customWidth="1"/>
    <col min="3" max="3" width="21.42578125" style="1" customWidth="1"/>
    <col min="4" max="4" width="34.5703125" style="1" customWidth="1"/>
    <col min="5" max="5" width="24.42578125" style="1" customWidth="1"/>
    <col min="6" max="6" width="15.7109375" style="1" customWidth="1"/>
    <col min="7" max="7" width="26.28515625" style="1" customWidth="1"/>
    <col min="8" max="8" width="33.5703125" style="1" customWidth="1"/>
    <col min="9" max="9" width="24.140625" style="1" customWidth="1"/>
    <col min="10" max="10" width="9.140625" style="1"/>
    <col min="11" max="11" width="7.85546875" style="1" customWidth="1"/>
    <col min="12" max="12" width="9" style="1" customWidth="1"/>
    <col min="13" max="16384" width="9.140625" style="1"/>
  </cols>
  <sheetData>
    <row r="4" spans="2:12">
      <c r="B4" s="2"/>
      <c r="C4" s="2"/>
      <c r="D4" s="2"/>
      <c r="E4" s="2"/>
      <c r="F4" s="2"/>
      <c r="G4" s="2"/>
    </row>
    <row r="6" spans="2:12" ht="18.75" customHeight="1">
      <c r="B6" s="3"/>
      <c r="C6" s="4"/>
      <c r="D6" s="4"/>
      <c r="E6" s="4"/>
      <c r="F6" s="4"/>
      <c r="G6" s="4"/>
      <c r="H6" s="4"/>
      <c r="I6" s="4"/>
    </row>
    <row r="7" spans="2:12" ht="18.75">
      <c r="B7" s="5"/>
      <c r="C7" s="5"/>
      <c r="D7" s="5"/>
      <c r="E7" s="5"/>
      <c r="F7" s="5"/>
      <c r="G7" s="5"/>
      <c r="H7" s="5"/>
      <c r="I7" s="5"/>
    </row>
    <row r="9" spans="2:12" ht="15.75" customHeight="1">
      <c r="B9" s="6" t="s">
        <v>45</v>
      </c>
      <c r="C9" s="7" t="s">
        <v>46</v>
      </c>
      <c r="D9" s="7" t="s">
        <v>47</v>
      </c>
      <c r="E9" s="81" t="s">
        <v>48</v>
      </c>
      <c r="F9" s="82"/>
      <c r="G9" s="7" t="s">
        <v>49</v>
      </c>
      <c r="H9" s="7" t="s">
        <v>50</v>
      </c>
      <c r="I9" s="7" t="s">
        <v>51</v>
      </c>
      <c r="K9" s="1" t="s">
        <v>52</v>
      </c>
      <c r="L9" s="1" t="s">
        <v>53</v>
      </c>
    </row>
    <row r="10" spans="2:12">
      <c r="B10" s="8"/>
      <c r="C10" s="9"/>
      <c r="D10" s="9"/>
      <c r="E10" s="10" t="s">
        <v>54</v>
      </c>
      <c r="F10" s="10" t="s">
        <v>0</v>
      </c>
      <c r="G10" s="9"/>
      <c r="H10" s="9"/>
      <c r="I10" s="9"/>
    </row>
    <row r="11" spans="2:12">
      <c r="B11" s="11"/>
      <c r="C11" s="12"/>
      <c r="D11" s="11"/>
      <c r="E11" s="12"/>
      <c r="F11" s="12"/>
      <c r="G11" s="11"/>
      <c r="H11" s="12"/>
      <c r="I11" s="11"/>
    </row>
    <row r="12" spans="2:12" ht="15" customHeight="1">
      <c r="B12" s="13" t="s">
        <v>1</v>
      </c>
      <c r="C12" s="14">
        <v>0.15</v>
      </c>
      <c r="D12" s="15">
        <v>7680</v>
      </c>
      <c r="E12" s="12">
        <v>0</v>
      </c>
      <c r="F12" s="12"/>
      <c r="G12" s="13">
        <v>0</v>
      </c>
      <c r="H12" s="12">
        <f>D12+E12-G12</f>
        <v>7680</v>
      </c>
      <c r="I12" s="22">
        <f>H12*C12</f>
        <v>1152</v>
      </c>
    </row>
    <row r="13" spans="2:12">
      <c r="B13" s="13" t="s">
        <v>2</v>
      </c>
      <c r="C13" s="14">
        <v>0.15</v>
      </c>
      <c r="D13" s="15">
        <v>33633</v>
      </c>
      <c r="E13" s="12">
        <v>0</v>
      </c>
      <c r="F13" s="12"/>
      <c r="G13" s="13">
        <v>0</v>
      </c>
      <c r="H13" s="12">
        <f t="shared" ref="H13" si="0">D13+E13-G13</f>
        <v>33633</v>
      </c>
      <c r="I13" s="22">
        <f t="shared" ref="I13" si="1">H13*C13</f>
        <v>5044.95</v>
      </c>
    </row>
    <row r="14" spans="2:12">
      <c r="B14" s="13" t="s">
        <v>3</v>
      </c>
      <c r="C14" s="14">
        <v>0.1</v>
      </c>
      <c r="D14" s="15">
        <v>152797</v>
      </c>
      <c r="E14" s="12">
        <v>0</v>
      </c>
      <c r="F14" s="12"/>
      <c r="G14" s="13">
        <v>0</v>
      </c>
      <c r="H14" s="12">
        <f t="shared" ref="H14:H20" si="2">D14+E14-G14</f>
        <v>152797</v>
      </c>
      <c r="I14" s="22">
        <f t="shared" ref="I14:I20" si="3">H14*C14</f>
        <v>15279.7</v>
      </c>
    </row>
    <row r="15" spans="2:12">
      <c r="B15" s="13" t="s">
        <v>4</v>
      </c>
      <c r="C15" s="14">
        <v>0.15</v>
      </c>
      <c r="D15" s="15">
        <v>38219</v>
      </c>
      <c r="E15" s="12">
        <v>0</v>
      </c>
      <c r="F15" s="12"/>
      <c r="G15" s="13">
        <v>0</v>
      </c>
      <c r="H15" s="12">
        <f t="shared" si="2"/>
        <v>38219</v>
      </c>
      <c r="I15" s="22">
        <f t="shared" si="3"/>
        <v>5732.8499999999995</v>
      </c>
    </row>
    <row r="16" spans="2:12">
      <c r="B16" s="13" t="s">
        <v>32</v>
      </c>
      <c r="C16" s="14">
        <v>0.15</v>
      </c>
      <c r="D16" s="15">
        <v>3754</v>
      </c>
      <c r="E16" s="12">
        <v>0</v>
      </c>
      <c r="F16" s="12"/>
      <c r="G16" s="13">
        <v>0</v>
      </c>
      <c r="H16" s="12">
        <f t="shared" si="2"/>
        <v>3754</v>
      </c>
      <c r="I16" s="22">
        <f t="shared" si="3"/>
        <v>563.1</v>
      </c>
    </row>
    <row r="17" spans="2:9">
      <c r="B17" s="13" t="s">
        <v>5</v>
      </c>
      <c r="C17" s="14">
        <v>0.15</v>
      </c>
      <c r="D17" s="15">
        <v>1991634</v>
      </c>
      <c r="E17" s="12">
        <v>0</v>
      </c>
      <c r="F17" s="12"/>
      <c r="G17" s="13">
        <v>0</v>
      </c>
      <c r="H17" s="12">
        <f t="shared" si="2"/>
        <v>1991634</v>
      </c>
      <c r="I17" s="22">
        <f t="shared" si="3"/>
        <v>298745.09999999998</v>
      </c>
    </row>
    <row r="18" spans="2:9">
      <c r="B18" s="13" t="s">
        <v>6</v>
      </c>
      <c r="C18" s="14">
        <v>0.15</v>
      </c>
      <c r="D18" s="15">
        <v>647500</v>
      </c>
      <c r="E18" s="12">
        <v>0</v>
      </c>
      <c r="F18" s="12"/>
      <c r="G18" s="13">
        <v>0</v>
      </c>
      <c r="H18" s="12">
        <f t="shared" si="2"/>
        <v>647500</v>
      </c>
      <c r="I18" s="22">
        <f t="shared" si="3"/>
        <v>97125</v>
      </c>
    </row>
    <row r="19" spans="2:9">
      <c r="B19" s="13" t="s">
        <v>7</v>
      </c>
      <c r="C19" s="14">
        <v>0.15</v>
      </c>
      <c r="D19" s="15">
        <v>28053</v>
      </c>
      <c r="E19" s="12">
        <v>0</v>
      </c>
      <c r="F19" s="12"/>
      <c r="G19" s="13">
        <v>0</v>
      </c>
      <c r="H19" s="12">
        <f t="shared" si="2"/>
        <v>28053</v>
      </c>
      <c r="I19" s="22">
        <f t="shared" si="3"/>
        <v>4207.95</v>
      </c>
    </row>
    <row r="20" spans="2:9">
      <c r="B20" s="13" t="s">
        <v>33</v>
      </c>
      <c r="C20" s="14">
        <v>0.15</v>
      </c>
      <c r="D20" s="15">
        <v>11536</v>
      </c>
      <c r="E20" s="12">
        <v>0</v>
      </c>
      <c r="F20" s="12"/>
      <c r="G20" s="13">
        <v>0</v>
      </c>
      <c r="H20" s="12">
        <f t="shared" si="2"/>
        <v>11536</v>
      </c>
      <c r="I20" s="22">
        <f t="shared" si="3"/>
        <v>1730.3999999999999</v>
      </c>
    </row>
    <row r="21" spans="2:9" hidden="1">
      <c r="B21" s="13"/>
      <c r="C21" s="12"/>
      <c r="D21" s="13"/>
      <c r="E21" s="12"/>
      <c r="F21" s="12"/>
      <c r="G21" s="13"/>
      <c r="H21" s="12"/>
      <c r="I21" s="13"/>
    </row>
    <row r="22" spans="2:9" hidden="1">
      <c r="B22" s="16" t="s">
        <v>44</v>
      </c>
      <c r="C22" s="17"/>
      <c r="D22" s="18"/>
      <c r="E22" s="17"/>
      <c r="F22" s="17"/>
      <c r="G22" s="18"/>
      <c r="H22" s="17"/>
      <c r="I22" s="23">
        <f>SUM(I12:I20)</f>
        <v>429581.05</v>
      </c>
    </row>
    <row r="23" spans="2:9" hidden="1">
      <c r="B23" s="19"/>
      <c r="C23" s="20"/>
      <c r="D23" s="19"/>
      <c r="E23" s="20"/>
      <c r="F23" s="20"/>
      <c r="G23" s="19"/>
      <c r="H23" s="20"/>
      <c r="I23" s="19"/>
    </row>
    <row r="24" spans="2:9" hidden="1"/>
    <row r="25" spans="2:9" ht="15.75" hidden="1" customHeight="1">
      <c r="B25" s="6" t="s">
        <v>45</v>
      </c>
      <c r="C25" s="7" t="s">
        <v>46</v>
      </c>
      <c r="D25" s="7" t="s">
        <v>47</v>
      </c>
      <c r="E25" s="7" t="s">
        <v>48</v>
      </c>
      <c r="F25" s="7"/>
      <c r="G25" s="7" t="s">
        <v>49</v>
      </c>
      <c r="H25" s="7" t="s">
        <v>50</v>
      </c>
      <c r="I25" s="7" t="s">
        <v>51</v>
      </c>
    </row>
    <row r="26" spans="2:9" hidden="1">
      <c r="B26" s="8"/>
      <c r="C26" s="9"/>
      <c r="D26" s="9"/>
      <c r="E26" s="9"/>
      <c r="F26" s="9"/>
      <c r="G26" s="9"/>
      <c r="H26" s="9"/>
      <c r="I26" s="9"/>
    </row>
    <row r="27" spans="2:9" hidden="1">
      <c r="B27" s="11"/>
      <c r="C27" s="12"/>
      <c r="D27" s="11"/>
      <c r="E27" s="12"/>
      <c r="F27" s="12"/>
      <c r="G27" s="11"/>
      <c r="H27" s="12"/>
      <c r="I27" s="11"/>
    </row>
    <row r="28" spans="2:9" ht="15" customHeight="1">
      <c r="B28" s="13" t="s">
        <v>8</v>
      </c>
      <c r="C28" s="14">
        <v>0.6</v>
      </c>
      <c r="D28" s="15">
        <v>779</v>
      </c>
      <c r="E28" s="12">
        <v>0</v>
      </c>
      <c r="F28" s="12"/>
      <c r="G28" s="13">
        <v>0</v>
      </c>
      <c r="H28" s="12">
        <f>D28+E28-G28</f>
        <v>779</v>
      </c>
      <c r="I28" s="22">
        <f t="shared" ref="I28" si="4">H28*C28</f>
        <v>467.4</v>
      </c>
    </row>
    <row r="29" spans="2:9">
      <c r="B29" s="13" t="s">
        <v>1</v>
      </c>
      <c r="C29" s="14">
        <v>0.15</v>
      </c>
      <c r="D29" s="15">
        <v>315995</v>
      </c>
      <c r="E29" s="12">
        <v>0</v>
      </c>
      <c r="F29" s="12"/>
      <c r="G29" s="13">
        <v>0</v>
      </c>
      <c r="H29" s="12">
        <f t="shared" ref="H29" si="5">D29+E29-G29</f>
        <v>315995</v>
      </c>
      <c r="I29" s="22">
        <f>H29*C29</f>
        <v>47399.25</v>
      </c>
    </row>
    <row r="30" spans="2:9">
      <c r="B30" s="13" t="s">
        <v>9</v>
      </c>
      <c r="C30" s="14">
        <v>0.15</v>
      </c>
      <c r="D30" s="15">
        <v>3253</v>
      </c>
      <c r="E30" s="12">
        <v>0</v>
      </c>
      <c r="F30" s="12"/>
      <c r="G30" s="13">
        <v>0</v>
      </c>
      <c r="H30" s="12">
        <f>D30+E30-G30</f>
        <v>3253</v>
      </c>
      <c r="I30" s="22">
        <f>H30*C30</f>
        <v>487.95</v>
      </c>
    </row>
    <row r="31" spans="2:9">
      <c r="B31" s="13" t="s">
        <v>10</v>
      </c>
      <c r="C31" s="14">
        <v>0.15</v>
      </c>
      <c r="D31" s="15">
        <v>6683</v>
      </c>
      <c r="E31" s="12">
        <v>0</v>
      </c>
      <c r="F31" s="12"/>
      <c r="G31" s="13">
        <v>0</v>
      </c>
      <c r="H31" s="12">
        <f>D31+E31-G31</f>
        <v>6683</v>
      </c>
      <c r="I31" s="22">
        <f>H31*C31</f>
        <v>1002.4499999999999</v>
      </c>
    </row>
    <row r="32" spans="2:9">
      <c r="B32" s="13" t="s">
        <v>4</v>
      </c>
      <c r="C32" s="14">
        <v>0.15</v>
      </c>
      <c r="D32" s="15">
        <v>24971</v>
      </c>
      <c r="E32" s="12">
        <v>0</v>
      </c>
      <c r="F32" s="12"/>
      <c r="G32" s="13">
        <v>0</v>
      </c>
      <c r="H32" s="12">
        <f>D32+E32-G32</f>
        <v>24971</v>
      </c>
      <c r="I32" s="22">
        <f>H32*C32</f>
        <v>3745.6499999999996</v>
      </c>
    </row>
    <row r="33" spans="2:12" ht="15.75" customHeight="1">
      <c r="B33" s="13" t="s">
        <v>11</v>
      </c>
      <c r="C33" s="14">
        <v>0.15</v>
      </c>
      <c r="D33" s="13">
        <v>0</v>
      </c>
      <c r="E33" s="21">
        <v>4668133</v>
      </c>
      <c r="F33" s="21"/>
      <c r="G33" s="13">
        <v>0</v>
      </c>
      <c r="H33" s="13">
        <f>D33+E33-G33</f>
        <v>4668133</v>
      </c>
      <c r="I33" s="22">
        <f t="shared" ref="I33" si="6">H33*C33</f>
        <v>700219.95</v>
      </c>
    </row>
    <row r="34" spans="2:12">
      <c r="B34" s="13" t="s">
        <v>12</v>
      </c>
      <c r="C34" s="14">
        <v>0.15</v>
      </c>
      <c r="D34" s="15">
        <v>514726</v>
      </c>
      <c r="E34" s="21">
        <v>0</v>
      </c>
      <c r="F34" s="12"/>
      <c r="G34" s="13">
        <v>0</v>
      </c>
      <c r="H34" s="13">
        <f t="shared" ref="H34" si="7">D34+E34-G34</f>
        <v>514726</v>
      </c>
      <c r="I34" s="22">
        <f t="shared" ref="I34:I77" si="8">H34*C34</f>
        <v>77208.899999999994</v>
      </c>
    </row>
    <row r="35" spans="2:12">
      <c r="B35" s="13" t="s">
        <v>3</v>
      </c>
      <c r="C35" s="14">
        <v>0.1</v>
      </c>
      <c r="D35" s="15">
        <v>1119823</v>
      </c>
      <c r="E35" s="21">
        <v>22100</v>
      </c>
      <c r="F35" s="21"/>
      <c r="G35" s="13">
        <v>0</v>
      </c>
      <c r="H35" s="13">
        <f t="shared" ref="H35:H77" si="9">D35+E35-G35</f>
        <v>1141923</v>
      </c>
      <c r="I35" s="22">
        <f t="shared" si="8"/>
        <v>114192.3</v>
      </c>
    </row>
    <row r="36" spans="2:12">
      <c r="B36" s="13" t="s">
        <v>5</v>
      </c>
      <c r="C36" s="14">
        <v>0.15</v>
      </c>
      <c r="D36" s="15">
        <v>14938156.07</v>
      </c>
      <c r="E36" s="21">
        <v>441230</v>
      </c>
      <c r="F36" s="12"/>
      <c r="G36" s="13">
        <v>210000</v>
      </c>
      <c r="H36" s="13">
        <f t="shared" si="9"/>
        <v>15169386.07</v>
      </c>
      <c r="I36" s="22">
        <f t="shared" si="8"/>
        <v>2275407.9104999998</v>
      </c>
      <c r="K36" s="1">
        <f>36680+25000+41000+102555+36750+120000+14805+9975+36570+17895</f>
        <v>441230</v>
      </c>
      <c r="L36" s="1">
        <f>94383+184046+1415736+3000+36173+9398+49686</f>
        <v>1792422</v>
      </c>
    </row>
    <row r="37" spans="2:12">
      <c r="B37" s="13" t="s">
        <v>13</v>
      </c>
      <c r="C37" s="14">
        <v>0.15</v>
      </c>
      <c r="D37" s="15">
        <v>5675</v>
      </c>
      <c r="E37" s="21">
        <v>0</v>
      </c>
      <c r="F37" s="12"/>
      <c r="G37" s="13">
        <v>0</v>
      </c>
      <c r="H37" s="13">
        <f t="shared" si="9"/>
        <v>5675</v>
      </c>
      <c r="I37" s="22">
        <f t="shared" si="8"/>
        <v>851.25</v>
      </c>
    </row>
    <row r="38" spans="2:12">
      <c r="B38" s="13" t="s">
        <v>14</v>
      </c>
      <c r="C38" s="14">
        <v>0.15</v>
      </c>
      <c r="D38" s="15">
        <v>24667</v>
      </c>
      <c r="E38" s="12">
        <v>0</v>
      </c>
      <c r="F38" s="12"/>
      <c r="G38" s="13">
        <v>0</v>
      </c>
      <c r="H38" s="13">
        <f t="shared" si="9"/>
        <v>24667</v>
      </c>
      <c r="I38" s="22">
        <f t="shared" si="8"/>
        <v>3700.0499999999997</v>
      </c>
    </row>
    <row r="39" spans="2:12">
      <c r="B39" s="13" t="s">
        <v>15</v>
      </c>
      <c r="C39" s="14">
        <v>0.15</v>
      </c>
      <c r="D39" s="15">
        <v>20756</v>
      </c>
      <c r="E39" s="21">
        <v>71307</v>
      </c>
      <c r="F39" s="12"/>
      <c r="G39" s="13">
        <v>0</v>
      </c>
      <c r="H39" s="13">
        <f t="shared" si="9"/>
        <v>92063</v>
      </c>
      <c r="I39" s="22">
        <f t="shared" si="8"/>
        <v>13809.449999999999</v>
      </c>
    </row>
    <row r="40" spans="2:12">
      <c r="B40" s="13" t="s">
        <v>16</v>
      </c>
      <c r="C40" s="14">
        <v>0.15</v>
      </c>
      <c r="D40" s="15">
        <v>160785</v>
      </c>
      <c r="E40" s="12">
        <v>0</v>
      </c>
      <c r="F40" s="12"/>
      <c r="G40" s="13">
        <v>0</v>
      </c>
      <c r="H40" s="13">
        <f t="shared" si="9"/>
        <v>160785</v>
      </c>
      <c r="I40" s="22">
        <f t="shared" si="8"/>
        <v>24117.75</v>
      </c>
    </row>
    <row r="41" spans="2:12">
      <c r="B41" s="13" t="s">
        <v>17</v>
      </c>
      <c r="C41" s="14">
        <v>0.15</v>
      </c>
      <c r="D41" s="15">
        <v>38642</v>
      </c>
      <c r="E41" s="12">
        <v>0</v>
      </c>
      <c r="F41" s="12"/>
      <c r="G41" s="13">
        <v>0</v>
      </c>
      <c r="H41" s="13">
        <f t="shared" si="9"/>
        <v>38642</v>
      </c>
      <c r="I41" s="22">
        <f t="shared" si="8"/>
        <v>5796.3</v>
      </c>
    </row>
    <row r="42" spans="2:12">
      <c r="B42" s="13" t="s">
        <v>18</v>
      </c>
      <c r="C42" s="14">
        <v>0.15</v>
      </c>
      <c r="D42" s="15">
        <v>36771</v>
      </c>
      <c r="E42" s="12">
        <v>0</v>
      </c>
      <c r="F42" s="12"/>
      <c r="G42" s="13">
        <v>0</v>
      </c>
      <c r="H42" s="13">
        <f t="shared" si="9"/>
        <v>36771</v>
      </c>
      <c r="I42" s="22">
        <f t="shared" si="8"/>
        <v>5515.65</v>
      </c>
    </row>
    <row r="43" spans="2:12">
      <c r="B43" s="13" t="s">
        <v>1</v>
      </c>
      <c r="C43" s="14">
        <v>0.15</v>
      </c>
      <c r="D43" s="15">
        <v>4612</v>
      </c>
      <c r="E43" s="12">
        <v>0</v>
      </c>
      <c r="F43" s="12"/>
      <c r="G43" s="13">
        <v>0</v>
      </c>
      <c r="H43" s="13">
        <f t="shared" si="9"/>
        <v>4612</v>
      </c>
      <c r="I43" s="22">
        <f t="shared" si="8"/>
        <v>691.8</v>
      </c>
    </row>
    <row r="44" spans="2:12">
      <c r="B44" s="13" t="s">
        <v>19</v>
      </c>
      <c r="C44" s="14">
        <v>0.15</v>
      </c>
      <c r="D44" s="15">
        <v>33388</v>
      </c>
      <c r="E44" s="12">
        <v>0</v>
      </c>
      <c r="F44" s="12"/>
      <c r="G44" s="13">
        <v>0</v>
      </c>
      <c r="H44" s="13">
        <f t="shared" si="9"/>
        <v>33388</v>
      </c>
      <c r="I44" s="22">
        <f t="shared" si="8"/>
        <v>5008.2</v>
      </c>
    </row>
    <row r="45" spans="2:12">
      <c r="B45" s="13" t="s">
        <v>2</v>
      </c>
      <c r="C45" s="14">
        <v>0.15</v>
      </c>
      <c r="D45" s="15">
        <v>318898</v>
      </c>
      <c r="E45" s="12">
        <v>0</v>
      </c>
      <c r="F45" s="12"/>
      <c r="G45" s="13">
        <v>0</v>
      </c>
      <c r="H45" s="13">
        <f t="shared" si="9"/>
        <v>318898</v>
      </c>
      <c r="I45" s="22">
        <f t="shared" si="8"/>
        <v>47834.7</v>
      </c>
    </row>
    <row r="46" spans="2:12">
      <c r="B46" s="13" t="s">
        <v>20</v>
      </c>
      <c r="C46" s="14">
        <v>0.15</v>
      </c>
      <c r="D46" s="15">
        <v>135943</v>
      </c>
      <c r="E46" s="12">
        <v>0</v>
      </c>
      <c r="F46" s="12"/>
      <c r="G46" s="13">
        <v>0</v>
      </c>
      <c r="H46" s="13">
        <f t="shared" si="9"/>
        <v>135943</v>
      </c>
      <c r="I46" s="22">
        <f t="shared" si="8"/>
        <v>20391.45</v>
      </c>
    </row>
    <row r="47" spans="2:12">
      <c r="B47" s="13" t="s">
        <v>21</v>
      </c>
      <c r="C47" s="14">
        <v>0.15</v>
      </c>
      <c r="D47" s="15">
        <v>10071302</v>
      </c>
      <c r="E47" s="21">
        <v>158004</v>
      </c>
      <c r="F47" s="12"/>
      <c r="G47" s="13">
        <v>0</v>
      </c>
      <c r="H47" s="13">
        <f t="shared" si="9"/>
        <v>10229306</v>
      </c>
      <c r="I47" s="22">
        <f t="shared" si="8"/>
        <v>1534395.9</v>
      </c>
    </row>
    <row r="48" spans="2:12">
      <c r="B48" s="13" t="s">
        <v>9</v>
      </c>
      <c r="C48" s="14">
        <v>0.15</v>
      </c>
      <c r="D48" s="15">
        <v>29732</v>
      </c>
      <c r="E48" s="21">
        <v>4255</v>
      </c>
      <c r="F48" s="12"/>
      <c r="G48" s="13">
        <v>0</v>
      </c>
      <c r="H48" s="13">
        <f t="shared" si="9"/>
        <v>33987</v>
      </c>
      <c r="I48" s="22">
        <f t="shared" si="8"/>
        <v>5098.05</v>
      </c>
    </row>
    <row r="49" spans="2:9">
      <c r="B49" s="13" t="s">
        <v>22</v>
      </c>
      <c r="C49" s="14">
        <v>0.15</v>
      </c>
      <c r="D49" s="15">
        <v>442692</v>
      </c>
      <c r="E49" s="12">
        <v>0</v>
      </c>
      <c r="F49" s="12"/>
      <c r="G49" s="13">
        <v>0</v>
      </c>
      <c r="H49" s="13">
        <f t="shared" si="9"/>
        <v>442692</v>
      </c>
      <c r="I49" s="22">
        <f t="shared" si="8"/>
        <v>66403.8</v>
      </c>
    </row>
    <row r="50" spans="2:9">
      <c r="B50" s="13" t="s">
        <v>8</v>
      </c>
      <c r="C50" s="14">
        <v>0.6</v>
      </c>
      <c r="D50" s="15">
        <v>83404</v>
      </c>
      <c r="E50" s="21">
        <v>90725</v>
      </c>
      <c r="F50" s="12"/>
      <c r="G50" s="13">
        <v>0</v>
      </c>
      <c r="H50" s="13">
        <f t="shared" si="9"/>
        <v>174129</v>
      </c>
      <c r="I50" s="22">
        <f t="shared" si="8"/>
        <v>104477.4</v>
      </c>
    </row>
    <row r="51" spans="2:9">
      <c r="B51" s="13" t="s">
        <v>23</v>
      </c>
      <c r="C51" s="14">
        <v>0.15</v>
      </c>
      <c r="D51" s="15">
        <v>8415</v>
      </c>
      <c r="E51" s="12">
        <v>0</v>
      </c>
      <c r="F51" s="12"/>
      <c r="G51" s="13">
        <v>0</v>
      </c>
      <c r="H51" s="13">
        <f t="shared" si="9"/>
        <v>8415</v>
      </c>
      <c r="I51" s="22">
        <f t="shared" si="8"/>
        <v>1262.25</v>
      </c>
    </row>
    <row r="52" spans="2:9">
      <c r="B52" s="13" t="s">
        <v>24</v>
      </c>
      <c r="C52" s="14">
        <v>0</v>
      </c>
      <c r="D52" s="15">
        <v>4673803</v>
      </c>
      <c r="E52" s="12">
        <v>0</v>
      </c>
      <c r="F52" s="12"/>
      <c r="G52" s="13">
        <v>0</v>
      </c>
      <c r="H52" s="13">
        <f t="shared" si="9"/>
        <v>4673803</v>
      </c>
      <c r="I52" s="22">
        <f t="shared" si="8"/>
        <v>0</v>
      </c>
    </row>
    <row r="53" spans="2:9">
      <c r="B53" s="13" t="s">
        <v>4</v>
      </c>
      <c r="C53" s="14">
        <v>0.15</v>
      </c>
      <c r="D53" s="15">
        <v>481798</v>
      </c>
      <c r="E53" s="21">
        <v>180652</v>
      </c>
      <c r="F53" s="12"/>
      <c r="G53" s="13">
        <v>0</v>
      </c>
      <c r="H53" s="13">
        <f t="shared" si="9"/>
        <v>662450</v>
      </c>
      <c r="I53" s="22">
        <f t="shared" si="8"/>
        <v>99367.5</v>
      </c>
    </row>
    <row r="54" spans="2:9">
      <c r="B54" s="13" t="s">
        <v>25</v>
      </c>
      <c r="C54" s="14">
        <v>0.15</v>
      </c>
      <c r="D54" s="15">
        <v>90014</v>
      </c>
      <c r="E54" s="12">
        <v>0</v>
      </c>
      <c r="F54" s="12"/>
      <c r="G54" s="13">
        <v>0</v>
      </c>
      <c r="H54" s="13">
        <f t="shared" si="9"/>
        <v>90014</v>
      </c>
      <c r="I54" s="22">
        <f t="shared" si="8"/>
        <v>13502.1</v>
      </c>
    </row>
    <row r="55" spans="2:9">
      <c r="B55" s="13" t="s">
        <v>26</v>
      </c>
      <c r="C55" s="14">
        <v>0.15</v>
      </c>
      <c r="D55" s="15">
        <v>528442</v>
      </c>
      <c r="E55" s="12">
        <v>0</v>
      </c>
      <c r="F55" s="12"/>
      <c r="G55" s="13">
        <v>0</v>
      </c>
      <c r="H55" s="13">
        <f t="shared" si="9"/>
        <v>528442</v>
      </c>
      <c r="I55" s="22">
        <f t="shared" si="8"/>
        <v>79266.3</v>
      </c>
    </row>
    <row r="56" spans="2:9">
      <c r="B56" s="13" t="s">
        <v>27</v>
      </c>
      <c r="C56" s="14">
        <v>0.15</v>
      </c>
      <c r="D56" s="15">
        <v>377276</v>
      </c>
      <c r="E56" s="21">
        <v>179500</v>
      </c>
      <c r="F56" s="12"/>
      <c r="G56" s="13">
        <v>0</v>
      </c>
      <c r="H56" s="13">
        <f t="shared" si="9"/>
        <v>556776</v>
      </c>
      <c r="I56" s="22">
        <f t="shared" si="8"/>
        <v>83516.399999999994</v>
      </c>
    </row>
    <row r="57" spans="2:9">
      <c r="B57" s="13" t="s">
        <v>28</v>
      </c>
      <c r="C57" s="14">
        <v>0.15</v>
      </c>
      <c r="D57" s="15">
        <v>38933</v>
      </c>
      <c r="E57" s="12">
        <v>0</v>
      </c>
      <c r="F57" s="12"/>
      <c r="G57" s="13">
        <v>0</v>
      </c>
      <c r="H57" s="13">
        <f t="shared" si="9"/>
        <v>38933</v>
      </c>
      <c r="I57" s="22">
        <f t="shared" si="8"/>
        <v>5839.95</v>
      </c>
    </row>
    <row r="58" spans="2:9">
      <c r="B58" s="13" t="s">
        <v>10</v>
      </c>
      <c r="C58" s="14">
        <v>0.15</v>
      </c>
      <c r="D58" s="15">
        <v>34047</v>
      </c>
      <c r="E58" s="12">
        <v>0</v>
      </c>
      <c r="F58" s="12"/>
      <c r="G58" s="13">
        <v>0</v>
      </c>
      <c r="H58" s="13">
        <f t="shared" si="9"/>
        <v>34047</v>
      </c>
      <c r="I58" s="22">
        <f t="shared" si="8"/>
        <v>5107.05</v>
      </c>
    </row>
    <row r="59" spans="2:9">
      <c r="B59" s="13" t="s">
        <v>29</v>
      </c>
      <c r="C59" s="14">
        <v>0.15</v>
      </c>
      <c r="D59" s="15">
        <v>98344</v>
      </c>
      <c r="E59" s="12">
        <v>0</v>
      </c>
      <c r="F59" s="12"/>
      <c r="G59" s="13">
        <v>0</v>
      </c>
      <c r="H59" s="13">
        <f t="shared" si="9"/>
        <v>98344</v>
      </c>
      <c r="I59" s="22">
        <f t="shared" si="8"/>
        <v>14751.599999999999</v>
      </c>
    </row>
    <row r="60" spans="2:9">
      <c r="B60" s="13" t="s">
        <v>30</v>
      </c>
      <c r="C60" s="14">
        <v>0.15</v>
      </c>
      <c r="D60" s="15">
        <v>4770</v>
      </c>
      <c r="E60" s="12">
        <v>0</v>
      </c>
      <c r="F60" s="12"/>
      <c r="G60" s="13">
        <v>0</v>
      </c>
      <c r="H60" s="13">
        <f t="shared" si="9"/>
        <v>4770</v>
      </c>
      <c r="I60" s="22">
        <f t="shared" si="8"/>
        <v>715.5</v>
      </c>
    </row>
    <row r="61" spans="2:9">
      <c r="B61" s="13" t="s">
        <v>31</v>
      </c>
      <c r="C61" s="14">
        <v>0.15</v>
      </c>
      <c r="D61" s="15">
        <v>65965</v>
      </c>
      <c r="E61" s="21">
        <v>38500</v>
      </c>
      <c r="F61" s="12"/>
      <c r="G61" s="13"/>
      <c r="H61" s="13">
        <f t="shared" si="9"/>
        <v>104465</v>
      </c>
      <c r="I61" s="22">
        <f t="shared" si="8"/>
        <v>15669.75</v>
      </c>
    </row>
    <row r="62" spans="2:9">
      <c r="B62" s="13" t="s">
        <v>32</v>
      </c>
      <c r="C62" s="14">
        <v>0.15</v>
      </c>
      <c r="D62" s="15">
        <v>8263</v>
      </c>
      <c r="E62" s="12">
        <v>0</v>
      </c>
      <c r="F62" s="12"/>
      <c r="G62" s="13">
        <v>0</v>
      </c>
      <c r="H62" s="13">
        <f t="shared" si="9"/>
        <v>8263</v>
      </c>
      <c r="I62" s="22">
        <f t="shared" si="8"/>
        <v>1239.45</v>
      </c>
    </row>
    <row r="63" spans="2:9">
      <c r="B63" s="13" t="s">
        <v>33</v>
      </c>
      <c r="C63" s="14">
        <v>0.15</v>
      </c>
      <c r="D63" s="15">
        <v>6593</v>
      </c>
      <c r="E63" s="12">
        <v>0</v>
      </c>
      <c r="F63" s="12"/>
      <c r="G63" s="13">
        <v>0</v>
      </c>
      <c r="H63" s="13">
        <f t="shared" si="9"/>
        <v>6593</v>
      </c>
      <c r="I63" s="22">
        <f t="shared" si="8"/>
        <v>988.94999999999993</v>
      </c>
    </row>
    <row r="64" spans="2:9">
      <c r="B64" s="13" t="s">
        <v>34</v>
      </c>
      <c r="C64" s="14">
        <v>0.15</v>
      </c>
      <c r="D64" s="15">
        <v>25665</v>
      </c>
      <c r="E64" s="12">
        <v>0</v>
      </c>
      <c r="F64" s="12"/>
      <c r="G64" s="13">
        <v>0</v>
      </c>
      <c r="H64" s="13">
        <f t="shared" si="9"/>
        <v>25665</v>
      </c>
      <c r="I64" s="22">
        <f t="shared" si="8"/>
        <v>3849.75</v>
      </c>
    </row>
    <row r="65" spans="2:9">
      <c r="B65" s="13" t="s">
        <v>33</v>
      </c>
      <c r="C65" s="14">
        <v>0.15</v>
      </c>
      <c r="D65" s="15">
        <v>7521</v>
      </c>
      <c r="E65" s="12">
        <v>0</v>
      </c>
      <c r="F65" s="12"/>
      <c r="G65" s="13">
        <v>0</v>
      </c>
      <c r="H65" s="13">
        <f t="shared" si="9"/>
        <v>7521</v>
      </c>
      <c r="I65" s="22">
        <f t="shared" si="8"/>
        <v>1128.1499999999999</v>
      </c>
    </row>
    <row r="66" spans="2:9">
      <c r="B66" s="13" t="s">
        <v>32</v>
      </c>
      <c r="C66" s="14">
        <v>0.15</v>
      </c>
      <c r="D66" s="15">
        <v>4087</v>
      </c>
      <c r="E66" s="12">
        <v>0</v>
      </c>
      <c r="F66" s="12"/>
      <c r="G66" s="13">
        <v>0</v>
      </c>
      <c r="H66" s="13">
        <f t="shared" si="9"/>
        <v>4087</v>
      </c>
      <c r="I66" s="22">
        <f t="shared" si="8"/>
        <v>613.04999999999995</v>
      </c>
    </row>
    <row r="67" spans="2:9">
      <c r="B67" s="13" t="s">
        <v>35</v>
      </c>
      <c r="C67" s="14">
        <v>0.15</v>
      </c>
      <c r="D67" s="15">
        <v>1347</v>
      </c>
      <c r="E67" s="12">
        <v>0</v>
      </c>
      <c r="F67" s="12"/>
      <c r="G67" s="13">
        <v>0</v>
      </c>
      <c r="H67" s="13">
        <f t="shared" si="9"/>
        <v>1347</v>
      </c>
      <c r="I67" s="22">
        <f t="shared" si="8"/>
        <v>202.04999999999998</v>
      </c>
    </row>
    <row r="68" spans="2:9">
      <c r="B68" s="13" t="s">
        <v>32</v>
      </c>
      <c r="C68" s="14">
        <v>0.15</v>
      </c>
      <c r="D68" s="15">
        <v>6812</v>
      </c>
      <c r="E68" s="12">
        <v>0</v>
      </c>
      <c r="F68" s="12"/>
      <c r="G68" s="13">
        <v>0</v>
      </c>
      <c r="H68" s="13">
        <f t="shared" si="9"/>
        <v>6812</v>
      </c>
      <c r="I68" s="22">
        <f t="shared" si="8"/>
        <v>1021.8</v>
      </c>
    </row>
    <row r="69" spans="2:9">
      <c r="B69" s="13" t="s">
        <v>36</v>
      </c>
      <c r="C69" s="14">
        <v>0.15</v>
      </c>
      <c r="D69" s="15">
        <v>21527</v>
      </c>
      <c r="E69" s="12">
        <v>0</v>
      </c>
      <c r="F69" s="12"/>
      <c r="G69" s="13">
        <v>0</v>
      </c>
      <c r="H69" s="13">
        <f t="shared" si="9"/>
        <v>21527</v>
      </c>
      <c r="I69" s="22">
        <f t="shared" si="8"/>
        <v>3229.0499999999997</v>
      </c>
    </row>
    <row r="70" spans="2:9">
      <c r="B70" s="13" t="s">
        <v>37</v>
      </c>
      <c r="C70" s="14">
        <v>0.15</v>
      </c>
      <c r="D70" s="15">
        <v>33343</v>
      </c>
      <c r="E70" s="21">
        <v>9850</v>
      </c>
      <c r="F70" s="12"/>
      <c r="G70" s="13">
        <v>0</v>
      </c>
      <c r="H70" s="13">
        <f t="shared" si="9"/>
        <v>43193</v>
      </c>
      <c r="I70" s="22">
        <f t="shared" si="8"/>
        <v>6478.95</v>
      </c>
    </row>
    <row r="71" spans="2:9">
      <c r="B71" s="13" t="s">
        <v>38</v>
      </c>
      <c r="C71" s="14">
        <v>0.15</v>
      </c>
      <c r="D71" s="15">
        <v>235925</v>
      </c>
      <c r="E71" s="21">
        <v>34125</v>
      </c>
      <c r="F71" s="12"/>
      <c r="G71" s="13">
        <v>0</v>
      </c>
      <c r="H71" s="13">
        <f t="shared" si="9"/>
        <v>270050</v>
      </c>
      <c r="I71" s="22">
        <f t="shared" si="8"/>
        <v>40507.5</v>
      </c>
    </row>
    <row r="72" spans="2:9">
      <c r="B72" s="13" t="s">
        <v>39</v>
      </c>
      <c r="C72" s="14">
        <v>0.15</v>
      </c>
      <c r="D72" s="15">
        <v>32389</v>
      </c>
      <c r="E72" s="12">
        <v>0</v>
      </c>
      <c r="F72" s="12"/>
      <c r="G72" s="13">
        <v>0</v>
      </c>
      <c r="H72" s="13">
        <f t="shared" si="9"/>
        <v>32389</v>
      </c>
      <c r="I72" s="22">
        <f t="shared" si="8"/>
        <v>4858.3499999999995</v>
      </c>
    </row>
    <row r="73" spans="2:9">
      <c r="B73" s="13" t="s">
        <v>7</v>
      </c>
      <c r="C73" s="14">
        <v>0.15</v>
      </c>
      <c r="D73" s="15">
        <v>125654</v>
      </c>
      <c r="E73" s="12">
        <v>0</v>
      </c>
      <c r="F73" s="12"/>
      <c r="G73" s="13">
        <v>0</v>
      </c>
      <c r="H73" s="13">
        <f t="shared" si="9"/>
        <v>125654</v>
      </c>
      <c r="I73" s="22">
        <f t="shared" si="8"/>
        <v>18848.099999999999</v>
      </c>
    </row>
    <row r="74" spans="2:9">
      <c r="B74" s="13" t="s">
        <v>40</v>
      </c>
      <c r="C74" s="14">
        <v>0.15</v>
      </c>
      <c r="D74" s="15">
        <v>50528</v>
      </c>
      <c r="E74" s="12">
        <v>0</v>
      </c>
      <c r="F74" s="12"/>
      <c r="G74" s="13">
        <v>0</v>
      </c>
      <c r="H74" s="13">
        <f t="shared" si="9"/>
        <v>50528</v>
      </c>
      <c r="I74" s="22">
        <f t="shared" si="8"/>
        <v>7579.2</v>
      </c>
    </row>
    <row r="75" spans="2:9">
      <c r="B75" s="13" t="s">
        <v>41</v>
      </c>
      <c r="C75" s="14">
        <v>0.15</v>
      </c>
      <c r="D75" s="15">
        <v>39150</v>
      </c>
      <c r="E75" s="12">
        <v>0</v>
      </c>
      <c r="F75" s="12"/>
      <c r="G75" s="13">
        <v>0</v>
      </c>
      <c r="H75" s="13">
        <f t="shared" si="9"/>
        <v>39150</v>
      </c>
      <c r="I75" s="22">
        <f t="shared" si="8"/>
        <v>5872.5</v>
      </c>
    </row>
    <row r="76" spans="2:9">
      <c r="B76" s="13" t="s">
        <v>42</v>
      </c>
      <c r="C76" s="14">
        <v>0.15</v>
      </c>
      <c r="D76" s="15">
        <v>36421</v>
      </c>
      <c r="E76" s="12">
        <v>0</v>
      </c>
      <c r="F76" s="12"/>
      <c r="G76" s="13">
        <v>0</v>
      </c>
      <c r="H76" s="13">
        <f t="shared" si="9"/>
        <v>36421</v>
      </c>
      <c r="I76" s="22">
        <f t="shared" si="8"/>
        <v>5463.15</v>
      </c>
    </row>
    <row r="77" spans="2:9">
      <c r="B77" s="13" t="s">
        <v>43</v>
      </c>
      <c r="C77" s="14">
        <v>0.15</v>
      </c>
      <c r="D77" s="15">
        <v>605920</v>
      </c>
      <c r="E77" s="12">
        <v>0</v>
      </c>
      <c r="F77" s="12"/>
      <c r="G77" s="13">
        <v>0</v>
      </c>
      <c r="H77" s="13">
        <f t="shared" si="9"/>
        <v>605920</v>
      </c>
      <c r="I77" s="22">
        <f t="shared" si="8"/>
        <v>90888</v>
      </c>
    </row>
    <row r="78" spans="2:9">
      <c r="B78" s="19"/>
      <c r="C78" s="12"/>
      <c r="D78" s="13"/>
      <c r="E78" s="12"/>
      <c r="F78" s="12"/>
      <c r="G78" s="13"/>
      <c r="H78" s="13"/>
      <c r="I78" s="25"/>
    </row>
    <row r="79" spans="2:9">
      <c r="B79" s="24" t="s">
        <v>44</v>
      </c>
      <c r="C79" s="18"/>
      <c r="D79" s="18"/>
      <c r="E79" s="17"/>
      <c r="F79" s="17"/>
      <c r="G79" s="18"/>
      <c r="H79" s="18"/>
      <c r="I79" s="26">
        <f>SUM(I33:I77)</f>
        <v>5516887.2104999991</v>
      </c>
    </row>
    <row r="81" spans="2:9">
      <c r="B81" s="2" t="s">
        <v>55</v>
      </c>
      <c r="I81" s="27" t="e">
        <f>I22+#REF!+I79</f>
        <v>#REF!</v>
      </c>
    </row>
    <row r="88" spans="2:9">
      <c r="D88" s="12"/>
    </row>
  </sheetData>
  <mergeCells count="1">
    <mergeCell ref="E9:F9"/>
  </mergeCells>
  <pageMargins left="0.69930555555555596" right="0.69930555555555596" top="0.75" bottom="0.75" header="0.3" footer="0.3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6"/>
  <sheetViews>
    <sheetView workbookViewId="0">
      <selection activeCell="I3" sqref="I3:I4"/>
    </sheetView>
  </sheetViews>
  <sheetFormatPr defaultColWidth="8" defaultRowHeight="12.75"/>
  <cols>
    <col min="1" max="1" width="5" style="101" customWidth="1"/>
    <col min="2" max="2" width="68.28515625" style="55" customWidth="1"/>
    <col min="3" max="3" width="5" style="55" customWidth="1"/>
    <col min="4" max="4" width="5.85546875" style="55" customWidth="1"/>
    <col min="5" max="5" width="10.85546875" style="55" customWidth="1"/>
    <col min="6" max="6" width="11" style="55" customWidth="1"/>
    <col min="7" max="7" width="8" style="55"/>
    <col min="8" max="8" width="0" style="55" hidden="1" customWidth="1"/>
    <col min="9" max="9" width="43.28515625" style="55" bestFit="1" customWidth="1"/>
    <col min="10" max="16384" width="8" style="55"/>
  </cols>
  <sheetData>
    <row r="1" spans="1:8" s="111" customFormat="1">
      <c r="A1" s="108" t="s">
        <v>199</v>
      </c>
      <c r="B1" s="109" t="s">
        <v>93</v>
      </c>
      <c r="C1" s="110" t="s">
        <v>86</v>
      </c>
      <c r="D1" s="110"/>
      <c r="E1" s="109" t="s">
        <v>94</v>
      </c>
      <c r="F1" s="109" t="s">
        <v>95</v>
      </c>
      <c r="H1" s="111" t="s">
        <v>197</v>
      </c>
    </row>
    <row r="2" spans="1:8" ht="15">
      <c r="A2" s="106">
        <v>1</v>
      </c>
      <c r="B2" s="55" t="s">
        <v>96</v>
      </c>
      <c r="C2" s="102">
        <v>60</v>
      </c>
      <c r="D2" s="102" t="s">
        <v>97</v>
      </c>
      <c r="E2" s="103">
        <v>1.5800000000000002E-2</v>
      </c>
      <c r="F2" s="103">
        <v>4.87E-2</v>
      </c>
      <c r="H2" s="55" t="s">
        <v>204</v>
      </c>
    </row>
    <row r="3" spans="1:8" ht="15">
      <c r="A3" s="106">
        <f>+A2+1</f>
        <v>2</v>
      </c>
      <c r="B3" s="102" t="s">
        <v>98</v>
      </c>
      <c r="C3" s="102">
        <v>30</v>
      </c>
      <c r="D3" s="102" t="s">
        <v>97</v>
      </c>
      <c r="E3" s="103">
        <v>3.1699999999999999E-2</v>
      </c>
      <c r="F3" s="103">
        <v>9.5000000000000001E-2</v>
      </c>
    </row>
    <row r="4" spans="1:8" ht="15">
      <c r="A4" s="106">
        <f t="shared" ref="A4:A67" si="0">+A3+1</f>
        <v>3</v>
      </c>
      <c r="B4" s="102" t="s">
        <v>99</v>
      </c>
      <c r="C4" s="102">
        <v>30</v>
      </c>
      <c r="D4" s="102" t="s">
        <v>97</v>
      </c>
      <c r="E4" s="103">
        <v>3.1699999999999999E-2</v>
      </c>
      <c r="F4" s="103">
        <v>9.5000000000000001E-2</v>
      </c>
    </row>
    <row r="5" spans="1:8" ht="15">
      <c r="A5" s="106">
        <f t="shared" si="0"/>
        <v>4</v>
      </c>
      <c r="B5" s="102" t="s">
        <v>100</v>
      </c>
      <c r="C5" s="102">
        <v>5</v>
      </c>
      <c r="D5" s="102" t="s">
        <v>97</v>
      </c>
      <c r="E5" s="103">
        <v>0.19</v>
      </c>
      <c r="F5" s="103">
        <v>0.45069999999999999</v>
      </c>
    </row>
    <row r="6" spans="1:8" ht="15">
      <c r="A6" s="106">
        <f t="shared" si="0"/>
        <v>5</v>
      </c>
      <c r="B6" s="55" t="s">
        <v>101</v>
      </c>
      <c r="C6" s="102">
        <v>3</v>
      </c>
      <c r="D6" s="102" t="s">
        <v>97</v>
      </c>
      <c r="E6" s="103">
        <v>0.31669999999999998</v>
      </c>
      <c r="F6" s="103">
        <v>0.63160000000000005</v>
      </c>
    </row>
    <row r="7" spans="1:8" ht="15">
      <c r="A7" s="106">
        <f t="shared" si="0"/>
        <v>6</v>
      </c>
      <c r="B7" s="102" t="s">
        <v>102</v>
      </c>
      <c r="C7" s="102">
        <v>30</v>
      </c>
      <c r="D7" s="102" t="s">
        <v>97</v>
      </c>
      <c r="E7" s="103">
        <v>3.1699999999999999E-2</v>
      </c>
      <c r="F7" s="103">
        <v>9.5000000000000001E-2</v>
      </c>
    </row>
    <row r="8" spans="1:8" ht="15">
      <c r="A8" s="106">
        <f t="shared" si="0"/>
        <v>7</v>
      </c>
      <c r="B8" s="102" t="s">
        <v>103</v>
      </c>
      <c r="C8" s="102">
        <v>10</v>
      </c>
      <c r="D8" s="102" t="s">
        <v>97</v>
      </c>
      <c r="E8" s="103">
        <v>9.5000000000000001E-2</v>
      </c>
      <c r="F8" s="103">
        <v>0.25890000000000002</v>
      </c>
    </row>
    <row r="9" spans="1:8" ht="15">
      <c r="A9" s="106">
        <f t="shared" si="0"/>
        <v>8</v>
      </c>
      <c r="B9" s="102" t="s">
        <v>104</v>
      </c>
      <c r="C9" s="102">
        <v>5</v>
      </c>
      <c r="D9" s="102" t="s">
        <v>97</v>
      </c>
      <c r="E9" s="103">
        <v>0.19</v>
      </c>
      <c r="F9" s="103">
        <v>0.45069999999999999</v>
      </c>
    </row>
    <row r="10" spans="1:8" ht="15">
      <c r="A10" s="106">
        <f t="shared" si="0"/>
        <v>9</v>
      </c>
      <c r="B10" s="102" t="s">
        <v>105</v>
      </c>
      <c r="C10" s="102">
        <v>3</v>
      </c>
      <c r="D10" s="102" t="s">
        <v>97</v>
      </c>
      <c r="E10" s="103">
        <v>0.31669999999999998</v>
      </c>
      <c r="F10" s="103">
        <v>0.63160000000000005</v>
      </c>
    </row>
    <row r="11" spans="1:8" ht="15">
      <c r="A11" s="106">
        <f t="shared" si="0"/>
        <v>10</v>
      </c>
      <c r="B11" s="102" t="s">
        <v>106</v>
      </c>
      <c r="C11" s="102">
        <v>15</v>
      </c>
      <c r="D11" s="102" t="s">
        <v>97</v>
      </c>
      <c r="E11" s="103">
        <v>6.3299999999999995E-2</v>
      </c>
      <c r="F11" s="103">
        <v>0.18099999999999999</v>
      </c>
    </row>
    <row r="12" spans="1:8" ht="15">
      <c r="A12" s="106">
        <f t="shared" si="0"/>
        <v>11</v>
      </c>
      <c r="B12" s="102" t="s">
        <v>107</v>
      </c>
      <c r="C12" s="102">
        <v>8</v>
      </c>
      <c r="D12" s="102" t="s">
        <v>97</v>
      </c>
      <c r="E12" s="103">
        <v>0.1188</v>
      </c>
      <c r="F12" s="103">
        <v>0.31230000000000002</v>
      </c>
    </row>
    <row r="13" spans="1:8" ht="15">
      <c r="A13" s="106">
        <f t="shared" si="0"/>
        <v>12</v>
      </c>
      <c r="B13" s="102" t="s">
        <v>108</v>
      </c>
      <c r="C13" s="102">
        <v>13</v>
      </c>
      <c r="D13" s="102" t="s">
        <v>97</v>
      </c>
      <c r="E13" s="103">
        <v>7.3099999999999998E-2</v>
      </c>
      <c r="F13" s="103">
        <v>0.20580000000000001</v>
      </c>
    </row>
    <row r="14" spans="1:8" ht="15">
      <c r="A14" s="106">
        <f t="shared" si="0"/>
        <v>13</v>
      </c>
      <c r="B14" s="102" t="s">
        <v>109</v>
      </c>
      <c r="C14" s="102">
        <v>13</v>
      </c>
      <c r="D14" s="102" t="s">
        <v>97</v>
      </c>
      <c r="E14" s="103">
        <v>7.3099999999999998E-2</v>
      </c>
      <c r="F14" s="103">
        <v>0.20580000000000001</v>
      </c>
    </row>
    <row r="15" spans="1:8" ht="15">
      <c r="A15" s="106">
        <f t="shared" si="0"/>
        <v>14</v>
      </c>
      <c r="B15" s="102" t="s">
        <v>110</v>
      </c>
      <c r="C15" s="102">
        <v>13</v>
      </c>
      <c r="D15" s="102" t="s">
        <v>97</v>
      </c>
      <c r="E15" s="103">
        <v>7.3099999999999998E-2</v>
      </c>
      <c r="F15" s="103">
        <v>0.20580000000000001</v>
      </c>
    </row>
    <row r="16" spans="1:8" ht="15">
      <c r="A16" s="106">
        <f t="shared" si="0"/>
        <v>15</v>
      </c>
      <c r="B16" s="102" t="s">
        <v>111</v>
      </c>
      <c r="C16" s="102">
        <v>8</v>
      </c>
      <c r="D16" s="102" t="s">
        <v>97</v>
      </c>
      <c r="E16" s="103">
        <v>0.1188</v>
      </c>
      <c r="F16" s="103">
        <v>0.31230000000000002</v>
      </c>
    </row>
    <row r="17" spans="1:6" ht="15">
      <c r="A17" s="106">
        <f t="shared" si="0"/>
        <v>16</v>
      </c>
      <c r="B17" s="102" t="s">
        <v>112</v>
      </c>
      <c r="C17" s="102">
        <v>10</v>
      </c>
      <c r="D17" s="102" t="s">
        <v>97</v>
      </c>
      <c r="E17" s="103">
        <v>9.5000000000000001E-2</v>
      </c>
      <c r="F17" s="103">
        <v>0.25890000000000002</v>
      </c>
    </row>
    <row r="18" spans="1:6" ht="15">
      <c r="A18" s="106">
        <f t="shared" si="0"/>
        <v>17</v>
      </c>
      <c r="B18" s="102" t="s">
        <v>113</v>
      </c>
      <c r="C18" s="102">
        <v>8</v>
      </c>
      <c r="D18" s="102" t="s">
        <v>97</v>
      </c>
      <c r="E18" s="103">
        <v>0.1188</v>
      </c>
      <c r="F18" s="103">
        <v>0.31230000000000002</v>
      </c>
    </row>
    <row r="19" spans="1:6" ht="15">
      <c r="A19" s="106">
        <f t="shared" si="0"/>
        <v>18</v>
      </c>
      <c r="B19" s="102" t="s">
        <v>114</v>
      </c>
      <c r="C19" s="102">
        <v>18</v>
      </c>
      <c r="D19" s="102" t="s">
        <v>97</v>
      </c>
      <c r="E19" s="103">
        <v>5.28E-2</v>
      </c>
      <c r="F19" s="103">
        <v>0.15329999999999999</v>
      </c>
    </row>
    <row r="20" spans="1:6" ht="15">
      <c r="A20" s="106">
        <f t="shared" si="0"/>
        <v>19</v>
      </c>
      <c r="B20" s="102" t="s">
        <v>115</v>
      </c>
      <c r="C20" s="102">
        <v>13</v>
      </c>
      <c r="D20" s="102" t="s">
        <v>97</v>
      </c>
      <c r="E20" s="103">
        <v>7.3099999999999998E-2</v>
      </c>
      <c r="F20" s="103">
        <v>0.20580000000000001</v>
      </c>
    </row>
    <row r="21" spans="1:6" ht="15">
      <c r="A21" s="106">
        <f t="shared" si="0"/>
        <v>20</v>
      </c>
      <c r="B21" s="102" t="s">
        <v>116</v>
      </c>
      <c r="C21" s="102">
        <v>18</v>
      </c>
      <c r="D21" s="102" t="s">
        <v>97</v>
      </c>
      <c r="E21" s="103">
        <v>5.28E-2</v>
      </c>
      <c r="F21" s="103">
        <v>0.15329999999999999</v>
      </c>
    </row>
    <row r="22" spans="1:6" ht="15">
      <c r="A22" s="106">
        <f t="shared" si="0"/>
        <v>21</v>
      </c>
      <c r="B22" s="102" t="s">
        <v>117</v>
      </c>
      <c r="C22" s="102">
        <v>25</v>
      </c>
      <c r="D22" s="102" t="s">
        <v>97</v>
      </c>
      <c r="E22" s="103">
        <v>3.7999999999999999E-2</v>
      </c>
      <c r="F22" s="103">
        <v>0.1129</v>
      </c>
    </row>
    <row r="23" spans="1:6" ht="15">
      <c r="A23" s="106">
        <f t="shared" si="0"/>
        <v>22</v>
      </c>
      <c r="B23" s="102" t="s">
        <v>118</v>
      </c>
      <c r="C23" s="102">
        <v>25</v>
      </c>
      <c r="D23" s="102" t="s">
        <v>97</v>
      </c>
      <c r="E23" s="103">
        <v>3.7999999999999999E-2</v>
      </c>
      <c r="F23" s="103">
        <v>0.1129</v>
      </c>
    </row>
    <row r="24" spans="1:6" ht="15">
      <c r="A24" s="106">
        <f t="shared" si="0"/>
        <v>23</v>
      </c>
      <c r="B24" s="102" t="s">
        <v>119</v>
      </c>
      <c r="C24" s="102">
        <v>25</v>
      </c>
      <c r="D24" s="102" t="s">
        <v>97</v>
      </c>
      <c r="E24" s="103">
        <v>3.7999999999999999E-2</v>
      </c>
      <c r="F24" s="103">
        <v>0.1129</v>
      </c>
    </row>
    <row r="25" spans="1:6" ht="15">
      <c r="A25" s="106">
        <f t="shared" si="0"/>
        <v>24</v>
      </c>
      <c r="B25" s="102" t="s">
        <v>120</v>
      </c>
      <c r="C25" s="102">
        <v>25</v>
      </c>
      <c r="D25" s="102" t="s">
        <v>97</v>
      </c>
      <c r="E25" s="103">
        <v>3.7999999999999999E-2</v>
      </c>
      <c r="F25" s="103">
        <v>0.1129</v>
      </c>
    </row>
    <row r="26" spans="1:6" ht="15">
      <c r="A26" s="106">
        <f t="shared" si="0"/>
        <v>25</v>
      </c>
      <c r="B26" s="102" t="s">
        <v>121</v>
      </c>
      <c r="C26" s="102">
        <v>30</v>
      </c>
      <c r="D26" s="102" t="s">
        <v>97</v>
      </c>
      <c r="E26" s="103">
        <v>3.1699999999999999E-2</v>
      </c>
      <c r="F26" s="103">
        <v>9.5000000000000001E-2</v>
      </c>
    </row>
    <row r="27" spans="1:6" ht="15">
      <c r="A27" s="106">
        <f t="shared" si="0"/>
        <v>26</v>
      </c>
      <c r="B27" s="102" t="s">
        <v>122</v>
      </c>
      <c r="C27" s="102">
        <v>30</v>
      </c>
      <c r="D27" s="102" t="s">
        <v>97</v>
      </c>
      <c r="E27" s="103">
        <v>3.1699999999999999E-2</v>
      </c>
      <c r="F27" s="103">
        <v>9.5000000000000001E-2</v>
      </c>
    </row>
    <row r="28" spans="1:6" ht="15">
      <c r="A28" s="106">
        <f t="shared" si="0"/>
        <v>27</v>
      </c>
      <c r="B28" s="102" t="s">
        <v>123</v>
      </c>
      <c r="C28" s="102">
        <v>8</v>
      </c>
      <c r="D28" s="102" t="s">
        <v>97</v>
      </c>
      <c r="E28" s="103">
        <v>0.1188</v>
      </c>
      <c r="F28" s="103">
        <v>0.31230000000000002</v>
      </c>
    </row>
    <row r="29" spans="1:6" ht="15">
      <c r="A29" s="106">
        <f t="shared" si="0"/>
        <v>28</v>
      </c>
      <c r="B29" s="102" t="s">
        <v>124</v>
      </c>
      <c r="C29" s="102">
        <v>8</v>
      </c>
      <c r="D29" s="102" t="s">
        <v>97</v>
      </c>
      <c r="E29" s="103">
        <v>0.1188</v>
      </c>
      <c r="F29" s="103">
        <v>0.31230000000000002</v>
      </c>
    </row>
    <row r="30" spans="1:6" ht="15">
      <c r="A30" s="106">
        <f t="shared" si="0"/>
        <v>29</v>
      </c>
      <c r="B30" s="102" t="s">
        <v>125</v>
      </c>
      <c r="C30" s="102">
        <v>40</v>
      </c>
      <c r="D30" s="102" t="s">
        <v>97</v>
      </c>
      <c r="E30" s="103">
        <v>2.3800000000000002E-2</v>
      </c>
      <c r="F30" s="103">
        <v>7.22E-2</v>
      </c>
    </row>
    <row r="31" spans="1:6" ht="15">
      <c r="A31" s="106">
        <f t="shared" si="0"/>
        <v>30</v>
      </c>
      <c r="B31" s="102" t="s">
        <v>126</v>
      </c>
      <c r="C31" s="102">
        <v>40</v>
      </c>
      <c r="D31" s="102" t="s">
        <v>97</v>
      </c>
      <c r="E31" s="103">
        <v>2.3800000000000002E-2</v>
      </c>
      <c r="F31" s="103">
        <v>7.22E-2</v>
      </c>
    </row>
    <row r="32" spans="1:6" ht="15">
      <c r="A32" s="106">
        <f t="shared" si="0"/>
        <v>31</v>
      </c>
      <c r="B32" s="102" t="s">
        <v>127</v>
      </c>
      <c r="C32" s="102">
        <v>40</v>
      </c>
      <c r="D32" s="102" t="s">
        <v>97</v>
      </c>
      <c r="E32" s="103">
        <v>2.3800000000000002E-2</v>
      </c>
      <c r="F32" s="103">
        <v>7.22E-2</v>
      </c>
    </row>
    <row r="33" spans="1:6" ht="15">
      <c r="A33" s="106">
        <f t="shared" si="0"/>
        <v>32</v>
      </c>
      <c r="B33" s="102" t="s">
        <v>128</v>
      </c>
      <c r="C33" s="102">
        <v>40</v>
      </c>
      <c r="D33" s="102" t="s">
        <v>97</v>
      </c>
      <c r="E33" s="103">
        <v>2.3800000000000002E-2</v>
      </c>
      <c r="F33" s="103">
        <v>7.22E-2</v>
      </c>
    </row>
    <row r="34" spans="1:6" ht="15">
      <c r="A34" s="106">
        <f t="shared" si="0"/>
        <v>33</v>
      </c>
      <c r="B34" s="102" t="s">
        <v>129</v>
      </c>
      <c r="C34" s="102">
        <v>22</v>
      </c>
      <c r="D34" s="102" t="s">
        <v>97</v>
      </c>
      <c r="E34" s="103">
        <v>4.3200000000000002E-2</v>
      </c>
      <c r="F34" s="103">
        <v>0.1273</v>
      </c>
    </row>
    <row r="35" spans="1:6" ht="15">
      <c r="A35" s="106">
        <f t="shared" si="0"/>
        <v>34</v>
      </c>
      <c r="B35" s="102" t="s">
        <v>130</v>
      </c>
      <c r="C35" s="102">
        <v>35</v>
      </c>
      <c r="D35" s="102" t="s">
        <v>97</v>
      </c>
      <c r="E35" s="103">
        <v>2.7099999999999999E-2</v>
      </c>
      <c r="F35" s="103">
        <v>8.2000000000000003E-2</v>
      </c>
    </row>
    <row r="36" spans="1:6" ht="15">
      <c r="A36" s="106">
        <f t="shared" si="0"/>
        <v>35</v>
      </c>
      <c r="B36" s="102" t="s">
        <v>131</v>
      </c>
      <c r="C36" s="102">
        <v>30</v>
      </c>
      <c r="D36" s="102" t="s">
        <v>97</v>
      </c>
      <c r="E36" s="103">
        <v>3.1699999999999999E-2</v>
      </c>
      <c r="F36" s="103">
        <v>9.5000000000000001E-2</v>
      </c>
    </row>
    <row r="37" spans="1:6" ht="15">
      <c r="A37" s="106">
        <f t="shared" si="0"/>
        <v>36</v>
      </c>
      <c r="B37" s="102" t="s">
        <v>132</v>
      </c>
      <c r="C37" s="102">
        <v>30</v>
      </c>
      <c r="D37" s="102" t="s">
        <v>97</v>
      </c>
      <c r="E37" s="103">
        <v>3.1699999999999999E-2</v>
      </c>
      <c r="F37" s="103">
        <v>9.5000000000000001E-2</v>
      </c>
    </row>
    <row r="38" spans="1:6" ht="15">
      <c r="A38" s="106">
        <f t="shared" si="0"/>
        <v>37</v>
      </c>
      <c r="B38" s="102" t="s">
        <v>133</v>
      </c>
      <c r="C38" s="102">
        <v>20</v>
      </c>
      <c r="D38" s="102" t="s">
        <v>97</v>
      </c>
      <c r="E38" s="103">
        <v>4.7500000000000001E-2</v>
      </c>
      <c r="F38" s="103">
        <v>0.1391</v>
      </c>
    </row>
    <row r="39" spans="1:6" ht="15">
      <c r="A39" s="106">
        <f t="shared" si="0"/>
        <v>38</v>
      </c>
      <c r="B39" s="102" t="s">
        <v>134</v>
      </c>
      <c r="C39" s="102">
        <v>20</v>
      </c>
      <c r="D39" s="102" t="s">
        <v>97</v>
      </c>
      <c r="E39" s="103">
        <v>4.7500000000000001E-2</v>
      </c>
      <c r="F39" s="103">
        <v>0.1391</v>
      </c>
    </row>
    <row r="40" spans="1:6" ht="15">
      <c r="A40" s="106">
        <f t="shared" si="0"/>
        <v>39</v>
      </c>
      <c r="B40" s="102" t="s">
        <v>135</v>
      </c>
      <c r="C40" s="102">
        <v>20</v>
      </c>
      <c r="D40" s="102" t="s">
        <v>97</v>
      </c>
      <c r="E40" s="103">
        <v>4.7500000000000001E-2</v>
      </c>
      <c r="F40" s="103">
        <v>0.1391</v>
      </c>
    </row>
    <row r="41" spans="1:6" ht="15">
      <c r="A41" s="106">
        <f t="shared" si="0"/>
        <v>40</v>
      </c>
      <c r="B41" s="102" t="s">
        <v>136</v>
      </c>
      <c r="C41" s="102">
        <v>20</v>
      </c>
      <c r="D41" s="102" t="s">
        <v>97</v>
      </c>
      <c r="E41" s="103">
        <v>4.7500000000000001E-2</v>
      </c>
      <c r="F41" s="103">
        <v>0.1391</v>
      </c>
    </row>
    <row r="42" spans="1:6" ht="15">
      <c r="A42" s="106">
        <f t="shared" si="0"/>
        <v>41</v>
      </c>
      <c r="B42" s="102" t="s">
        <v>137</v>
      </c>
      <c r="C42" s="102">
        <v>25</v>
      </c>
      <c r="D42" s="102" t="s">
        <v>97</v>
      </c>
      <c r="E42" s="103">
        <v>3.7999999999999999E-2</v>
      </c>
      <c r="F42" s="103">
        <v>0.1129</v>
      </c>
    </row>
    <row r="43" spans="1:6" ht="15">
      <c r="A43" s="106">
        <f t="shared" si="0"/>
        <v>42</v>
      </c>
      <c r="B43" s="102" t="s">
        <v>138</v>
      </c>
      <c r="C43" s="102">
        <v>40</v>
      </c>
      <c r="D43" s="102" t="s">
        <v>97</v>
      </c>
      <c r="E43" s="103">
        <v>2.3800000000000002E-2</v>
      </c>
      <c r="F43" s="103">
        <v>7.22E-2</v>
      </c>
    </row>
    <row r="44" spans="1:6" ht="15">
      <c r="A44" s="106">
        <f t="shared" si="0"/>
        <v>43</v>
      </c>
      <c r="B44" s="102" t="s">
        <v>139</v>
      </c>
      <c r="C44" s="102">
        <v>40</v>
      </c>
      <c r="D44" s="102" t="s">
        <v>97</v>
      </c>
      <c r="E44" s="103">
        <v>2.3800000000000002E-2</v>
      </c>
      <c r="F44" s="103">
        <v>7.22E-2</v>
      </c>
    </row>
    <row r="45" spans="1:6" ht="15">
      <c r="A45" s="106">
        <f t="shared" si="0"/>
        <v>44</v>
      </c>
      <c r="B45" s="102" t="s">
        <v>140</v>
      </c>
      <c r="C45" s="102">
        <v>40</v>
      </c>
      <c r="D45" s="102" t="s">
        <v>97</v>
      </c>
      <c r="E45" s="103">
        <v>2.3800000000000002E-2</v>
      </c>
      <c r="F45" s="103">
        <v>7.22E-2</v>
      </c>
    </row>
    <row r="46" spans="1:6" ht="15">
      <c r="A46" s="106">
        <f t="shared" si="0"/>
        <v>45</v>
      </c>
      <c r="B46" s="102" t="s">
        <v>141</v>
      </c>
      <c r="C46" s="102">
        <v>40</v>
      </c>
      <c r="D46" s="102" t="s">
        <v>97</v>
      </c>
      <c r="E46" s="103">
        <v>2.3800000000000002E-2</v>
      </c>
      <c r="F46" s="103">
        <v>7.22E-2</v>
      </c>
    </row>
    <row r="47" spans="1:6" ht="15">
      <c r="A47" s="106">
        <f t="shared" si="0"/>
        <v>46</v>
      </c>
      <c r="B47" s="102" t="s">
        <v>142</v>
      </c>
      <c r="C47" s="102">
        <v>40</v>
      </c>
      <c r="D47" s="102" t="s">
        <v>97</v>
      </c>
      <c r="E47" s="103">
        <v>2.3800000000000002E-2</v>
      </c>
      <c r="F47" s="103">
        <v>7.22E-2</v>
      </c>
    </row>
    <row r="48" spans="1:6" ht="15">
      <c r="A48" s="106">
        <f t="shared" si="0"/>
        <v>47</v>
      </c>
      <c r="B48" s="102" t="s">
        <v>143</v>
      </c>
      <c r="C48" s="102">
        <v>40</v>
      </c>
      <c r="D48" s="102" t="s">
        <v>97</v>
      </c>
      <c r="E48" s="103">
        <v>2.3800000000000002E-2</v>
      </c>
      <c r="F48" s="103">
        <v>7.22E-2</v>
      </c>
    </row>
    <row r="49" spans="1:6" ht="15">
      <c r="A49" s="106">
        <f t="shared" si="0"/>
        <v>48</v>
      </c>
      <c r="B49" s="102" t="s">
        <v>144</v>
      </c>
      <c r="C49" s="102">
        <v>40</v>
      </c>
      <c r="D49" s="102" t="s">
        <v>97</v>
      </c>
      <c r="E49" s="103">
        <v>2.3800000000000002E-2</v>
      </c>
      <c r="F49" s="103">
        <v>7.22E-2</v>
      </c>
    </row>
    <row r="50" spans="1:6" ht="15">
      <c r="A50" s="106">
        <f t="shared" si="0"/>
        <v>49</v>
      </c>
      <c r="B50" s="102" t="s">
        <v>145</v>
      </c>
      <c r="C50" s="102">
        <v>30</v>
      </c>
      <c r="D50" s="102" t="s">
        <v>97</v>
      </c>
      <c r="E50" s="103">
        <v>3.1699999999999999E-2</v>
      </c>
      <c r="F50" s="103">
        <v>9.5000000000000001E-2</v>
      </c>
    </row>
    <row r="51" spans="1:6" ht="15">
      <c r="A51" s="106">
        <f t="shared" si="0"/>
        <v>50</v>
      </c>
      <c r="B51" s="102" t="s">
        <v>146</v>
      </c>
      <c r="C51" s="102">
        <v>30</v>
      </c>
      <c r="D51" s="102" t="s">
        <v>97</v>
      </c>
      <c r="E51" s="103">
        <v>3.1699999999999999E-2</v>
      </c>
      <c r="F51" s="103">
        <v>9.5000000000000001E-2</v>
      </c>
    </row>
    <row r="52" spans="1:6" ht="15">
      <c r="A52" s="106">
        <f t="shared" si="0"/>
        <v>51</v>
      </c>
      <c r="B52" s="102" t="s">
        <v>147</v>
      </c>
      <c r="C52" s="102">
        <v>30</v>
      </c>
      <c r="D52" s="102" t="s">
        <v>97</v>
      </c>
      <c r="E52" s="103">
        <v>3.1699999999999999E-2</v>
      </c>
      <c r="F52" s="103">
        <v>9.5000000000000001E-2</v>
      </c>
    </row>
    <row r="53" spans="1:6" ht="15">
      <c r="A53" s="106">
        <f t="shared" si="0"/>
        <v>52</v>
      </c>
      <c r="B53" s="102" t="s">
        <v>148</v>
      </c>
      <c r="C53" s="102">
        <v>30</v>
      </c>
      <c r="D53" s="102" t="s">
        <v>97</v>
      </c>
      <c r="E53" s="103">
        <v>3.1699999999999999E-2</v>
      </c>
      <c r="F53" s="103">
        <v>9.5000000000000001E-2</v>
      </c>
    </row>
    <row r="54" spans="1:6" ht="15">
      <c r="A54" s="106">
        <f t="shared" si="0"/>
        <v>53</v>
      </c>
      <c r="B54" s="102" t="s">
        <v>149</v>
      </c>
      <c r="C54" s="102">
        <v>25</v>
      </c>
      <c r="D54" s="102" t="s">
        <v>97</v>
      </c>
      <c r="E54" s="103">
        <v>3.7999999999999999E-2</v>
      </c>
      <c r="F54" s="103">
        <v>0.1129</v>
      </c>
    </row>
    <row r="55" spans="1:6" ht="15">
      <c r="A55" s="106">
        <f t="shared" si="0"/>
        <v>54</v>
      </c>
      <c r="B55" s="102" t="s">
        <v>150</v>
      </c>
      <c r="C55" s="102">
        <v>25</v>
      </c>
      <c r="D55" s="102" t="s">
        <v>97</v>
      </c>
      <c r="E55" s="103">
        <v>3.7999999999999999E-2</v>
      </c>
      <c r="F55" s="103">
        <v>0.1129</v>
      </c>
    </row>
    <row r="56" spans="1:6" ht="15">
      <c r="A56" s="106">
        <f t="shared" si="0"/>
        <v>55</v>
      </c>
      <c r="B56" s="102" t="s">
        <v>151</v>
      </c>
      <c r="C56" s="102">
        <v>13</v>
      </c>
      <c r="D56" s="102" t="s">
        <v>97</v>
      </c>
      <c r="E56" s="103">
        <v>7.3099999999999998E-2</v>
      </c>
      <c r="F56" s="103">
        <v>0.20580000000000001</v>
      </c>
    </row>
    <row r="57" spans="1:6" ht="15">
      <c r="A57" s="106">
        <f t="shared" si="0"/>
        <v>56</v>
      </c>
      <c r="B57" s="102" t="s">
        <v>152</v>
      </c>
      <c r="C57" s="102">
        <v>15</v>
      </c>
      <c r="D57" s="102" t="s">
        <v>97</v>
      </c>
      <c r="E57" s="103">
        <v>6.3299999999999995E-2</v>
      </c>
      <c r="F57" s="103">
        <v>0.18099999999999999</v>
      </c>
    </row>
    <row r="58" spans="1:6" ht="15">
      <c r="A58" s="106">
        <f t="shared" si="0"/>
        <v>57</v>
      </c>
      <c r="B58" s="102" t="s">
        <v>153</v>
      </c>
      <c r="C58" s="102">
        <v>20</v>
      </c>
      <c r="D58" s="102" t="s">
        <v>97</v>
      </c>
      <c r="E58" s="103">
        <v>4.7500000000000001E-2</v>
      </c>
      <c r="F58" s="103">
        <v>0.1391</v>
      </c>
    </row>
    <row r="59" spans="1:6" ht="15">
      <c r="A59" s="106">
        <f t="shared" si="0"/>
        <v>58</v>
      </c>
      <c r="B59" s="102" t="s">
        <v>154</v>
      </c>
      <c r="C59" s="102">
        <v>20</v>
      </c>
      <c r="D59" s="102" t="s">
        <v>97</v>
      </c>
      <c r="E59" s="103">
        <v>4.7500000000000001E-2</v>
      </c>
      <c r="F59" s="103">
        <v>0.1391</v>
      </c>
    </row>
    <row r="60" spans="1:6" ht="15">
      <c r="A60" s="106">
        <f t="shared" si="0"/>
        <v>59</v>
      </c>
      <c r="B60" s="102" t="s">
        <v>155</v>
      </c>
      <c r="C60" s="102">
        <v>20</v>
      </c>
      <c r="D60" s="102" t="s">
        <v>97</v>
      </c>
      <c r="E60" s="103">
        <v>4.7500000000000001E-2</v>
      </c>
      <c r="F60" s="103">
        <v>0.1391</v>
      </c>
    </row>
    <row r="61" spans="1:6" ht="15">
      <c r="A61" s="106">
        <f t="shared" si="0"/>
        <v>60</v>
      </c>
      <c r="B61" s="102" t="s">
        <v>156</v>
      </c>
      <c r="C61" s="102">
        <v>20</v>
      </c>
      <c r="D61" s="102" t="s">
        <v>97</v>
      </c>
      <c r="E61" s="103">
        <v>4.7500000000000001E-2</v>
      </c>
      <c r="F61" s="103">
        <v>0.1391</v>
      </c>
    </row>
    <row r="62" spans="1:6" ht="15">
      <c r="A62" s="106">
        <f t="shared" si="0"/>
        <v>61</v>
      </c>
      <c r="B62" s="104" t="s">
        <v>157</v>
      </c>
      <c r="C62" s="102">
        <v>12</v>
      </c>
      <c r="D62" s="102" t="s">
        <v>97</v>
      </c>
      <c r="E62" s="103">
        <v>7.9200000000000007E-2</v>
      </c>
      <c r="F62" s="103">
        <v>0.22090000000000001</v>
      </c>
    </row>
    <row r="63" spans="1:6" ht="15">
      <c r="A63" s="106">
        <f t="shared" si="0"/>
        <v>62</v>
      </c>
      <c r="B63" s="102" t="s">
        <v>158</v>
      </c>
      <c r="C63" s="102">
        <v>20</v>
      </c>
      <c r="D63" s="102" t="s">
        <v>97</v>
      </c>
      <c r="E63" s="103">
        <v>4.7500000000000001E-2</v>
      </c>
      <c r="F63" s="103">
        <v>0.1391</v>
      </c>
    </row>
    <row r="64" spans="1:6" ht="15">
      <c r="A64" s="106">
        <f t="shared" si="0"/>
        <v>63</v>
      </c>
      <c r="B64" s="102" t="s">
        <v>159</v>
      </c>
      <c r="C64" s="102">
        <v>15</v>
      </c>
      <c r="D64" s="102" t="s">
        <v>97</v>
      </c>
      <c r="E64" s="103">
        <v>6.3299999999999995E-2</v>
      </c>
      <c r="F64" s="103">
        <v>0.18099999999999999</v>
      </c>
    </row>
    <row r="65" spans="1:6" ht="15">
      <c r="A65" s="106">
        <f t="shared" si="0"/>
        <v>64</v>
      </c>
      <c r="B65" s="102" t="s">
        <v>160</v>
      </c>
      <c r="C65" s="102">
        <v>10</v>
      </c>
      <c r="D65" s="102" t="s">
        <v>97</v>
      </c>
      <c r="E65" s="103">
        <v>9.5000000000000001E-2</v>
      </c>
      <c r="F65" s="103">
        <v>0.25890000000000002</v>
      </c>
    </row>
    <row r="66" spans="1:6" ht="15">
      <c r="A66" s="106">
        <f t="shared" si="0"/>
        <v>65</v>
      </c>
      <c r="B66" s="102" t="s">
        <v>161</v>
      </c>
      <c r="C66" s="102">
        <v>9</v>
      </c>
      <c r="D66" s="102" t="s">
        <v>97</v>
      </c>
      <c r="E66" s="103">
        <v>0.1056</v>
      </c>
      <c r="F66" s="103">
        <v>0.28310000000000002</v>
      </c>
    </row>
    <row r="67" spans="1:6" ht="15">
      <c r="A67" s="106">
        <f t="shared" si="0"/>
        <v>66</v>
      </c>
      <c r="B67" s="102" t="s">
        <v>162</v>
      </c>
      <c r="C67" s="102">
        <v>12</v>
      </c>
      <c r="D67" s="102" t="s">
        <v>97</v>
      </c>
      <c r="E67" s="103">
        <v>7.9200000000000007E-2</v>
      </c>
      <c r="F67" s="103">
        <v>0.22090000000000001</v>
      </c>
    </row>
    <row r="68" spans="1:6" ht="15">
      <c r="A68" s="106">
        <f t="shared" ref="A68:A126" si="1">+A67+1</f>
        <v>67</v>
      </c>
      <c r="B68" s="102" t="s">
        <v>163</v>
      </c>
      <c r="C68" s="102">
        <v>15</v>
      </c>
      <c r="D68" s="102" t="s">
        <v>97</v>
      </c>
      <c r="E68" s="103">
        <v>6.3299999999999995E-2</v>
      </c>
      <c r="F68" s="103">
        <v>0.18099999999999999</v>
      </c>
    </row>
    <row r="69" spans="1:6" ht="15">
      <c r="A69" s="106">
        <f t="shared" si="1"/>
        <v>68</v>
      </c>
      <c r="B69" s="102" t="s">
        <v>164</v>
      </c>
      <c r="C69" s="102">
        <v>10</v>
      </c>
      <c r="D69" s="102" t="s">
        <v>97</v>
      </c>
      <c r="E69" s="103">
        <v>9.5000000000000001E-2</v>
      </c>
      <c r="F69" s="103">
        <v>0.25890000000000002</v>
      </c>
    </row>
    <row r="70" spans="1:6" ht="15">
      <c r="A70" s="106">
        <f t="shared" si="1"/>
        <v>69</v>
      </c>
      <c r="B70" s="102" t="s">
        <v>165</v>
      </c>
      <c r="C70" s="102">
        <v>8</v>
      </c>
      <c r="D70" s="102" t="s">
        <v>97</v>
      </c>
      <c r="E70" s="103">
        <v>0.1188</v>
      </c>
      <c r="F70" s="103">
        <v>0.31230000000000002</v>
      </c>
    </row>
    <row r="71" spans="1:6" ht="15">
      <c r="A71" s="106">
        <f t="shared" si="1"/>
        <v>70</v>
      </c>
      <c r="B71" s="102" t="s">
        <v>166</v>
      </c>
      <c r="C71" s="102">
        <v>10</v>
      </c>
      <c r="D71" s="102" t="s">
        <v>97</v>
      </c>
      <c r="E71" s="103">
        <v>9.5000000000000001E-2</v>
      </c>
      <c r="F71" s="103">
        <v>0.25890000000000002</v>
      </c>
    </row>
    <row r="72" spans="1:6" ht="15">
      <c r="A72" s="106">
        <f t="shared" si="1"/>
        <v>71</v>
      </c>
      <c r="B72" s="102" t="s">
        <v>167</v>
      </c>
      <c r="C72" s="102">
        <v>6</v>
      </c>
      <c r="D72" s="102" t="s">
        <v>97</v>
      </c>
      <c r="E72" s="103">
        <v>0.1583</v>
      </c>
      <c r="F72" s="103">
        <v>0.39300000000000002</v>
      </c>
    </row>
    <row r="73" spans="1:6" ht="15">
      <c r="A73" s="106">
        <f t="shared" si="1"/>
        <v>72</v>
      </c>
      <c r="B73" s="102" t="s">
        <v>168</v>
      </c>
      <c r="C73" s="102">
        <v>8</v>
      </c>
      <c r="D73" s="102" t="s">
        <v>97</v>
      </c>
      <c r="E73" s="103">
        <v>0.1188</v>
      </c>
      <c r="F73" s="103">
        <v>0.31230000000000002</v>
      </c>
    </row>
    <row r="74" spans="1:6" ht="15">
      <c r="A74" s="106">
        <f t="shared" si="1"/>
        <v>73</v>
      </c>
      <c r="B74" s="102" t="s">
        <v>169</v>
      </c>
      <c r="C74" s="102">
        <v>8</v>
      </c>
      <c r="D74" s="102" t="s">
        <v>97</v>
      </c>
      <c r="E74" s="103">
        <v>0.1188</v>
      </c>
      <c r="F74" s="103">
        <v>0.31230000000000002</v>
      </c>
    </row>
    <row r="75" spans="1:6" ht="15">
      <c r="A75" s="106">
        <f t="shared" si="1"/>
        <v>74</v>
      </c>
      <c r="B75" s="102" t="s">
        <v>170</v>
      </c>
      <c r="C75" s="102">
        <v>8</v>
      </c>
      <c r="D75" s="102" t="s">
        <v>97</v>
      </c>
      <c r="E75" s="103">
        <v>0.1188</v>
      </c>
      <c r="F75" s="103">
        <v>0.31230000000000002</v>
      </c>
    </row>
    <row r="76" spans="1:6" ht="15">
      <c r="A76" s="106">
        <f t="shared" si="1"/>
        <v>75</v>
      </c>
      <c r="B76" s="102" t="s">
        <v>171</v>
      </c>
      <c r="C76" s="102">
        <v>25</v>
      </c>
      <c r="D76" s="102" t="s">
        <v>97</v>
      </c>
      <c r="E76" s="103">
        <v>3.7999999999999999E-2</v>
      </c>
      <c r="F76" s="103">
        <v>0.1129</v>
      </c>
    </row>
    <row r="77" spans="1:6" ht="15">
      <c r="A77" s="106">
        <f t="shared" si="1"/>
        <v>76</v>
      </c>
      <c r="B77" s="102" t="s">
        <v>172</v>
      </c>
      <c r="C77" s="102">
        <v>20</v>
      </c>
      <c r="D77" s="102" t="s">
        <v>97</v>
      </c>
      <c r="E77" s="103">
        <v>4.7500000000000001E-2</v>
      </c>
      <c r="F77" s="103">
        <v>0.1391</v>
      </c>
    </row>
    <row r="78" spans="1:6" ht="15">
      <c r="A78" s="106">
        <f t="shared" si="1"/>
        <v>77</v>
      </c>
      <c r="B78" s="102" t="s">
        <v>173</v>
      </c>
      <c r="C78" s="102">
        <v>25</v>
      </c>
      <c r="D78" s="102" t="s">
        <v>97</v>
      </c>
      <c r="E78" s="103">
        <v>3.7999999999999999E-2</v>
      </c>
      <c r="F78" s="103">
        <v>0.1129</v>
      </c>
    </row>
    <row r="79" spans="1:6" ht="15">
      <c r="A79" s="106">
        <f t="shared" si="1"/>
        <v>78</v>
      </c>
      <c r="B79" s="102" t="s">
        <v>174</v>
      </c>
      <c r="C79" s="102">
        <v>20</v>
      </c>
      <c r="D79" s="102" t="s">
        <v>97</v>
      </c>
      <c r="E79" s="103">
        <v>4.7500000000000001E-2</v>
      </c>
      <c r="F79" s="103">
        <v>0.1391</v>
      </c>
    </row>
    <row r="80" spans="1:6" ht="15">
      <c r="A80" s="106">
        <f t="shared" si="1"/>
        <v>79</v>
      </c>
      <c r="B80" s="102" t="s">
        <v>175</v>
      </c>
      <c r="C80" s="102">
        <v>30</v>
      </c>
      <c r="D80" s="102" t="s">
        <v>97</v>
      </c>
      <c r="E80" s="103">
        <v>3.1699999999999999E-2</v>
      </c>
      <c r="F80" s="103">
        <v>9.5000000000000001E-2</v>
      </c>
    </row>
    <row r="81" spans="1:6" ht="15">
      <c r="A81" s="106">
        <f t="shared" si="1"/>
        <v>80</v>
      </c>
      <c r="B81" s="102" t="s">
        <v>176</v>
      </c>
      <c r="C81" s="102">
        <v>30</v>
      </c>
      <c r="D81" s="102" t="s">
        <v>97</v>
      </c>
      <c r="E81" s="103">
        <v>3.1699999999999999E-2</v>
      </c>
      <c r="F81" s="103">
        <v>9.5000000000000001E-2</v>
      </c>
    </row>
    <row r="82" spans="1:6" ht="15">
      <c r="A82" s="106">
        <f t="shared" si="1"/>
        <v>81</v>
      </c>
      <c r="B82" s="102" t="s">
        <v>177</v>
      </c>
      <c r="C82" s="102">
        <v>30</v>
      </c>
      <c r="D82" s="102" t="s">
        <v>97</v>
      </c>
      <c r="E82" s="103">
        <v>3.1699999999999999E-2</v>
      </c>
      <c r="F82" s="103">
        <v>9.5000000000000001E-2</v>
      </c>
    </row>
    <row r="83" spans="1:6" ht="15">
      <c r="A83" s="106">
        <f t="shared" si="1"/>
        <v>82</v>
      </c>
      <c r="B83" s="102" t="s">
        <v>178</v>
      </c>
      <c r="C83" s="102">
        <v>20</v>
      </c>
      <c r="D83" s="102" t="s">
        <v>97</v>
      </c>
      <c r="E83" s="103">
        <v>4.7500000000000001E-2</v>
      </c>
      <c r="F83" s="103">
        <v>0.1391</v>
      </c>
    </row>
    <row r="84" spans="1:6" ht="15">
      <c r="A84" s="106">
        <f t="shared" si="1"/>
        <v>83</v>
      </c>
      <c r="B84" s="102" t="s">
        <v>179</v>
      </c>
      <c r="C84" s="102">
        <v>20</v>
      </c>
      <c r="D84" s="102" t="s">
        <v>97</v>
      </c>
      <c r="E84" s="103">
        <v>4.7500000000000001E-2</v>
      </c>
      <c r="F84" s="103">
        <v>0.1391</v>
      </c>
    </row>
    <row r="85" spans="1:6" ht="15">
      <c r="A85" s="106">
        <f t="shared" si="1"/>
        <v>84</v>
      </c>
      <c r="B85" s="102" t="s">
        <v>180</v>
      </c>
      <c r="C85" s="102">
        <v>25</v>
      </c>
      <c r="D85" s="102" t="s">
        <v>97</v>
      </c>
      <c r="E85" s="103">
        <v>3.7999999999999999E-2</v>
      </c>
      <c r="F85" s="103">
        <v>0.1129</v>
      </c>
    </row>
    <row r="86" spans="1:6" ht="15">
      <c r="A86" s="106">
        <f t="shared" si="1"/>
        <v>85</v>
      </c>
      <c r="B86" s="102" t="s">
        <v>181</v>
      </c>
      <c r="C86" s="102">
        <v>15</v>
      </c>
      <c r="D86" s="102" t="s">
        <v>97</v>
      </c>
      <c r="E86" s="103">
        <v>6.3299999999999995E-2</v>
      </c>
      <c r="F86" s="103">
        <v>0.18099999999999999</v>
      </c>
    </row>
    <row r="87" spans="1:6" ht="15">
      <c r="A87" s="106">
        <f t="shared" si="1"/>
        <v>86</v>
      </c>
      <c r="B87" s="102" t="s">
        <v>182</v>
      </c>
      <c r="C87" s="102">
        <v>10</v>
      </c>
      <c r="D87" s="102" t="s">
        <v>97</v>
      </c>
      <c r="E87" s="103">
        <v>9.5000000000000001E-2</v>
      </c>
      <c r="F87" s="103">
        <v>0.25890000000000002</v>
      </c>
    </row>
    <row r="88" spans="1:6" ht="15">
      <c r="A88" s="106">
        <f t="shared" si="1"/>
        <v>87</v>
      </c>
      <c r="B88" s="102" t="s">
        <v>183</v>
      </c>
      <c r="C88" s="102">
        <v>14</v>
      </c>
      <c r="D88" s="102" t="s">
        <v>97</v>
      </c>
      <c r="E88" s="103">
        <v>6.7900000000000002E-2</v>
      </c>
      <c r="F88" s="103">
        <v>0.19259999999999999</v>
      </c>
    </row>
    <row r="89" spans="1:6" ht="15">
      <c r="A89" s="106">
        <f t="shared" si="1"/>
        <v>88</v>
      </c>
      <c r="B89" s="102" t="s">
        <v>184</v>
      </c>
      <c r="C89" s="102">
        <v>13</v>
      </c>
      <c r="D89" s="102" t="s">
        <v>97</v>
      </c>
      <c r="E89" s="103">
        <v>7.3099999999999998E-2</v>
      </c>
      <c r="F89" s="103">
        <v>0.20580000000000001</v>
      </c>
    </row>
    <row r="90" spans="1:6" ht="15">
      <c r="A90" s="106">
        <f t="shared" si="1"/>
        <v>89</v>
      </c>
      <c r="B90" s="102" t="s">
        <v>185</v>
      </c>
      <c r="C90" s="102">
        <v>28</v>
      </c>
      <c r="D90" s="102" t="s">
        <v>97</v>
      </c>
      <c r="E90" s="103">
        <v>3.39E-2</v>
      </c>
      <c r="F90" s="103">
        <v>0.10150000000000001</v>
      </c>
    </row>
    <row r="91" spans="1:6" ht="15">
      <c r="A91" s="106">
        <f t="shared" si="1"/>
        <v>90</v>
      </c>
      <c r="B91" s="102" t="s">
        <v>186</v>
      </c>
      <c r="C91" s="102">
        <v>20</v>
      </c>
      <c r="D91" s="102" t="s">
        <v>97</v>
      </c>
      <c r="E91" s="103">
        <v>4.7500000000000001E-2</v>
      </c>
      <c r="F91" s="103">
        <v>0.1391</v>
      </c>
    </row>
    <row r="92" spans="1:6" ht="15">
      <c r="A92" s="106">
        <f t="shared" si="1"/>
        <v>91</v>
      </c>
      <c r="B92" s="102" t="s">
        <v>187</v>
      </c>
      <c r="C92" s="102">
        <v>15</v>
      </c>
      <c r="D92" s="102" t="s">
        <v>97</v>
      </c>
      <c r="E92" s="103">
        <v>6.3299999999999995E-2</v>
      </c>
      <c r="F92" s="103">
        <v>0.18099999999999999</v>
      </c>
    </row>
    <row r="93" spans="1:6" ht="15">
      <c r="A93" s="106">
        <f t="shared" si="1"/>
        <v>92</v>
      </c>
      <c r="B93" s="102" t="s">
        <v>188</v>
      </c>
      <c r="C93" s="102">
        <v>15</v>
      </c>
      <c r="D93" s="102" t="s">
        <v>97</v>
      </c>
      <c r="E93" s="103">
        <v>6.3299999999999995E-2</v>
      </c>
      <c r="F93" s="103">
        <v>0.18099999999999999</v>
      </c>
    </row>
    <row r="94" spans="1:6" ht="15">
      <c r="A94" s="106">
        <f t="shared" si="1"/>
        <v>93</v>
      </c>
      <c r="B94" s="102" t="s">
        <v>189</v>
      </c>
      <c r="C94" s="102">
        <v>5</v>
      </c>
      <c r="D94" s="102" t="s">
        <v>97</v>
      </c>
      <c r="E94" s="103">
        <v>0.19</v>
      </c>
      <c r="F94" s="103">
        <v>0.45069999999999999</v>
      </c>
    </row>
    <row r="95" spans="1:6" ht="15">
      <c r="A95" s="106">
        <f t="shared" si="1"/>
        <v>94</v>
      </c>
      <c r="B95" s="102" t="s">
        <v>190</v>
      </c>
      <c r="C95" s="102">
        <v>6</v>
      </c>
      <c r="D95" s="102" t="s">
        <v>97</v>
      </c>
      <c r="E95" s="103">
        <v>0.1583</v>
      </c>
      <c r="F95" s="103">
        <v>0.39300000000000002</v>
      </c>
    </row>
    <row r="96" spans="1:6" ht="15">
      <c r="A96" s="106">
        <f t="shared" si="1"/>
        <v>95</v>
      </c>
      <c r="B96" s="102" t="s">
        <v>191</v>
      </c>
      <c r="C96" s="102">
        <v>3</v>
      </c>
      <c r="D96" s="102" t="s">
        <v>97</v>
      </c>
      <c r="E96" s="103">
        <v>0.31669999999999998</v>
      </c>
      <c r="F96" s="103">
        <v>0.63160000000000005</v>
      </c>
    </row>
    <row r="97" spans="1:6" ht="15">
      <c r="A97" s="106">
        <f t="shared" si="1"/>
        <v>96</v>
      </c>
      <c r="B97" s="102" t="s">
        <v>192</v>
      </c>
      <c r="C97" s="102">
        <v>10</v>
      </c>
      <c r="D97" s="102" t="s">
        <v>97</v>
      </c>
      <c r="E97" s="103">
        <v>9.5000000000000001E-2</v>
      </c>
      <c r="F97" s="103">
        <v>0.25890000000000002</v>
      </c>
    </row>
    <row r="98" spans="1:6" ht="15">
      <c r="A98" s="106">
        <f t="shared" si="1"/>
        <v>97</v>
      </c>
      <c r="B98" s="102" t="s">
        <v>193</v>
      </c>
      <c r="C98" s="102">
        <v>5</v>
      </c>
      <c r="D98" s="102" t="s">
        <v>97</v>
      </c>
      <c r="E98" s="103">
        <v>0.19</v>
      </c>
      <c r="F98" s="103">
        <v>0.45069999999999999</v>
      </c>
    </row>
    <row r="99" spans="1:6" ht="15">
      <c r="A99" s="106">
        <f t="shared" si="1"/>
        <v>98</v>
      </c>
      <c r="B99" s="102" t="s">
        <v>194</v>
      </c>
      <c r="C99" s="102">
        <v>10</v>
      </c>
      <c r="D99" s="102" t="s">
        <v>97</v>
      </c>
      <c r="E99" s="103">
        <v>9.5000000000000001E-2</v>
      </c>
      <c r="F99" s="103">
        <v>0.25890000000000002</v>
      </c>
    </row>
    <row r="100" spans="1:6" ht="15">
      <c r="A100" s="106">
        <f t="shared" si="1"/>
        <v>99</v>
      </c>
      <c r="B100" s="102" t="s">
        <v>195</v>
      </c>
      <c r="C100" s="102">
        <v>15</v>
      </c>
      <c r="D100" s="102" t="s">
        <v>97</v>
      </c>
      <c r="E100" s="103">
        <v>6.3299999999999995E-2</v>
      </c>
      <c r="F100" s="103">
        <v>0.18099999999999999</v>
      </c>
    </row>
    <row r="101" spans="1:6">
      <c r="A101" s="107">
        <f t="shared" si="1"/>
        <v>100</v>
      </c>
      <c r="B101" s="105"/>
      <c r="C101" s="105"/>
      <c r="D101" s="105"/>
      <c r="E101" s="105"/>
      <c r="F101" s="105"/>
    </row>
    <row r="102" spans="1:6">
      <c r="A102" s="107">
        <f t="shared" si="1"/>
        <v>101</v>
      </c>
      <c r="B102" s="105"/>
      <c r="C102" s="105"/>
      <c r="D102" s="105"/>
      <c r="E102" s="105"/>
      <c r="F102" s="105"/>
    </row>
    <row r="103" spans="1:6">
      <c r="A103" s="107">
        <f t="shared" si="1"/>
        <v>102</v>
      </c>
      <c r="B103" s="105"/>
      <c r="C103" s="105"/>
      <c r="D103" s="105"/>
      <c r="E103" s="105"/>
      <c r="F103" s="105"/>
    </row>
    <row r="104" spans="1:6">
      <c r="A104" s="107">
        <f t="shared" si="1"/>
        <v>103</v>
      </c>
      <c r="B104" s="105"/>
      <c r="C104" s="105"/>
      <c r="D104" s="105"/>
      <c r="E104" s="105"/>
      <c r="F104" s="105"/>
    </row>
    <row r="105" spans="1:6">
      <c r="A105" s="107">
        <f t="shared" si="1"/>
        <v>104</v>
      </c>
      <c r="B105" s="105"/>
      <c r="C105" s="105"/>
      <c r="D105" s="105"/>
      <c r="E105" s="105"/>
      <c r="F105" s="105"/>
    </row>
    <row r="106" spans="1:6">
      <c r="A106" s="107">
        <f t="shared" si="1"/>
        <v>105</v>
      </c>
      <c r="B106" s="105"/>
      <c r="C106" s="105"/>
      <c r="D106" s="105"/>
      <c r="E106" s="105"/>
      <c r="F106" s="105"/>
    </row>
    <row r="107" spans="1:6">
      <c r="A107" s="107">
        <f t="shared" si="1"/>
        <v>106</v>
      </c>
      <c r="B107" s="105"/>
      <c r="C107" s="105"/>
      <c r="D107" s="105"/>
      <c r="E107" s="105"/>
      <c r="F107" s="105"/>
    </row>
    <row r="108" spans="1:6">
      <c r="A108" s="107">
        <f t="shared" si="1"/>
        <v>107</v>
      </c>
      <c r="B108" s="105"/>
      <c r="C108" s="105"/>
      <c r="D108" s="105"/>
      <c r="E108" s="105"/>
      <c r="F108" s="105"/>
    </row>
    <row r="109" spans="1:6">
      <c r="A109" s="107">
        <f t="shared" si="1"/>
        <v>108</v>
      </c>
      <c r="B109" s="105"/>
      <c r="C109" s="105"/>
      <c r="D109" s="105"/>
      <c r="E109" s="105"/>
      <c r="F109" s="105"/>
    </row>
    <row r="110" spans="1:6">
      <c r="A110" s="107">
        <f t="shared" si="1"/>
        <v>109</v>
      </c>
      <c r="B110" s="105"/>
      <c r="C110" s="105"/>
      <c r="D110" s="105"/>
      <c r="E110" s="105"/>
      <c r="F110" s="105"/>
    </row>
    <row r="111" spans="1:6">
      <c r="A111" s="107">
        <f t="shared" si="1"/>
        <v>110</v>
      </c>
      <c r="B111" s="105"/>
      <c r="C111" s="105"/>
      <c r="D111" s="105"/>
      <c r="E111" s="105"/>
      <c r="F111" s="105"/>
    </row>
    <row r="112" spans="1:6">
      <c r="A112" s="107">
        <f t="shared" si="1"/>
        <v>111</v>
      </c>
      <c r="B112" s="105"/>
      <c r="C112" s="105"/>
      <c r="D112" s="105"/>
      <c r="E112" s="105"/>
      <c r="F112" s="105"/>
    </row>
    <row r="113" spans="1:6">
      <c r="A113" s="107">
        <f t="shared" si="1"/>
        <v>112</v>
      </c>
      <c r="B113" s="105"/>
      <c r="C113" s="105"/>
      <c r="D113" s="105"/>
      <c r="E113" s="105"/>
      <c r="F113" s="105"/>
    </row>
    <row r="114" spans="1:6">
      <c r="A114" s="107">
        <f t="shared" si="1"/>
        <v>113</v>
      </c>
      <c r="B114" s="105"/>
      <c r="C114" s="105"/>
      <c r="D114" s="105"/>
      <c r="E114" s="105"/>
      <c r="F114" s="105"/>
    </row>
    <row r="115" spans="1:6">
      <c r="A115" s="107">
        <f t="shared" si="1"/>
        <v>114</v>
      </c>
      <c r="B115" s="105"/>
      <c r="C115" s="105"/>
      <c r="D115" s="105"/>
      <c r="E115" s="105"/>
      <c r="F115" s="105"/>
    </row>
    <row r="116" spans="1:6">
      <c r="A116" s="107">
        <f t="shared" si="1"/>
        <v>115</v>
      </c>
      <c r="B116" s="105"/>
      <c r="C116" s="105"/>
      <c r="D116" s="105"/>
      <c r="E116" s="105"/>
      <c r="F116" s="105"/>
    </row>
    <row r="117" spans="1:6">
      <c r="A117" s="107">
        <f t="shared" si="1"/>
        <v>116</v>
      </c>
      <c r="B117" s="105"/>
      <c r="C117" s="105"/>
      <c r="D117" s="105"/>
      <c r="E117" s="105"/>
      <c r="F117" s="105"/>
    </row>
    <row r="118" spans="1:6">
      <c r="A118" s="107">
        <f t="shared" si="1"/>
        <v>117</v>
      </c>
      <c r="B118" s="105"/>
      <c r="C118" s="105"/>
      <c r="D118" s="105"/>
      <c r="E118" s="105"/>
      <c r="F118" s="105"/>
    </row>
    <row r="119" spans="1:6">
      <c r="A119" s="107">
        <f t="shared" si="1"/>
        <v>118</v>
      </c>
      <c r="B119" s="105"/>
      <c r="C119" s="105"/>
      <c r="D119" s="105"/>
      <c r="E119" s="105"/>
      <c r="F119" s="105"/>
    </row>
    <row r="120" spans="1:6">
      <c r="A120" s="107">
        <f t="shared" si="1"/>
        <v>119</v>
      </c>
      <c r="B120" s="105"/>
      <c r="C120" s="105"/>
      <c r="D120" s="105"/>
      <c r="E120" s="105"/>
      <c r="F120" s="105"/>
    </row>
    <row r="121" spans="1:6">
      <c r="A121" s="107">
        <f t="shared" si="1"/>
        <v>120</v>
      </c>
      <c r="B121" s="105"/>
      <c r="C121" s="105"/>
      <c r="D121" s="105"/>
      <c r="E121" s="105"/>
      <c r="F121" s="105"/>
    </row>
    <row r="122" spans="1:6">
      <c r="A122" s="107">
        <f t="shared" si="1"/>
        <v>121</v>
      </c>
      <c r="B122" s="105"/>
      <c r="C122" s="105"/>
      <c r="D122" s="105"/>
      <c r="E122" s="105"/>
      <c r="F122" s="105"/>
    </row>
    <row r="123" spans="1:6">
      <c r="A123" s="107">
        <f t="shared" si="1"/>
        <v>122</v>
      </c>
      <c r="B123" s="105"/>
      <c r="C123" s="105"/>
      <c r="D123" s="105"/>
      <c r="E123" s="105"/>
      <c r="F123" s="105"/>
    </row>
    <row r="124" spans="1:6">
      <c r="A124" s="107">
        <f t="shared" si="1"/>
        <v>123</v>
      </c>
      <c r="B124" s="105"/>
      <c r="C124" s="105"/>
      <c r="D124" s="105"/>
      <c r="E124" s="105"/>
      <c r="F124" s="105"/>
    </row>
    <row r="125" spans="1:6">
      <c r="A125" s="107">
        <f t="shared" si="1"/>
        <v>124</v>
      </c>
      <c r="B125" s="105"/>
      <c r="C125" s="105"/>
      <c r="D125" s="105"/>
      <c r="E125" s="105"/>
      <c r="F125" s="105"/>
    </row>
    <row r="126" spans="1:6">
      <c r="A126" s="107">
        <f t="shared" si="1"/>
        <v>125</v>
      </c>
      <c r="B126" s="105"/>
      <c r="C126" s="105"/>
      <c r="D126" s="105"/>
      <c r="E126" s="105"/>
      <c r="F126" s="105"/>
    </row>
  </sheetData>
  <mergeCells count="1">
    <mergeCell ref="C1:D1"/>
  </mergeCells>
  <dataValidations count="2">
    <dataValidation type="list" allowBlank="1" showInputMessage="1" showErrorMessage="1" sqref="H1:H2">
      <formula1>depreciationmethod</formula1>
    </dataValidation>
    <dataValidation type="list" allowBlank="1" showInputMessage="1" showErrorMessage="1" sqref="I2">
      <formula1>Assetype</formula1>
    </dataValidation>
  </dataValidation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/>
  </sheetViews>
  <sheetFormatPr defaultRowHeight="12.75"/>
  <cols>
    <col min="1" max="1" width="3.5703125" style="56" bestFit="1" customWidth="1"/>
    <col min="2" max="2" width="19.85546875" style="57" customWidth="1"/>
    <col min="3" max="3" width="63.28515625" style="57" bestFit="1" customWidth="1"/>
    <col min="4" max="4" width="9.5703125" style="56" customWidth="1"/>
    <col min="5" max="5" width="8.5703125" style="66" hidden="1" customWidth="1"/>
    <col min="6" max="6" width="12.7109375" style="59" bestFit="1" customWidth="1"/>
    <col min="7" max="7" width="10" style="78" bestFit="1" customWidth="1"/>
    <col min="8" max="8" width="8" style="67" customWidth="1"/>
    <col min="9" max="9" width="9.5703125" style="67" bestFit="1" customWidth="1"/>
    <col min="10" max="10" width="9.28515625" style="67" customWidth="1"/>
    <col min="11" max="11" width="12.7109375" style="59" bestFit="1" customWidth="1"/>
    <col min="12" max="12" width="9.140625" style="78" bestFit="1" customWidth="1"/>
    <col min="13" max="13" width="9.28515625" style="67" customWidth="1"/>
    <col min="14" max="15" width="9.28515625" style="70" customWidth="1"/>
    <col min="16" max="16" width="9" style="67" bestFit="1" customWidth="1"/>
    <col min="17" max="17" width="9" style="74" customWidth="1"/>
    <col min="18" max="18" width="9" style="66" customWidth="1"/>
    <col min="19" max="19" width="9.7109375" style="74" bestFit="1" customWidth="1"/>
    <col min="20" max="20" width="12.140625" style="67" bestFit="1" customWidth="1"/>
    <col min="21" max="21" width="10" style="67" bestFit="1" customWidth="1"/>
    <col min="22" max="22" width="9" style="76" bestFit="1" customWidth="1"/>
    <col min="23" max="23" width="9.42578125" style="76" bestFit="1" customWidth="1"/>
    <col min="24" max="16384" width="9.140625" style="61"/>
  </cols>
  <sheetData>
    <row r="1" spans="1:23">
      <c r="C1" s="58" t="s">
        <v>198</v>
      </c>
      <c r="D1" s="60" t="s">
        <v>197</v>
      </c>
      <c r="H1" s="75"/>
      <c r="I1" s="60">
        <v>42095</v>
      </c>
      <c r="J1" s="72"/>
      <c r="M1" s="72"/>
      <c r="N1" s="72">
        <f>+W1-I1</f>
        <v>365</v>
      </c>
      <c r="O1" s="72"/>
      <c r="P1" s="71"/>
      <c r="Q1" s="71"/>
      <c r="T1" s="72"/>
      <c r="U1" s="72"/>
      <c r="W1" s="60">
        <v>42460</v>
      </c>
    </row>
    <row r="2" spans="1:23" ht="25.5">
      <c r="A2" s="62" t="s">
        <v>199</v>
      </c>
      <c r="B2" s="62" t="s">
        <v>91</v>
      </c>
      <c r="C2" s="62" t="s">
        <v>92</v>
      </c>
      <c r="D2" s="63" t="s">
        <v>196</v>
      </c>
      <c r="E2" s="64" t="s">
        <v>200</v>
      </c>
      <c r="F2" s="65" t="s">
        <v>202</v>
      </c>
      <c r="G2" s="79" t="s">
        <v>221</v>
      </c>
      <c r="H2" s="68" t="s">
        <v>88</v>
      </c>
      <c r="I2" s="68" t="s">
        <v>201</v>
      </c>
      <c r="J2" s="68" t="s">
        <v>207</v>
      </c>
      <c r="K2" s="65" t="s">
        <v>219</v>
      </c>
      <c r="L2" s="79" t="s">
        <v>220</v>
      </c>
      <c r="M2" s="68" t="s">
        <v>208</v>
      </c>
      <c r="N2" s="69" t="s">
        <v>84</v>
      </c>
      <c r="O2" s="69" t="s">
        <v>90</v>
      </c>
      <c r="P2" s="68" t="s">
        <v>205</v>
      </c>
      <c r="Q2" s="73" t="s">
        <v>206</v>
      </c>
      <c r="R2" s="73" t="s">
        <v>212</v>
      </c>
      <c r="S2" s="73" t="s">
        <v>203</v>
      </c>
      <c r="T2" s="68" t="s">
        <v>211</v>
      </c>
      <c r="U2" s="68" t="s">
        <v>209</v>
      </c>
      <c r="V2" s="77" t="s">
        <v>210</v>
      </c>
      <c r="W2" s="77" t="s">
        <v>201</v>
      </c>
    </row>
    <row r="3" spans="1:23">
      <c r="A3" s="56">
        <v>1</v>
      </c>
      <c r="B3" s="57" t="s">
        <v>213</v>
      </c>
      <c r="C3" s="112" t="s">
        <v>99</v>
      </c>
      <c r="D3" s="113">
        <f>IF(C3="",0,VLOOKUP(C3,'Schedule II'!$B$2:$F$100,2,FALSE))</f>
        <v>30</v>
      </c>
      <c r="E3" s="66">
        <f>IF($D$1="SLM",VLOOKUP(C3,'Schedule II'!$B$2:$F$100,4,FALSE),VLOOKUP(C3,'Schedule II'!$B$2:$F$100,5,FALSE))</f>
        <v>9.5000000000000001E-2</v>
      </c>
      <c r="F3" s="59">
        <v>40391</v>
      </c>
      <c r="G3" s="78">
        <v>500000</v>
      </c>
      <c r="H3" s="114">
        <f t="shared" ref="H3:H12" si="0">IF($D$1="WDV",G3*0.05,0)</f>
        <v>25000</v>
      </c>
      <c r="I3" s="67">
        <v>254800.88</v>
      </c>
      <c r="J3" s="114">
        <f>IF(F3&gt;$I$1,G3,0)</f>
        <v>0</v>
      </c>
      <c r="L3" s="78">
        <v>0</v>
      </c>
      <c r="M3" s="114">
        <f>IF(K3&lt;$I$1,0,L3)</f>
        <v>0</v>
      </c>
      <c r="N3" s="115">
        <f>+D3*$N$1</f>
        <v>10950</v>
      </c>
      <c r="O3" s="115">
        <f>IF((VALUE($I$1-F3))&lt;0,0,VALUE($I$1-F3))</f>
        <v>1704</v>
      </c>
      <c r="P3" s="116">
        <f>IF(N3&gt;O3,(N3-O3),0)</f>
        <v>9246</v>
      </c>
      <c r="Q3" s="117">
        <f>ROUND((P3/$N$1),0)</f>
        <v>25</v>
      </c>
      <c r="R3" s="118">
        <f>IF($D$1="WDV",VLOOKUP(Q3,'WDV Rates'!$A$2:$B$102,2,FALSE),VLOOKUP(C3,'Schedule II'!$B$2:$F$126,4,FALSE))</f>
        <v>0.11292814500684323</v>
      </c>
      <c r="S3" s="117">
        <f>IF((K3-$I$1)&gt;0,(K3-$I$1),IF(P3&lt;$N$1,P3,IF(($W$1-F3)&lt;$N$1,($W$1-F3),$N$1)))</f>
        <v>365</v>
      </c>
      <c r="T3" s="114">
        <f>IF(P3&lt;$N$1,(I3-H3),0)</f>
        <v>0</v>
      </c>
      <c r="U3" s="114">
        <f>IF(M3&gt;0,0,(I3+J3-M3-T3))</f>
        <v>254800.88</v>
      </c>
      <c r="V3" s="119">
        <f>ROUND((U3*R3*S3/$N$1),0)</f>
        <v>28774</v>
      </c>
      <c r="W3" s="119">
        <f>+U3-V3</f>
        <v>226026.88</v>
      </c>
    </row>
    <row r="4" spans="1:23">
      <c r="A4" s="56">
        <f>+A3+1</f>
        <v>2</v>
      </c>
      <c r="B4" s="57" t="s">
        <v>5</v>
      </c>
      <c r="C4" s="112" t="s">
        <v>106</v>
      </c>
      <c r="D4" s="113">
        <f>IF(C4="",0,VLOOKUP(C4,'Schedule II'!$B$2:$F$100,2,FALSE))</f>
        <v>15</v>
      </c>
      <c r="E4" s="66">
        <f>IF($D$1="SLM",VLOOKUP(C4,'Schedule II'!$B$2:$F$100,4,FALSE),VLOOKUP(C4,'Schedule II'!$B$2:$F$100,5,FALSE))</f>
        <v>0.18099999999999999</v>
      </c>
      <c r="F4" s="59">
        <v>40702</v>
      </c>
      <c r="G4" s="78">
        <v>0</v>
      </c>
      <c r="H4" s="114">
        <f t="shared" si="0"/>
        <v>0</v>
      </c>
      <c r="I4" s="67">
        <v>2458975</v>
      </c>
      <c r="J4" s="114">
        <f t="shared" ref="J4:J12" si="1">IF(F4&gt;$I$1,G4,0)</f>
        <v>0</v>
      </c>
      <c r="L4" s="78">
        <v>0</v>
      </c>
      <c r="M4" s="114">
        <f t="shared" ref="M4:M12" si="2">IF(K4&lt;$I$1,0,L4)</f>
        <v>0</v>
      </c>
      <c r="N4" s="115">
        <f>+D4*$N$1</f>
        <v>5475</v>
      </c>
      <c r="O4" s="115">
        <f>IF((VALUE($I$1-F4))&lt;0,0,VALUE($I$1-F4))</f>
        <v>1393</v>
      </c>
      <c r="P4" s="116">
        <f>IF(N4&gt;O4,(N4-O4),0)</f>
        <v>4082</v>
      </c>
      <c r="Q4" s="117">
        <f t="shared" ref="Q4:Q12" si="3">ROUND((P4/$N$1),0)</f>
        <v>11</v>
      </c>
      <c r="R4" s="118">
        <f>IF($D$1="WDV",VLOOKUP(Q4,'WDV Rates'!$A$2:$B$102,2,FALSE),VLOOKUP(C4,'Schedule II'!$B$2:$F$126,4,FALSE))</f>
        <v>0.2384041903808527</v>
      </c>
      <c r="S4" s="117">
        <f>IF((K4-$I$1)&gt;0,(K4-$I$1),IF(P4&lt;$N$1,P4,IF(($W$1-F4)&lt;$N$1,($W$1-F4),$N$1)))</f>
        <v>365</v>
      </c>
      <c r="T4" s="114">
        <f>IF(P4&lt;$N$1,(I4-H4),0)</f>
        <v>0</v>
      </c>
      <c r="U4" s="114">
        <f>IF(M4&gt;0,0,(I4+J4-M4-T4))</f>
        <v>2458975</v>
      </c>
      <c r="V4" s="119">
        <f>ROUND((U4*R4*S4/$N$1),0)</f>
        <v>586230</v>
      </c>
      <c r="W4" s="119">
        <f>+U4-V4</f>
        <v>1872745</v>
      </c>
    </row>
    <row r="5" spans="1:23">
      <c r="A5" s="56">
        <f t="shared" ref="A5:A12" si="4">+A4+1</f>
        <v>3</v>
      </c>
      <c r="B5" s="57" t="s">
        <v>214</v>
      </c>
      <c r="C5" s="112" t="s">
        <v>164</v>
      </c>
      <c r="D5" s="113">
        <f>IF(C5="",0,VLOOKUP(C5,'Schedule II'!$B$2:$F$100,2,FALSE))</f>
        <v>10</v>
      </c>
      <c r="E5" s="66">
        <f>IF($D$1="SLM",VLOOKUP(C5,'Schedule II'!$B$2:$F$100,4,FALSE),VLOOKUP(C5,'Schedule II'!$B$2:$F$100,5,FALSE))</f>
        <v>0.25890000000000002</v>
      </c>
      <c r="F5" s="59">
        <v>41000</v>
      </c>
      <c r="G5" s="78">
        <v>50000</v>
      </c>
      <c r="H5" s="114">
        <f t="shared" si="0"/>
        <v>2500</v>
      </c>
      <c r="I5" s="67">
        <v>15241</v>
      </c>
      <c r="J5" s="114">
        <f t="shared" si="1"/>
        <v>0</v>
      </c>
      <c r="K5" s="59">
        <v>42193</v>
      </c>
      <c r="L5" s="78">
        <v>24500</v>
      </c>
      <c r="M5" s="114">
        <f t="shared" si="2"/>
        <v>24500</v>
      </c>
      <c r="N5" s="115">
        <f t="shared" ref="N5:N10" si="5">+D5*$N$1</f>
        <v>3650</v>
      </c>
      <c r="O5" s="115">
        <f t="shared" ref="O5:O10" si="6">IF((VALUE($I$1-F5))&lt;0,0,VALUE($I$1-F5))</f>
        <v>1095</v>
      </c>
      <c r="P5" s="116">
        <f t="shared" ref="P5:P10" si="7">IF(N5&gt;O5,(N5-O5),0)</f>
        <v>2555</v>
      </c>
      <c r="Q5" s="117">
        <f t="shared" si="3"/>
        <v>7</v>
      </c>
      <c r="R5" s="118">
        <f>IF($D$1="WDV",VLOOKUP(Q5,'WDV Rates'!$A$2:$B$102,2,FALSE),VLOOKUP(C5,'Schedule II'!$B$2:$F$126,4,FALSE))</f>
        <v>0.34816365513116088</v>
      </c>
      <c r="S5" s="117">
        <f>IF((K5-$I$1)&gt;0,(K5-$I$1),IF(P5&lt;$N$1,P5,IF(($W$1-F5)&lt;$N$1,($W$1-F5),$N$1)))</f>
        <v>98</v>
      </c>
      <c r="T5" s="114">
        <f>IF(P5&lt;$N$1,(I5-H5),0)</f>
        <v>0</v>
      </c>
      <c r="U5" s="114">
        <f>IF(M5&gt;0,0,(I5+J5-M5-T5))</f>
        <v>0</v>
      </c>
      <c r="V5" s="119">
        <f>ROUND((U5*R5*S5/$N$1),0)</f>
        <v>0</v>
      </c>
      <c r="W5" s="119">
        <f>+U5-V5</f>
        <v>0</v>
      </c>
    </row>
    <row r="6" spans="1:23">
      <c r="A6" s="56">
        <f t="shared" si="4"/>
        <v>4</v>
      </c>
      <c r="B6" s="57" t="s">
        <v>222</v>
      </c>
      <c r="C6" s="112" t="s">
        <v>166</v>
      </c>
      <c r="D6" s="113">
        <f>IF(C6="",0,VLOOKUP(C6,'Schedule II'!$B$2:$F$100,2,FALSE))</f>
        <v>10</v>
      </c>
      <c r="E6" s="66">
        <f>IF($D$1="SLM",VLOOKUP(C6,'Schedule II'!$B$2:$F$100,4,FALSE),VLOOKUP(C6,'Schedule II'!$B$2:$F$100,5,FALSE))</f>
        <v>0.25890000000000002</v>
      </c>
      <c r="F6" s="59">
        <v>40367</v>
      </c>
      <c r="G6" s="78">
        <v>0</v>
      </c>
      <c r="H6" s="114">
        <f t="shared" si="0"/>
        <v>0</v>
      </c>
      <c r="I6" s="67">
        <v>245680</v>
      </c>
      <c r="J6" s="114">
        <f t="shared" si="1"/>
        <v>0</v>
      </c>
      <c r="K6" s="59">
        <v>42193</v>
      </c>
      <c r="L6" s="78">
        <v>100000</v>
      </c>
      <c r="M6" s="114">
        <f t="shared" si="2"/>
        <v>100000</v>
      </c>
      <c r="N6" s="115">
        <f t="shared" si="5"/>
        <v>3650</v>
      </c>
      <c r="O6" s="115">
        <f t="shared" si="6"/>
        <v>1728</v>
      </c>
      <c r="P6" s="116">
        <f t="shared" si="7"/>
        <v>1922</v>
      </c>
      <c r="Q6" s="117">
        <f t="shared" si="3"/>
        <v>5</v>
      </c>
      <c r="R6" s="118">
        <f>IF($D$1="WDV",VLOOKUP(Q6,'WDV Rates'!$A$2:$B$102,2,FALSE),VLOOKUP(C6,'Schedule II'!$B$2:$F$126,4,FALSE))</f>
        <v>0.45071972834694107</v>
      </c>
      <c r="S6" s="117">
        <f>IF((K6-$I$1)&gt;0,(K6-$I$1),IF(P6&lt;$N$1,P6,IF(($W$1-F6)&lt;$N$1,($W$1-F6),$N$1)))</f>
        <v>98</v>
      </c>
      <c r="T6" s="114">
        <f>IF(P6&lt;$N$1,(I6-H6),0)</f>
        <v>0</v>
      </c>
      <c r="U6" s="114">
        <f>IF(M6&gt;0,0,(I6+J6-M6-T6))</f>
        <v>0</v>
      </c>
      <c r="V6" s="119">
        <f>ROUND((U6*R6*S6/$N$1),0)</f>
        <v>0</v>
      </c>
      <c r="W6" s="119">
        <f>+U6-V6</f>
        <v>0</v>
      </c>
    </row>
    <row r="7" spans="1:23">
      <c r="A7" s="56">
        <f t="shared" si="4"/>
        <v>5</v>
      </c>
      <c r="B7" s="57" t="s">
        <v>223</v>
      </c>
      <c r="C7" s="112" t="s">
        <v>168</v>
      </c>
      <c r="D7" s="113">
        <f>IF(C7="",0,VLOOKUP(C7,'Schedule II'!$B$2:$F$100,2,FALSE))</f>
        <v>8</v>
      </c>
      <c r="E7" s="66">
        <f>IF($D$1="SLM",VLOOKUP(C7,'Schedule II'!$B$2:$F$100,4,FALSE),VLOOKUP(C7,'Schedule II'!$B$2:$F$100,5,FALSE))</f>
        <v>0.31230000000000002</v>
      </c>
      <c r="F7" s="59">
        <v>40269</v>
      </c>
      <c r="G7" s="78">
        <v>0</v>
      </c>
      <c r="H7" s="114">
        <f t="shared" si="0"/>
        <v>0</v>
      </c>
      <c r="I7" s="67">
        <v>2456870</v>
      </c>
      <c r="J7" s="114">
        <f t="shared" si="1"/>
        <v>0</v>
      </c>
      <c r="L7" s="78">
        <v>0</v>
      </c>
      <c r="M7" s="114">
        <f t="shared" si="2"/>
        <v>0</v>
      </c>
      <c r="N7" s="115">
        <f t="shared" si="5"/>
        <v>2920</v>
      </c>
      <c r="O7" s="115">
        <f t="shared" si="6"/>
        <v>1826</v>
      </c>
      <c r="P7" s="116">
        <f t="shared" si="7"/>
        <v>1094</v>
      </c>
      <c r="Q7" s="117">
        <f t="shared" si="3"/>
        <v>3</v>
      </c>
      <c r="R7" s="118">
        <f>IF($D$1="WDV",VLOOKUP(Q7,'WDV Rates'!$A$2:$B$102,2,FALSE),VLOOKUP(C7,'Schedule II'!$B$2:$F$126,4,FALSE))</f>
        <v>0.63159685013596123</v>
      </c>
      <c r="S7" s="117">
        <f>IF((K7-$I$1)&gt;0,(K7-$I$1),IF(P7&lt;$N$1,P7,IF(($W$1-F7)&lt;$N$1,($W$1-F7),$N$1)))</f>
        <v>365</v>
      </c>
      <c r="T7" s="114">
        <f>IF(P7&lt;$N$1,(I7-H7),0)</f>
        <v>0</v>
      </c>
      <c r="U7" s="114">
        <f>IF(M7&gt;0,0,(I7+J7-M7-T7))</f>
        <v>2456870</v>
      </c>
      <c r="V7" s="119">
        <f>ROUND((U7*R7*S7/$N$1),0)</f>
        <v>1551751</v>
      </c>
      <c r="W7" s="119">
        <f>+U7-V7</f>
        <v>905119</v>
      </c>
    </row>
    <row r="8" spans="1:23">
      <c r="A8" s="56">
        <f t="shared" si="4"/>
        <v>6</v>
      </c>
      <c r="B8" s="57" t="s">
        <v>224</v>
      </c>
      <c r="C8" s="112" t="s">
        <v>169</v>
      </c>
      <c r="D8" s="113">
        <f>IF(C8="",0,VLOOKUP(C8,'Schedule II'!$B$2:$F$100,2,FALSE))</f>
        <v>8</v>
      </c>
      <c r="E8" s="66">
        <f>IF($D$1="SLM",VLOOKUP(C8,'Schedule II'!$B$2:$F$100,4,FALSE),VLOOKUP(C8,'Schedule II'!$B$2:$F$100,5,FALSE))</f>
        <v>0.31230000000000002</v>
      </c>
      <c r="F8" s="59">
        <v>42125</v>
      </c>
      <c r="G8" s="78">
        <v>1546000</v>
      </c>
      <c r="H8" s="114">
        <f t="shared" si="0"/>
        <v>77300</v>
      </c>
      <c r="I8" s="67">
        <v>0</v>
      </c>
      <c r="J8" s="114">
        <f t="shared" si="1"/>
        <v>1546000</v>
      </c>
      <c r="L8" s="78">
        <v>0</v>
      </c>
      <c r="M8" s="114">
        <f t="shared" si="2"/>
        <v>0</v>
      </c>
      <c r="N8" s="115">
        <f t="shared" si="5"/>
        <v>2920</v>
      </c>
      <c r="O8" s="115">
        <f t="shared" si="6"/>
        <v>0</v>
      </c>
      <c r="P8" s="116">
        <f t="shared" si="7"/>
        <v>2920</v>
      </c>
      <c r="Q8" s="117">
        <f t="shared" si="3"/>
        <v>8</v>
      </c>
      <c r="R8" s="118">
        <f>IF($D$1="WDV",VLOOKUP(Q8,'WDV Rates'!$A$2:$B$102,2,FALSE),VLOOKUP(C8,'Schedule II'!$B$2:$F$126,4,FALSE))</f>
        <v>0.31234397806636793</v>
      </c>
      <c r="S8" s="117">
        <f>IF((K8-$I$1)&gt;0,(K8-$I$1),IF(P8&lt;$N$1,P8,IF(($W$1-F8)&lt;$N$1,($W$1-F8),$N$1)))</f>
        <v>335</v>
      </c>
      <c r="T8" s="114">
        <f>IF(P8&lt;$N$1,(I8-H8),0)</f>
        <v>0</v>
      </c>
      <c r="U8" s="114">
        <f>IF(M8&gt;0,0,(I8+J8-M8-T8))</f>
        <v>1546000</v>
      </c>
      <c r="V8" s="119">
        <f>ROUND((U8*R8*S8/$N$1),0)</f>
        <v>443195</v>
      </c>
      <c r="W8" s="119">
        <f>+U8-V8</f>
        <v>1102805</v>
      </c>
    </row>
    <row r="9" spans="1:23">
      <c r="A9" s="56">
        <f t="shared" si="4"/>
        <v>7</v>
      </c>
      <c r="B9" s="57" t="s">
        <v>215</v>
      </c>
      <c r="C9" s="112" t="s">
        <v>189</v>
      </c>
      <c r="D9" s="113">
        <f>IF(C9="",0,VLOOKUP(C9,'Schedule II'!$B$2:$F$100,2,FALSE))</f>
        <v>5</v>
      </c>
      <c r="E9" s="66">
        <f>IF($D$1="SLM",VLOOKUP(C9,'Schedule II'!$B$2:$F$100,4,FALSE),VLOOKUP(C9,'Schedule II'!$B$2:$F$100,5,FALSE))</f>
        <v>0.45069999999999999</v>
      </c>
      <c r="F9" s="59">
        <v>39576</v>
      </c>
      <c r="G9" s="78">
        <v>95500</v>
      </c>
      <c r="H9" s="114">
        <f t="shared" si="0"/>
        <v>4775</v>
      </c>
      <c r="I9" s="67">
        <v>62540</v>
      </c>
      <c r="J9" s="114">
        <f t="shared" si="1"/>
        <v>0</v>
      </c>
      <c r="L9" s="78">
        <v>0</v>
      </c>
      <c r="M9" s="114">
        <f t="shared" si="2"/>
        <v>0</v>
      </c>
      <c r="N9" s="115">
        <f t="shared" si="5"/>
        <v>1825</v>
      </c>
      <c r="O9" s="115">
        <f t="shared" si="6"/>
        <v>2519</v>
      </c>
      <c r="P9" s="116">
        <f t="shared" si="7"/>
        <v>0</v>
      </c>
      <c r="Q9" s="117">
        <f t="shared" si="3"/>
        <v>0</v>
      </c>
      <c r="R9" s="118">
        <f>IF($D$1="WDV",VLOOKUP(Q9,'WDV Rates'!$A$2:$B$102,2,FALSE),VLOOKUP(C9,'Schedule II'!$B$2:$F$126,4,FALSE))</f>
        <v>1</v>
      </c>
      <c r="S9" s="117">
        <f>IF((K9-$I$1)&gt;0,(K9-$I$1),IF(P9&lt;$N$1,P9,IF(($W$1-F9)&lt;$N$1,($W$1-F9),$N$1)))</f>
        <v>0</v>
      </c>
      <c r="T9" s="114">
        <f>IF(P9&lt;$N$1,(I9-H9),0)</f>
        <v>57765</v>
      </c>
      <c r="U9" s="114">
        <f>IF(M9&gt;0,0,(I9+J9-M9-T9))</f>
        <v>4775</v>
      </c>
      <c r="V9" s="119">
        <f>ROUND((U9*R9*S9/$N$1),0)</f>
        <v>0</v>
      </c>
      <c r="W9" s="119">
        <f>+U9-V9</f>
        <v>4775</v>
      </c>
    </row>
    <row r="10" spans="1:23">
      <c r="A10" s="56">
        <f t="shared" si="4"/>
        <v>8</v>
      </c>
      <c r="B10" s="57" t="s">
        <v>216</v>
      </c>
      <c r="C10" s="112" t="s">
        <v>191</v>
      </c>
      <c r="D10" s="113">
        <f>IF(C10="",0,VLOOKUP(C10,'Schedule II'!$B$2:$F$100,2,FALSE))</f>
        <v>3</v>
      </c>
      <c r="E10" s="66">
        <f>IF($D$1="SLM",VLOOKUP(C10,'Schedule II'!$B$2:$F$100,4,FALSE),VLOOKUP(C10,'Schedule II'!$B$2:$F$100,5,FALSE))</f>
        <v>0.63160000000000005</v>
      </c>
      <c r="F10" s="59">
        <v>42043</v>
      </c>
      <c r="G10" s="78">
        <v>36450</v>
      </c>
      <c r="H10" s="114">
        <f t="shared" si="0"/>
        <v>1822.5</v>
      </c>
      <c r="I10" s="67">
        <v>0</v>
      </c>
      <c r="J10" s="114">
        <f t="shared" si="1"/>
        <v>0</v>
      </c>
      <c r="K10" s="59">
        <v>42060</v>
      </c>
      <c r="L10" s="78">
        <v>25000</v>
      </c>
      <c r="M10" s="114">
        <f t="shared" si="2"/>
        <v>0</v>
      </c>
      <c r="N10" s="115">
        <f t="shared" si="5"/>
        <v>1095</v>
      </c>
      <c r="O10" s="115">
        <f t="shared" si="6"/>
        <v>52</v>
      </c>
      <c r="P10" s="116">
        <f t="shared" si="7"/>
        <v>1043</v>
      </c>
      <c r="Q10" s="117">
        <f t="shared" si="3"/>
        <v>3</v>
      </c>
      <c r="R10" s="118">
        <f>IF($D$1="WDV",VLOOKUP(Q10,'WDV Rates'!$A$2:$B$102,2,FALSE),VLOOKUP(C10,'Schedule II'!$B$2:$F$126,4,FALSE))</f>
        <v>0.63159685013596123</v>
      </c>
      <c r="S10" s="117">
        <f>IF((K10-$I$1)&gt;0,(K10-$I$1),IF(P10&lt;$N$1,P10,IF(($W$1-F10)&lt;$N$1,($W$1-F10),$N$1)))</f>
        <v>365</v>
      </c>
      <c r="T10" s="114">
        <f>IF(P10&lt;$N$1,(I10-H10),0)</f>
        <v>0</v>
      </c>
      <c r="U10" s="114">
        <f>IF(M10&gt;0,0,(I10+J10-M10-T10))</f>
        <v>0</v>
      </c>
      <c r="V10" s="119">
        <f>ROUND((U10*R10*S10/$N$1),0)</f>
        <v>0</v>
      </c>
      <c r="W10" s="119">
        <f>+U10-V10</f>
        <v>0</v>
      </c>
    </row>
    <row r="11" spans="1:23">
      <c r="A11" s="56">
        <f t="shared" si="4"/>
        <v>9</v>
      </c>
      <c r="B11" s="57" t="s">
        <v>217</v>
      </c>
      <c r="C11" s="112" t="s">
        <v>191</v>
      </c>
      <c r="D11" s="113">
        <f>IF(C11="",0,VLOOKUP(C11,'Schedule II'!$B$2:$F$100,2,FALSE))</f>
        <v>3</v>
      </c>
      <c r="E11" s="66">
        <f>IF($D$1="SLM",VLOOKUP(C11,'Schedule II'!$B$2:$F$100,4,FALSE),VLOOKUP(C11,'Schedule II'!$B$2:$F$100,5,FALSE))</f>
        <v>0.63160000000000005</v>
      </c>
      <c r="F11" s="59">
        <v>40217</v>
      </c>
      <c r="G11" s="78">
        <v>28000</v>
      </c>
      <c r="H11" s="114">
        <f t="shared" si="0"/>
        <v>1400</v>
      </c>
      <c r="I11" s="67">
        <v>1200</v>
      </c>
      <c r="J11" s="114">
        <f t="shared" si="1"/>
        <v>0</v>
      </c>
      <c r="L11" s="78">
        <v>0</v>
      </c>
      <c r="M11" s="114">
        <f t="shared" si="2"/>
        <v>0</v>
      </c>
      <c r="N11" s="115">
        <f t="shared" ref="N11" si="8">+D11*$N$1</f>
        <v>1095</v>
      </c>
      <c r="O11" s="115">
        <f t="shared" ref="O11" si="9">IF((VALUE($I$1-F11))&lt;0,0,VALUE($I$1-F11))</f>
        <v>1878</v>
      </c>
      <c r="P11" s="116">
        <f t="shared" ref="P11" si="10">IF(N11&gt;O11,(N11-O11),0)</f>
        <v>0</v>
      </c>
      <c r="Q11" s="117">
        <f t="shared" si="3"/>
        <v>0</v>
      </c>
      <c r="R11" s="118">
        <f>IF($D$1="WDV",VLOOKUP(Q11,'WDV Rates'!$A$2:$B$102,2,FALSE),VLOOKUP(C11,'Schedule II'!$B$2:$F$126,4,FALSE))</f>
        <v>1</v>
      </c>
      <c r="S11" s="117">
        <f>IF((K11-$I$1)&gt;0,(K11-$I$1),IF(P11&lt;$N$1,P11,IF(($W$1-F11)&lt;$N$1,($W$1-F11),$N$1)))</f>
        <v>0</v>
      </c>
      <c r="T11" s="114">
        <f>IF(P11&lt;$N$1,(I11-H11),0)</f>
        <v>-200</v>
      </c>
      <c r="U11" s="114">
        <f>IF(M11&gt;0,0,(I11+J11-M11-T11))</f>
        <v>1400</v>
      </c>
      <c r="V11" s="119">
        <f>ROUND((U11*R11*S11/$N$1),0)</f>
        <v>0</v>
      </c>
      <c r="W11" s="119">
        <f>+U11-V11</f>
        <v>1400</v>
      </c>
    </row>
    <row r="12" spans="1:23">
      <c r="A12" s="56">
        <f t="shared" si="4"/>
        <v>10</v>
      </c>
      <c r="B12" s="57" t="s">
        <v>218</v>
      </c>
      <c r="C12" s="112" t="s">
        <v>194</v>
      </c>
      <c r="D12" s="113">
        <f>IF(C12="",0,VLOOKUP(C12,'Schedule II'!$B$2:$F$100,2,FALSE))</f>
        <v>10</v>
      </c>
      <c r="E12" s="66">
        <f>IF($D$1="SLM",VLOOKUP(C12,'Schedule II'!$B$2:$F$100,4,FALSE),VLOOKUP(C12,'Schedule II'!$B$2:$F$100,5,FALSE))</f>
        <v>0.25890000000000002</v>
      </c>
      <c r="F12" s="59">
        <v>39121</v>
      </c>
      <c r="G12" s="78">
        <v>27800</v>
      </c>
      <c r="H12" s="114">
        <f t="shared" si="0"/>
        <v>1390</v>
      </c>
      <c r="I12" s="67">
        <v>1390</v>
      </c>
      <c r="J12" s="114">
        <f t="shared" si="1"/>
        <v>0</v>
      </c>
      <c r="K12" s="59">
        <v>42170</v>
      </c>
      <c r="L12" s="78">
        <v>5000</v>
      </c>
      <c r="M12" s="114">
        <f t="shared" si="2"/>
        <v>5000</v>
      </c>
      <c r="N12" s="115">
        <f t="shared" ref="N12" si="11">+D12*$N$1</f>
        <v>3650</v>
      </c>
      <c r="O12" s="115">
        <f t="shared" ref="O12" si="12">IF((VALUE($I$1-F12))&lt;0,0,VALUE($I$1-F12))</f>
        <v>2974</v>
      </c>
      <c r="P12" s="116">
        <f t="shared" ref="P12" si="13">IF(N12&gt;O12,(N12-O12),0)</f>
        <v>676</v>
      </c>
      <c r="Q12" s="117">
        <f t="shared" si="3"/>
        <v>2</v>
      </c>
      <c r="R12" s="118">
        <f>IF($D$1="WDV",VLOOKUP(Q12,'WDV Rates'!$A$2:$B$102,2,FALSE),VLOOKUP(C12,'Schedule II'!$B$2:$F$126,4,FALSE))</f>
        <v>0.77639320225002106</v>
      </c>
      <c r="S12" s="117">
        <f>IF((K12-$I$1)&gt;0,(K12-$I$1),IF(P12&lt;$N$1,P12,IF(($W$1-F12)&lt;$N$1,($W$1-F12),$N$1)))</f>
        <v>75</v>
      </c>
      <c r="T12" s="114">
        <f>IF(P12&lt;$N$1,(I12-H12),0)</f>
        <v>0</v>
      </c>
      <c r="U12" s="114">
        <f>IF(M12&gt;0,0,(I12+J12-M12-T12))</f>
        <v>0</v>
      </c>
      <c r="V12" s="119">
        <f>ROUND((U12*R12*S12/$N$1),0)</f>
        <v>0</v>
      </c>
      <c r="W12" s="119">
        <f>+U12-V12</f>
        <v>0</v>
      </c>
    </row>
  </sheetData>
  <dataValidations count="4">
    <dataValidation type="list" allowBlank="1" showInputMessage="1" showErrorMessage="1" sqref="D1">
      <formula1>depreciationmethod</formula1>
    </dataValidation>
    <dataValidation type="custom" allowBlank="1" showInputMessage="1" showErrorMessage="1" errorTitle="Duplicate Asset" error="You have already entered this asset description" promptTitle="Attention" prompt="Assets descriptions should be unique" sqref="B3:B1048576">
      <formula1>COUNTIF($B:$B,B3)=1</formula1>
    </dataValidation>
    <dataValidation type="list" allowBlank="1" showInputMessage="1" showErrorMessage="1" sqref="C3:C1048576">
      <formula1>Assetype</formula1>
    </dataValidation>
    <dataValidation allowBlank="1" showInputMessage="1" showErrorMessage="1" promptTitle="Attention :" prompt="If puchase date not available then assumed expired years and take 1st April 20--." sqref="F3:F1048576"/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2:Q50"/>
  <sheetViews>
    <sheetView topLeftCell="A2" workbookViewId="0">
      <selection activeCell="J7" sqref="J7"/>
    </sheetView>
  </sheetViews>
  <sheetFormatPr defaultRowHeight="15"/>
  <cols>
    <col min="1" max="1" width="24" customWidth="1"/>
    <col min="2" max="2" width="10.7109375" style="32" customWidth="1"/>
    <col min="3" max="3" width="6.7109375" style="36" bestFit="1" customWidth="1"/>
    <col min="4" max="4" width="6" style="36" bestFit="1" customWidth="1"/>
    <col min="5" max="5" width="10.7109375" style="36" bestFit="1" customWidth="1"/>
    <col min="6" max="6" width="10.140625" bestFit="1" customWidth="1"/>
    <col min="7" max="7" width="10.7109375" style="36" bestFit="1" customWidth="1"/>
    <col min="8" max="8" width="7.28515625" bestFit="1" customWidth="1"/>
    <col min="9" max="9" width="10.140625" bestFit="1" customWidth="1"/>
    <col min="11" max="11" width="8" bestFit="1" customWidth="1"/>
    <col min="12" max="12" width="10" style="34" bestFit="1" customWidth="1"/>
    <col min="13" max="13" width="9" bestFit="1" customWidth="1"/>
    <col min="14" max="14" width="7.42578125" bestFit="1" customWidth="1"/>
    <col min="15" max="15" width="10.7109375" style="34" bestFit="1" customWidth="1"/>
    <col min="16" max="16" width="13.140625" style="34" bestFit="1" customWidth="1"/>
    <col min="17" max="17" width="10" style="34" bestFit="1" customWidth="1"/>
  </cols>
  <sheetData>
    <row r="2" spans="1:17">
      <c r="E2" s="42">
        <v>42095</v>
      </c>
      <c r="G2" s="42">
        <v>42460</v>
      </c>
    </row>
    <row r="3" spans="1:17" ht="25.5" customHeight="1">
      <c r="A3" s="85" t="s">
        <v>56</v>
      </c>
      <c r="B3" s="87" t="s">
        <v>57</v>
      </c>
      <c r="C3" s="89" t="s">
        <v>58</v>
      </c>
      <c r="D3" s="89" t="e">
        <f>VLOOKUP(C3,'Schedule II'!$B$2:$F$100,2,FALSE)</f>
        <v>#N/A</v>
      </c>
      <c r="E3" s="89" t="e">
        <f>IF($E$1="SLM",VLOOKUP(C3,'Schedule II'!$B$2:$F$100,4,FALSE),VLOOKUP(C3,'Schedule II'!$B$2:$F$100,5,FALSE))</f>
        <v>#N/A</v>
      </c>
      <c r="F3" s="89" t="s">
        <v>59</v>
      </c>
      <c r="G3" s="83" t="s">
        <v>85</v>
      </c>
      <c r="H3" s="83" t="s">
        <v>60</v>
      </c>
      <c r="I3" s="83" t="s">
        <v>61</v>
      </c>
      <c r="J3" s="89" t="s">
        <v>62</v>
      </c>
      <c r="K3" s="89" t="s">
        <v>63</v>
      </c>
      <c r="L3" s="93" t="s">
        <v>68</v>
      </c>
      <c r="M3" s="96" t="s">
        <v>64</v>
      </c>
      <c r="N3" s="98" t="s">
        <v>88</v>
      </c>
      <c r="O3" s="93" t="s">
        <v>89</v>
      </c>
      <c r="P3" s="91" t="s">
        <v>65</v>
      </c>
      <c r="Q3" s="93" t="s">
        <v>66</v>
      </c>
    </row>
    <row r="4" spans="1:17">
      <c r="A4" s="86"/>
      <c r="B4" s="88"/>
      <c r="C4" s="90"/>
      <c r="D4" s="90"/>
      <c r="E4" s="90"/>
      <c r="F4" s="90"/>
      <c r="G4" s="84"/>
      <c r="H4" s="84"/>
      <c r="I4" s="84"/>
      <c r="J4" s="90"/>
      <c r="K4" s="95"/>
      <c r="L4" s="94"/>
      <c r="M4" s="97"/>
      <c r="N4" s="99"/>
      <c r="O4" s="100"/>
      <c r="P4" s="92"/>
      <c r="Q4" s="94"/>
    </row>
    <row r="6" spans="1:17">
      <c r="A6" s="28" t="s">
        <v>67</v>
      </c>
    </row>
    <row r="7" spans="1:17">
      <c r="A7" t="s">
        <v>67</v>
      </c>
      <c r="B7" s="32">
        <v>41739</v>
      </c>
      <c r="C7" s="36">
        <v>3</v>
      </c>
      <c r="E7" s="35"/>
      <c r="F7" s="34">
        <f>+D7-E7</f>
        <v>0</v>
      </c>
      <c r="G7" s="36">
        <f t="shared" ref="G7:G8" si="0">IF(F7&lt;365,F7,IF(($G$2-B7)&lt;365,($G$2-B7),365))</f>
        <v>0</v>
      </c>
      <c r="H7" s="36">
        <f>ROUND(E7/365,0)</f>
        <v>0</v>
      </c>
      <c r="I7" s="36">
        <f>+C7-H7</f>
        <v>3</v>
      </c>
      <c r="J7" s="40">
        <f>VLOOKUP(I7,'WDV Rates'!$A$2:$B$102,2,FALSE)</f>
        <v>0.63159685013596123</v>
      </c>
      <c r="L7" s="34">
        <v>2548.88</v>
      </c>
      <c r="O7" s="34">
        <f>+L7+M7</f>
        <v>2548.88</v>
      </c>
      <c r="P7" s="34">
        <f>O7*J7*G7/365</f>
        <v>0</v>
      </c>
      <c r="Q7" s="34">
        <f>+O7-P7</f>
        <v>2548.88</v>
      </c>
    </row>
    <row r="8" spans="1:17">
      <c r="A8" t="s">
        <v>67</v>
      </c>
      <c r="B8" s="32">
        <v>42098</v>
      </c>
      <c r="C8" s="36">
        <v>3</v>
      </c>
      <c r="E8" s="35"/>
      <c r="F8" s="34">
        <f>+D8-E8</f>
        <v>0</v>
      </c>
      <c r="G8" s="36">
        <f t="shared" si="0"/>
        <v>0</v>
      </c>
      <c r="H8" s="36">
        <f>ROUND(E8/365,0)</f>
        <v>0</v>
      </c>
      <c r="I8" s="36">
        <f>+C8-H8</f>
        <v>3</v>
      </c>
      <c r="J8" s="40">
        <f>VLOOKUP(I8,'WDV Rates'!$A$2:$B$102,2,FALSE)</f>
        <v>0.63159685013596123</v>
      </c>
      <c r="M8">
        <v>12290</v>
      </c>
      <c r="O8" s="34">
        <f>+L8+M8</f>
        <v>12290</v>
      </c>
      <c r="P8" s="34">
        <f>O8*J8*G8/365</f>
        <v>0</v>
      </c>
      <c r="Q8" s="34">
        <f>+O8-P8</f>
        <v>12290</v>
      </c>
    </row>
    <row r="9" spans="1:17">
      <c r="A9" s="30" t="s">
        <v>82</v>
      </c>
      <c r="B9" s="33"/>
      <c r="C9" s="43"/>
      <c r="D9" s="43"/>
      <c r="E9" s="43"/>
      <c r="F9" s="31"/>
      <c r="G9" s="43"/>
      <c r="H9" s="31"/>
      <c r="I9" s="31"/>
      <c r="J9" s="31"/>
      <c r="K9" s="31"/>
      <c r="L9" s="41">
        <f>SUM(L7:L8)</f>
        <v>2548.88</v>
      </c>
      <c r="M9" s="31"/>
      <c r="N9" s="31"/>
      <c r="O9" s="44">
        <f>SUM(O7:O8)</f>
        <v>14838.880000000001</v>
      </c>
      <c r="P9" s="44">
        <f>SUM(P7:P8)</f>
        <v>0</v>
      </c>
      <c r="Q9" s="44">
        <f>SUM(Q7:Q8)</f>
        <v>14838.880000000001</v>
      </c>
    </row>
    <row r="12" spans="1:17">
      <c r="A12" s="28" t="s">
        <v>69</v>
      </c>
    </row>
    <row r="13" spans="1:17">
      <c r="A13" t="s">
        <v>70</v>
      </c>
      <c r="B13" s="32">
        <v>41795</v>
      </c>
      <c r="C13" s="36">
        <v>15</v>
      </c>
      <c r="E13" s="35"/>
      <c r="F13" s="34">
        <f t="shared" ref="F13:F15" si="1">+D13-E13</f>
        <v>0</v>
      </c>
      <c r="G13" s="36">
        <f t="shared" ref="G13:G15" si="2">IF(F13&lt;365,F13,IF(($G$2-B13)&lt;365,($G$2-B13),365))</f>
        <v>0</v>
      </c>
      <c r="H13" s="36">
        <f t="shared" ref="H13:H15" si="3">ROUND(E13/365,0)</f>
        <v>0</v>
      </c>
      <c r="I13" s="36">
        <f t="shared" ref="I13:I15" si="4">+C13-H13</f>
        <v>15</v>
      </c>
      <c r="J13" s="40">
        <f>VLOOKUP(I13,'WDV Rates'!$A$2:$B$102,2,FALSE)</f>
        <v>0.18103627252208465</v>
      </c>
      <c r="L13" s="34">
        <v>4394.2700000000004</v>
      </c>
      <c r="O13" s="34">
        <f t="shared" ref="O13:O15" si="5">+L13+M13</f>
        <v>4394.2700000000004</v>
      </c>
      <c r="P13" s="34">
        <f t="shared" ref="P13:P15" si="6">O13*J13*G13/365</f>
        <v>0</v>
      </c>
      <c r="Q13" s="34">
        <f t="shared" ref="Q13:Q15" si="7">+O13-P13</f>
        <v>4394.2700000000004</v>
      </c>
    </row>
    <row r="14" spans="1:17">
      <c r="A14" t="s">
        <v>70</v>
      </c>
      <c r="B14" s="32">
        <v>41792</v>
      </c>
      <c r="C14" s="36">
        <v>15</v>
      </c>
      <c r="E14" s="35"/>
      <c r="F14" s="34">
        <f t="shared" si="1"/>
        <v>0</v>
      </c>
      <c r="G14" s="36">
        <f t="shared" si="2"/>
        <v>0</v>
      </c>
      <c r="H14" s="36">
        <f t="shared" si="3"/>
        <v>0</v>
      </c>
      <c r="I14" s="36">
        <f t="shared" si="4"/>
        <v>15</v>
      </c>
      <c r="J14" s="40">
        <f>VLOOKUP(I14,'WDV Rates'!$A$2:$B$102,2,FALSE)</f>
        <v>0.18103627252208465</v>
      </c>
      <c r="L14" s="34">
        <f>9757.82+33</f>
        <v>9790.82</v>
      </c>
      <c r="O14" s="34">
        <f t="shared" si="5"/>
        <v>9790.82</v>
      </c>
      <c r="P14" s="34">
        <f t="shared" si="6"/>
        <v>0</v>
      </c>
      <c r="Q14" s="34">
        <f t="shared" si="7"/>
        <v>9790.82</v>
      </c>
    </row>
    <row r="15" spans="1:17">
      <c r="A15" t="s">
        <v>70</v>
      </c>
      <c r="B15" s="32">
        <v>42172</v>
      </c>
      <c r="C15" s="36">
        <v>15</v>
      </c>
      <c r="E15" s="35"/>
      <c r="F15" s="34">
        <f t="shared" si="1"/>
        <v>0</v>
      </c>
      <c r="G15" s="36">
        <f t="shared" si="2"/>
        <v>0</v>
      </c>
      <c r="H15" s="36">
        <f t="shared" si="3"/>
        <v>0</v>
      </c>
      <c r="I15" s="36">
        <f t="shared" si="4"/>
        <v>15</v>
      </c>
      <c r="J15" s="40">
        <f>VLOOKUP(I15,'WDV Rates'!$A$2:$B$102,2,FALSE)</f>
        <v>0.18103627252208465</v>
      </c>
      <c r="M15">
        <v>8400</v>
      </c>
      <c r="O15" s="34">
        <f t="shared" si="5"/>
        <v>8400</v>
      </c>
      <c r="P15" s="34">
        <f t="shared" si="6"/>
        <v>0</v>
      </c>
      <c r="Q15" s="34">
        <f t="shared" si="7"/>
        <v>8400</v>
      </c>
    </row>
    <row r="16" spans="1:17">
      <c r="A16" s="30" t="s">
        <v>82</v>
      </c>
      <c r="B16" s="33"/>
      <c r="C16" s="43"/>
      <c r="D16" s="43"/>
      <c r="E16" s="43"/>
      <c r="F16" s="31"/>
      <c r="G16" s="43"/>
      <c r="H16" s="31"/>
      <c r="I16" s="31"/>
      <c r="J16" s="31"/>
      <c r="K16" s="31"/>
      <c r="L16" s="41">
        <f>SUM(L13:L15)</f>
        <v>14185.09</v>
      </c>
      <c r="M16" s="31"/>
      <c r="N16" s="31"/>
      <c r="O16" s="44">
        <f>SUM(O14:O15)</f>
        <v>18190.82</v>
      </c>
      <c r="P16" s="44">
        <f>SUM(P14:P15)</f>
        <v>0</v>
      </c>
      <c r="Q16" s="44">
        <f>SUM(Q14:Q15)</f>
        <v>18190.82</v>
      </c>
    </row>
    <row r="18" spans="1:17">
      <c r="A18" s="28" t="s">
        <v>71</v>
      </c>
    </row>
    <row r="19" spans="1:17">
      <c r="A19" t="s">
        <v>71</v>
      </c>
      <c r="B19" s="32">
        <v>40634</v>
      </c>
      <c r="C19" s="36">
        <v>10</v>
      </c>
      <c r="E19" s="35"/>
      <c r="F19" s="34">
        <f>+D19-E19</f>
        <v>0</v>
      </c>
      <c r="G19" s="36">
        <f>IF(F19&lt;365,F19,IF(($G$2-B19)&lt;365,($G$2-B19),365))</f>
        <v>0</v>
      </c>
      <c r="H19" s="36">
        <f>ROUND(E19/365,0)</f>
        <v>0</v>
      </c>
      <c r="I19" s="36">
        <f>+C19-H19</f>
        <v>10</v>
      </c>
      <c r="J19" s="40">
        <f>VLOOKUP(I19,'WDV Rates'!$A$2:$B$102,2,FALSE)</f>
        <v>0.2588655508930523</v>
      </c>
      <c r="L19" s="34">
        <v>9053.35</v>
      </c>
      <c r="O19" s="34">
        <f>+L19+M19</f>
        <v>9053.35</v>
      </c>
      <c r="P19" s="34">
        <f>O19*J19*G19/365</f>
        <v>0</v>
      </c>
      <c r="Q19" s="34">
        <f>+O19-P19</f>
        <v>9053.35</v>
      </c>
    </row>
    <row r="20" spans="1:17">
      <c r="A20" s="30" t="s">
        <v>82</v>
      </c>
      <c r="B20" s="33"/>
      <c r="C20" s="43"/>
      <c r="D20" s="43"/>
      <c r="E20" s="43"/>
      <c r="F20" s="31"/>
      <c r="G20" s="43"/>
      <c r="H20" s="31"/>
      <c r="I20" s="31"/>
      <c r="J20" s="31"/>
      <c r="K20" s="31"/>
      <c r="L20" s="41">
        <f>L19</f>
        <v>9053.35</v>
      </c>
      <c r="M20" s="31"/>
      <c r="N20" s="31"/>
      <c r="O20" s="44">
        <f>SUM(O18:O19)</f>
        <v>9053.35</v>
      </c>
      <c r="P20" s="44">
        <f>SUM(P18:P19)</f>
        <v>0</v>
      </c>
      <c r="Q20" s="44">
        <f>SUM(Q18:Q19)</f>
        <v>9053.35</v>
      </c>
    </row>
    <row r="22" spans="1:17">
      <c r="A22" s="28" t="s">
        <v>72</v>
      </c>
    </row>
    <row r="23" spans="1:17">
      <c r="A23" t="s">
        <v>72</v>
      </c>
      <c r="B23" s="32">
        <v>40744</v>
      </c>
      <c r="C23" s="36">
        <v>30</v>
      </c>
      <c r="E23" s="35"/>
      <c r="F23" s="34">
        <f>+D23-E23</f>
        <v>0</v>
      </c>
      <c r="G23" s="36">
        <f>IF(F23&lt;365,F23,IF(($G$2-B23)&lt;365,($G$2-B23),365))</f>
        <v>0</v>
      </c>
      <c r="H23" s="36">
        <f>ROUND(E23/365,0)</f>
        <v>0</v>
      </c>
      <c r="I23" s="36">
        <f>+C23-H23</f>
        <v>30</v>
      </c>
      <c r="J23" s="40">
        <f>VLOOKUP(I23,'WDV Rates'!$A$2:$B$102,2,FALSE)</f>
        <v>9.503385285530408E-2</v>
      </c>
      <c r="L23" s="34">
        <v>438337.55</v>
      </c>
      <c r="O23" s="34">
        <f>+L23+M23</f>
        <v>438337.55</v>
      </c>
      <c r="P23" s="34">
        <f>O23*J23*G23/365</f>
        <v>0</v>
      </c>
      <c r="Q23" s="34">
        <f>+O23-P23</f>
        <v>438337.55</v>
      </c>
    </row>
    <row r="24" spans="1:17">
      <c r="A24" s="30" t="s">
        <v>82</v>
      </c>
      <c r="B24" s="33"/>
      <c r="C24" s="43"/>
      <c r="D24" s="43"/>
      <c r="E24" s="43"/>
      <c r="F24" s="31"/>
      <c r="G24" s="43"/>
      <c r="H24" s="31"/>
      <c r="I24" s="31"/>
      <c r="J24" s="31"/>
      <c r="K24" s="31"/>
      <c r="L24" s="41">
        <f>L23</f>
        <v>438337.55</v>
      </c>
      <c r="M24" s="31"/>
      <c r="N24" s="31"/>
      <c r="O24" s="44">
        <f>SUM(O22:O23)</f>
        <v>438337.55</v>
      </c>
      <c r="P24" s="44">
        <f>SUM(P22:P23)</f>
        <v>0</v>
      </c>
      <c r="Q24" s="44">
        <f>SUM(Q22:Q23)</f>
        <v>438337.55</v>
      </c>
    </row>
    <row r="26" spans="1:17">
      <c r="A26" s="28" t="s">
        <v>73</v>
      </c>
    </row>
    <row r="27" spans="1:17">
      <c r="A27" t="s">
        <v>73</v>
      </c>
      <c r="L27" s="34">
        <v>290149</v>
      </c>
      <c r="O27" s="34">
        <f>+L27+M27</f>
        <v>290149</v>
      </c>
      <c r="P27" s="34">
        <f>O27*J27*G27/365</f>
        <v>0</v>
      </c>
      <c r="Q27" s="34">
        <f>+O27-P27</f>
        <v>290149</v>
      </c>
    </row>
    <row r="28" spans="1:17">
      <c r="A28" s="30" t="s">
        <v>82</v>
      </c>
      <c r="B28" s="33"/>
      <c r="C28" s="43"/>
      <c r="D28" s="43"/>
      <c r="E28" s="43"/>
      <c r="F28" s="31"/>
      <c r="G28" s="43"/>
      <c r="H28" s="31"/>
      <c r="I28" s="31"/>
      <c r="J28" s="31"/>
      <c r="K28" s="31"/>
      <c r="L28" s="41">
        <f>L27</f>
        <v>290149</v>
      </c>
      <c r="M28" s="31"/>
      <c r="N28" s="31"/>
      <c r="O28" s="44">
        <f>SUM(O26:O27)</f>
        <v>290149</v>
      </c>
      <c r="P28" s="44">
        <f>SUM(P26:P27)</f>
        <v>0</v>
      </c>
      <c r="Q28" s="44">
        <f>SUM(Q26:Q27)</f>
        <v>290149</v>
      </c>
    </row>
    <row r="30" spans="1:17">
      <c r="A30" s="28" t="s">
        <v>74</v>
      </c>
    </row>
    <row r="31" spans="1:17">
      <c r="A31" t="s">
        <v>74</v>
      </c>
      <c r="B31" s="32">
        <v>40747</v>
      </c>
      <c r="C31" s="36">
        <v>5</v>
      </c>
      <c r="E31" s="35"/>
      <c r="F31" s="34">
        <f t="shared" ref="F31:F32" si="8">+D31-E31</f>
        <v>0</v>
      </c>
      <c r="G31" s="36">
        <f t="shared" ref="G31:G32" si="9">IF(F31&lt;365,F31,IF(($G$2-B31)&lt;365,($G$2-B31),365))</f>
        <v>0</v>
      </c>
      <c r="H31" s="36">
        <f t="shared" ref="H31:H32" si="10">ROUND(E31/365,0)</f>
        <v>0</v>
      </c>
      <c r="I31" s="36">
        <f t="shared" ref="I31:I32" si="11">+C31-H31</f>
        <v>5</v>
      </c>
      <c r="J31" s="40">
        <f>VLOOKUP(I31,'WDV Rates'!$A$2:$B$102,2,FALSE)</f>
        <v>0.45071972834694107</v>
      </c>
      <c r="L31" s="34">
        <v>6683.6</v>
      </c>
      <c r="O31" s="34">
        <f t="shared" ref="O31:O32" si="12">+L31+M31</f>
        <v>6683.6</v>
      </c>
      <c r="P31" s="34">
        <f t="shared" ref="P31:P32" si="13">O31*J31*G31/365</f>
        <v>0</v>
      </c>
      <c r="Q31" s="34">
        <f t="shared" ref="Q31:Q32" si="14">+O31-P31</f>
        <v>6683.6</v>
      </c>
    </row>
    <row r="32" spans="1:17">
      <c r="A32" t="s">
        <v>74</v>
      </c>
      <c r="B32" s="32">
        <v>42016</v>
      </c>
      <c r="C32" s="36">
        <v>5</v>
      </c>
      <c r="E32" s="35"/>
      <c r="F32" s="34">
        <f t="shared" si="8"/>
        <v>0</v>
      </c>
      <c r="G32" s="36">
        <f t="shared" si="9"/>
        <v>0</v>
      </c>
      <c r="H32" s="36">
        <f t="shared" si="10"/>
        <v>0</v>
      </c>
      <c r="I32" s="36">
        <f t="shared" si="11"/>
        <v>5</v>
      </c>
      <c r="J32" s="40">
        <f>VLOOKUP(I32,'WDV Rates'!$A$2:$B$102,2,FALSE)</f>
        <v>0.45071972834694107</v>
      </c>
      <c r="L32" s="34">
        <v>20709.009999999998</v>
      </c>
      <c r="O32" s="34">
        <f t="shared" si="12"/>
        <v>20709.009999999998</v>
      </c>
      <c r="P32" s="34">
        <f t="shared" si="13"/>
        <v>0</v>
      </c>
      <c r="Q32" s="34">
        <f t="shared" si="14"/>
        <v>20709.009999999998</v>
      </c>
    </row>
    <row r="33" spans="1:17">
      <c r="A33" s="30" t="s">
        <v>82</v>
      </c>
      <c r="B33" s="33"/>
      <c r="C33" s="43"/>
      <c r="D33" s="43"/>
      <c r="E33" s="43"/>
      <c r="F33" s="31"/>
      <c r="G33" s="43"/>
      <c r="H33" s="31"/>
      <c r="I33" s="31"/>
      <c r="J33" s="31"/>
      <c r="K33" s="31"/>
      <c r="L33" s="41">
        <f>SUM(L31:L32)</f>
        <v>27392.61</v>
      </c>
      <c r="M33" s="31"/>
      <c r="N33" s="31"/>
      <c r="O33" s="44">
        <f>SUM(O31:O32)</f>
        <v>27392.61</v>
      </c>
      <c r="P33" s="44">
        <f>SUM(P31:P32)</f>
        <v>0</v>
      </c>
      <c r="Q33" s="44">
        <f>SUM(Q31:Q32)</f>
        <v>27392.61</v>
      </c>
    </row>
    <row r="35" spans="1:17">
      <c r="A35" s="28" t="s">
        <v>75</v>
      </c>
    </row>
    <row r="36" spans="1:17">
      <c r="A36" t="s">
        <v>75</v>
      </c>
      <c r="B36" s="32">
        <v>40707</v>
      </c>
      <c r="C36" s="36">
        <v>5</v>
      </c>
      <c r="E36" s="35"/>
      <c r="F36" s="34">
        <f t="shared" ref="F36:F37" si="15">+D36-E36</f>
        <v>0</v>
      </c>
      <c r="G36" s="36">
        <f t="shared" ref="G36:G37" si="16">IF(F36&lt;365,F36,IF(($G$2-B36)&lt;365,($G$2-B36),365))</f>
        <v>0</v>
      </c>
      <c r="H36" s="36">
        <f t="shared" ref="H36:H37" si="17">ROUND(E36/365,0)</f>
        <v>0</v>
      </c>
      <c r="I36" s="36">
        <f t="shared" ref="I36:I37" si="18">+C36-H36</f>
        <v>5</v>
      </c>
      <c r="J36" s="40">
        <f>VLOOKUP(I36,'WDV Rates'!$A$2:$B$102,2,FALSE)</f>
        <v>0.45071972834694107</v>
      </c>
      <c r="L36" s="34">
        <v>4026.04</v>
      </c>
      <c r="O36" s="34">
        <f t="shared" ref="O36:O37" si="19">+L36+M36</f>
        <v>4026.04</v>
      </c>
      <c r="P36" s="34">
        <f t="shared" ref="P36:P37" si="20">O36*J36*G36/365</f>
        <v>0</v>
      </c>
      <c r="Q36" s="34">
        <f t="shared" ref="Q36:Q37" si="21">+O36-P36</f>
        <v>4026.04</v>
      </c>
    </row>
    <row r="37" spans="1:17">
      <c r="A37" t="s">
        <v>75</v>
      </c>
      <c r="B37" s="32">
        <v>40707</v>
      </c>
      <c r="C37" s="36">
        <v>5</v>
      </c>
      <c r="E37" s="35"/>
      <c r="F37" s="34">
        <f t="shared" si="15"/>
        <v>0</v>
      </c>
      <c r="G37" s="36">
        <f t="shared" si="16"/>
        <v>0</v>
      </c>
      <c r="H37" s="36">
        <f t="shared" si="17"/>
        <v>0</v>
      </c>
      <c r="I37" s="36">
        <f t="shared" si="18"/>
        <v>5</v>
      </c>
      <c r="J37" s="40">
        <f>VLOOKUP(I37,'WDV Rates'!$A$2:$B$102,2,FALSE)</f>
        <v>0.45071972834694107</v>
      </c>
      <c r="L37" s="34">
        <v>713.26</v>
      </c>
      <c r="O37" s="34">
        <f t="shared" si="19"/>
        <v>713.26</v>
      </c>
      <c r="P37" s="34">
        <f t="shared" si="20"/>
        <v>0</v>
      </c>
      <c r="Q37" s="34">
        <f t="shared" si="21"/>
        <v>713.26</v>
      </c>
    </row>
    <row r="38" spans="1:17">
      <c r="A38" s="30" t="s">
        <v>82</v>
      </c>
      <c r="B38" s="33"/>
      <c r="C38" s="43"/>
      <c r="D38" s="43"/>
      <c r="E38" s="43"/>
      <c r="F38" s="31"/>
      <c r="G38" s="43"/>
      <c r="H38" s="31"/>
      <c r="I38" s="31"/>
      <c r="J38" s="31"/>
      <c r="K38" s="31"/>
      <c r="L38" s="41">
        <f>SUM(L36:L37)</f>
        <v>4739.3</v>
      </c>
      <c r="M38" s="31"/>
      <c r="N38" s="31"/>
      <c r="O38" s="44">
        <f>SUM(O36:O37)</f>
        <v>4739.3</v>
      </c>
      <c r="P38" s="44">
        <f>SUM(P36:P37)</f>
        <v>0</v>
      </c>
      <c r="Q38" s="44">
        <f>SUM(Q36:Q37)</f>
        <v>4739.3</v>
      </c>
    </row>
    <row r="40" spans="1:17">
      <c r="A40" s="28" t="s">
        <v>76</v>
      </c>
      <c r="B40" s="32">
        <v>40681</v>
      </c>
      <c r="C40" s="36">
        <v>5</v>
      </c>
      <c r="E40" s="35"/>
      <c r="F40" s="34">
        <f>+D40-E40</f>
        <v>0</v>
      </c>
      <c r="G40" s="36">
        <f>IF(F40&lt;365,F40,IF(($G$2-B40)&lt;365,($G$2-B40),365))</f>
        <v>0</v>
      </c>
      <c r="H40" s="36">
        <f>ROUND(E40/365,0)</f>
        <v>0</v>
      </c>
      <c r="I40" s="36">
        <f>+C40-H40</f>
        <v>5</v>
      </c>
      <c r="J40" s="40">
        <f>VLOOKUP(I40,'WDV Rates'!$A$2:$B$102,2,FALSE)</f>
        <v>0.45071972834694107</v>
      </c>
      <c r="L40" s="34">
        <v>335.19</v>
      </c>
      <c r="O40" s="34">
        <f>+L40+M40</f>
        <v>335.19</v>
      </c>
      <c r="P40" s="34">
        <f>O40*J40*G40/365</f>
        <v>0</v>
      </c>
      <c r="Q40" s="34">
        <f>+O40-P40</f>
        <v>335.19</v>
      </c>
    </row>
    <row r="41" spans="1:17">
      <c r="A41" s="30" t="s">
        <v>82</v>
      </c>
      <c r="B41" s="33"/>
      <c r="C41" s="43"/>
      <c r="D41" s="43"/>
      <c r="E41" s="43"/>
      <c r="F41" s="31"/>
      <c r="G41" s="43"/>
      <c r="H41" s="31"/>
      <c r="I41" s="31"/>
      <c r="J41" s="31"/>
      <c r="K41" s="31"/>
      <c r="L41" s="41">
        <f>SUM(L40)</f>
        <v>335.19</v>
      </c>
      <c r="M41" s="31"/>
      <c r="N41" s="31"/>
      <c r="O41" s="44">
        <f t="shared" ref="O41" si="22">SUM(O40)</f>
        <v>335.19</v>
      </c>
      <c r="P41" s="44">
        <f>SUM(P40)</f>
        <v>0</v>
      </c>
      <c r="Q41" s="44">
        <f t="shared" ref="Q41" si="23">SUM(Q40)</f>
        <v>335.19</v>
      </c>
    </row>
    <row r="42" spans="1:17">
      <c r="A42" s="45"/>
      <c r="B42" s="46"/>
      <c r="C42" s="47"/>
      <c r="D42" s="47"/>
      <c r="E42" s="47"/>
      <c r="F42" s="48"/>
      <c r="G42" s="47"/>
      <c r="H42" s="48"/>
      <c r="I42" s="48"/>
      <c r="J42" s="48"/>
      <c r="K42" s="48"/>
      <c r="L42" s="49"/>
      <c r="M42" s="48"/>
      <c r="N42" s="48"/>
      <c r="O42" s="50"/>
      <c r="P42" s="50"/>
      <c r="Q42" s="50"/>
    </row>
    <row r="43" spans="1:17">
      <c r="A43" s="28" t="s">
        <v>77</v>
      </c>
    </row>
    <row r="44" spans="1:17">
      <c r="A44" t="s">
        <v>78</v>
      </c>
      <c r="B44" s="32">
        <v>41440</v>
      </c>
      <c r="C44" s="36">
        <v>8</v>
      </c>
      <c r="E44" s="35"/>
      <c r="F44" s="34">
        <f t="shared" ref="F44:F47" si="24">+D44-E44</f>
        <v>0</v>
      </c>
      <c r="G44" s="36">
        <f>IF(F44&lt;365,F44,IF(($G$2-B44)&lt;365,($G$2-B44),365))</f>
        <v>0</v>
      </c>
      <c r="H44" s="36">
        <f t="shared" ref="H44:H47" si="25">ROUND(E44/365,0)</f>
        <v>0</v>
      </c>
      <c r="I44" s="36">
        <f t="shared" ref="I44:I47" si="26">+C44-H44</f>
        <v>8</v>
      </c>
      <c r="J44" s="40">
        <f>VLOOKUP(I44,'WDV Rates'!$A$2:$B$102,2,FALSE)</f>
        <v>0.31234397806636793</v>
      </c>
      <c r="L44" s="34">
        <v>155354.10999999999</v>
      </c>
      <c r="O44" s="34">
        <f t="shared" ref="O44:O47" si="27">+L44+M44</f>
        <v>155354.10999999999</v>
      </c>
      <c r="P44" s="34">
        <f t="shared" ref="P44:P47" si="28">O44*J44*G44/365</f>
        <v>0</v>
      </c>
      <c r="Q44" s="34">
        <f t="shared" ref="Q44:Q47" si="29">+O44-P44</f>
        <v>155354.10999999999</v>
      </c>
    </row>
    <row r="45" spans="1:17">
      <c r="A45" s="29" t="s">
        <v>79</v>
      </c>
      <c r="B45" s="32">
        <v>41738</v>
      </c>
      <c r="C45" s="36">
        <v>10</v>
      </c>
      <c r="E45" s="35"/>
      <c r="F45" s="34">
        <f t="shared" si="24"/>
        <v>0</v>
      </c>
      <c r="G45" s="36">
        <f>IF(F45&lt;365,F45,IF(($G$2-B45)&lt;365,($G$2-B45),365))</f>
        <v>0</v>
      </c>
      <c r="H45" s="36">
        <f t="shared" si="25"/>
        <v>0</v>
      </c>
      <c r="I45" s="36">
        <f t="shared" si="26"/>
        <v>10</v>
      </c>
      <c r="J45" s="40">
        <f>VLOOKUP(I45,'WDV Rates'!$A$2:$B$102,2,FALSE)</f>
        <v>0.2588655508930523</v>
      </c>
      <c r="L45" s="34">
        <v>61223.34</v>
      </c>
      <c r="O45" s="34">
        <f t="shared" si="27"/>
        <v>61223.34</v>
      </c>
      <c r="P45" s="34">
        <f t="shared" si="28"/>
        <v>0</v>
      </c>
      <c r="Q45" s="34">
        <f t="shared" si="29"/>
        <v>61223.34</v>
      </c>
    </row>
    <row r="46" spans="1:17">
      <c r="A46" t="s">
        <v>80</v>
      </c>
      <c r="B46" s="32">
        <v>39501</v>
      </c>
      <c r="C46" s="36">
        <v>8</v>
      </c>
      <c r="E46" s="35"/>
      <c r="F46" s="34">
        <f t="shared" si="24"/>
        <v>0</v>
      </c>
      <c r="G46" s="36">
        <f>IF(F46&lt;365,F46,IF(($G$2-B46)&lt;365,($G$2-B46),365))</f>
        <v>0</v>
      </c>
      <c r="H46" s="36">
        <f t="shared" si="25"/>
        <v>0</v>
      </c>
      <c r="I46" s="36">
        <f t="shared" si="26"/>
        <v>8</v>
      </c>
      <c r="J46" s="40">
        <f>VLOOKUP(I46,'WDV Rates'!$A$2:$B$102,2,FALSE)</f>
        <v>0.31234397806636793</v>
      </c>
      <c r="L46" s="34">
        <v>413.65</v>
      </c>
      <c r="O46" s="34">
        <f t="shared" si="27"/>
        <v>413.65</v>
      </c>
      <c r="P46" s="34">
        <f t="shared" si="28"/>
        <v>0</v>
      </c>
      <c r="Q46" s="34">
        <f t="shared" si="29"/>
        <v>413.65</v>
      </c>
    </row>
    <row r="47" spans="1:17">
      <c r="A47" t="s">
        <v>81</v>
      </c>
      <c r="B47" s="32">
        <v>40276</v>
      </c>
      <c r="C47" s="36">
        <v>5</v>
      </c>
      <c r="E47" s="35"/>
      <c r="F47" s="34">
        <f t="shared" si="24"/>
        <v>0</v>
      </c>
      <c r="G47" s="36">
        <f>IF(F47&lt;365,F47,IF(($G$2-B47)&lt;365,($G$2-B47),365))</f>
        <v>0</v>
      </c>
      <c r="H47" s="36">
        <f t="shared" si="25"/>
        <v>0</v>
      </c>
      <c r="I47" s="36">
        <f t="shared" si="26"/>
        <v>5</v>
      </c>
      <c r="J47" s="40">
        <f>VLOOKUP(I47,'WDV Rates'!$A$2:$B$102,2,FALSE)</f>
        <v>0.45071972834694107</v>
      </c>
      <c r="L47" s="34">
        <v>192.2</v>
      </c>
      <c r="O47" s="34">
        <f t="shared" si="27"/>
        <v>192.2</v>
      </c>
      <c r="P47" s="34">
        <f t="shared" si="28"/>
        <v>0</v>
      </c>
      <c r="Q47" s="34">
        <f t="shared" si="29"/>
        <v>192.2</v>
      </c>
    </row>
    <row r="48" spans="1:17">
      <c r="A48" s="30" t="s">
        <v>82</v>
      </c>
      <c r="B48" s="33"/>
      <c r="C48" s="43"/>
      <c r="D48" s="43"/>
      <c r="E48" s="43"/>
      <c r="F48" s="31"/>
      <c r="G48" s="43"/>
      <c r="H48" s="31"/>
      <c r="I48" s="31"/>
      <c r="J48" s="31"/>
      <c r="K48" s="31"/>
      <c r="L48" s="41">
        <f>SUM(L44:L47)</f>
        <v>217183.3</v>
      </c>
      <c r="M48" s="31"/>
      <c r="N48" s="31"/>
      <c r="O48" s="44">
        <f>SUM(O44:O47)</f>
        <v>217183.3</v>
      </c>
      <c r="P48" s="44">
        <f>SUM(P44:P47)</f>
        <v>0</v>
      </c>
      <c r="Q48" s="44">
        <f>SUM(Q44:Q47)</f>
        <v>217183.3</v>
      </c>
    </row>
    <row r="50" spans="11:17">
      <c r="K50" s="28" t="s">
        <v>83</v>
      </c>
      <c r="L50" s="34">
        <f>L9+L16+L20+L24+L28+L33+L38+L41+L48</f>
        <v>1003924.27</v>
      </c>
      <c r="P50" s="34">
        <f>P9+P16+P20+P24+P28+P33+P38+P41+P48</f>
        <v>0</v>
      </c>
      <c r="Q50" s="34">
        <f>Q9+Q16+Q20+Q24+Q28+Q33+Q38+Q41+Q48</f>
        <v>1020220</v>
      </c>
    </row>
  </sheetData>
  <mergeCells count="17">
    <mergeCell ref="P3:P4"/>
    <mergeCell ref="Q3:Q4"/>
    <mergeCell ref="I3:I4"/>
    <mergeCell ref="J3:J4"/>
    <mergeCell ref="K3:K4"/>
    <mergeCell ref="L3:L4"/>
    <mergeCell ref="M3:M4"/>
    <mergeCell ref="N3:N4"/>
    <mergeCell ref="O3:O4"/>
    <mergeCell ref="H3:H4"/>
    <mergeCell ref="A3:A4"/>
    <mergeCell ref="B3:B4"/>
    <mergeCell ref="C3:C4"/>
    <mergeCell ref="E3:E4"/>
    <mergeCell ref="F3:F4"/>
    <mergeCell ref="D3:D4"/>
    <mergeCell ref="G3:G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F102"/>
  <sheetViews>
    <sheetView workbookViewId="0">
      <selection activeCell="B2" sqref="B2"/>
    </sheetView>
  </sheetViews>
  <sheetFormatPr defaultColWidth="9.28515625" defaultRowHeight="15"/>
  <cols>
    <col min="1" max="1" width="10.7109375" style="51" customWidth="1"/>
    <col min="2" max="2" width="10.42578125" style="51" customWidth="1"/>
    <col min="3" max="16384" width="9.28515625" style="38"/>
  </cols>
  <sheetData>
    <row r="1" spans="1:6" s="37" customFormat="1">
      <c r="A1" s="52" t="s">
        <v>86</v>
      </c>
      <c r="B1" s="52" t="s">
        <v>87</v>
      </c>
    </row>
    <row r="2" spans="1:6">
      <c r="A2" s="53">
        <v>0</v>
      </c>
      <c r="B2" s="80">
        <v>1</v>
      </c>
    </row>
    <row r="3" spans="1:6">
      <c r="A3" s="53">
        <v>1</v>
      </c>
      <c r="B3" s="54">
        <f>1-((5/100)^(1/A3))</f>
        <v>0.95</v>
      </c>
    </row>
    <row r="4" spans="1:6">
      <c r="A4" s="53">
        <f>+A3+1</f>
        <v>2</v>
      </c>
      <c r="B4" s="54">
        <f t="shared" ref="B4:B67" si="0">1-((5/100)^(1/A4))</f>
        <v>0.77639320225002106</v>
      </c>
      <c r="C4" s="39"/>
      <c r="D4" s="39"/>
      <c r="E4" s="39"/>
      <c r="F4" s="39"/>
    </row>
    <row r="5" spans="1:6">
      <c r="A5" s="53">
        <f t="shared" ref="A5:A68" si="1">+A4+1</f>
        <v>3</v>
      </c>
      <c r="B5" s="54">
        <f t="shared" si="0"/>
        <v>0.63159685013596123</v>
      </c>
    </row>
    <row r="6" spans="1:6">
      <c r="A6" s="53">
        <f t="shared" si="1"/>
        <v>4</v>
      </c>
      <c r="B6" s="54">
        <f t="shared" si="0"/>
        <v>0.52712919549841208</v>
      </c>
    </row>
    <row r="7" spans="1:6">
      <c r="A7" s="53">
        <f t="shared" si="1"/>
        <v>5</v>
      </c>
      <c r="B7" s="54">
        <f t="shared" si="0"/>
        <v>0.45071972834694107</v>
      </c>
    </row>
    <row r="8" spans="1:6">
      <c r="A8" s="53">
        <f t="shared" si="1"/>
        <v>6</v>
      </c>
      <c r="B8" s="54">
        <f t="shared" si="0"/>
        <v>0.39303776899708276</v>
      </c>
    </row>
    <row r="9" spans="1:6">
      <c r="A9" s="53">
        <f t="shared" si="1"/>
        <v>7</v>
      </c>
      <c r="B9" s="54">
        <f t="shared" si="0"/>
        <v>0.34816365513116088</v>
      </c>
    </row>
    <row r="10" spans="1:6">
      <c r="A10" s="53">
        <f t="shared" si="1"/>
        <v>8</v>
      </c>
      <c r="B10" s="54">
        <f t="shared" si="0"/>
        <v>0.31234397806636793</v>
      </c>
    </row>
    <row r="11" spans="1:6">
      <c r="A11" s="53">
        <f t="shared" si="1"/>
        <v>9</v>
      </c>
      <c r="B11" s="54">
        <f t="shared" si="0"/>
        <v>0.28312883556311352</v>
      </c>
    </row>
    <row r="12" spans="1:6">
      <c r="A12" s="53">
        <f t="shared" si="1"/>
        <v>10</v>
      </c>
      <c r="B12" s="54">
        <f t="shared" si="0"/>
        <v>0.2588655508930523</v>
      </c>
    </row>
    <row r="13" spans="1:6">
      <c r="A13" s="53">
        <f t="shared" si="1"/>
        <v>11</v>
      </c>
      <c r="B13" s="54">
        <f t="shared" si="0"/>
        <v>0.2384041903808527</v>
      </c>
    </row>
    <row r="14" spans="1:6">
      <c r="A14" s="53">
        <f t="shared" si="1"/>
        <v>12</v>
      </c>
      <c r="B14" s="54">
        <f t="shared" si="0"/>
        <v>0.22092219194555585</v>
      </c>
    </row>
    <row r="15" spans="1:6">
      <c r="A15" s="53">
        <f t="shared" si="1"/>
        <v>13</v>
      </c>
      <c r="B15" s="54">
        <f t="shared" si="0"/>
        <v>0.20581666518655073</v>
      </c>
    </row>
    <row r="16" spans="1:6">
      <c r="A16" s="53">
        <f t="shared" si="1"/>
        <v>14</v>
      </c>
      <c r="B16" s="54">
        <f t="shared" si="0"/>
        <v>0.19263617565013536</v>
      </c>
    </row>
    <row r="17" spans="1:2">
      <c r="A17" s="53">
        <f t="shared" si="1"/>
        <v>15</v>
      </c>
      <c r="B17" s="54">
        <f t="shared" si="0"/>
        <v>0.18103627252208465</v>
      </c>
    </row>
    <row r="18" spans="1:2">
      <c r="A18" s="53">
        <f t="shared" si="1"/>
        <v>16</v>
      </c>
      <c r="B18" s="54">
        <f t="shared" si="0"/>
        <v>0.17074972298248092</v>
      </c>
    </row>
    <row r="19" spans="1:2">
      <c r="A19" s="53">
        <f t="shared" si="1"/>
        <v>17</v>
      </c>
      <c r="B19" s="54">
        <f t="shared" si="0"/>
        <v>0.16156611126074005</v>
      </c>
    </row>
    <row r="20" spans="1:2">
      <c r="A20" s="53">
        <f t="shared" si="1"/>
        <v>18</v>
      </c>
      <c r="B20" s="54">
        <f t="shared" si="0"/>
        <v>0.1533175539572782</v>
      </c>
    </row>
    <row r="21" spans="1:2">
      <c r="A21" s="53">
        <f t="shared" si="1"/>
        <v>19</v>
      </c>
      <c r="B21" s="54">
        <f t="shared" si="0"/>
        <v>0.14586850331224344</v>
      </c>
    </row>
    <row r="22" spans="1:2">
      <c r="A22" s="53">
        <f t="shared" si="1"/>
        <v>20</v>
      </c>
      <c r="B22" s="54">
        <f t="shared" si="0"/>
        <v>0.13910834066826516</v>
      </c>
    </row>
    <row r="23" spans="1:2">
      <c r="A23" s="53">
        <f t="shared" si="1"/>
        <v>21</v>
      </c>
      <c r="B23" s="54">
        <f t="shared" si="0"/>
        <v>0.13294591102652342</v>
      </c>
    </row>
    <row r="24" spans="1:2">
      <c r="A24" s="53">
        <f t="shared" si="1"/>
        <v>22</v>
      </c>
      <c r="B24" s="54">
        <f t="shared" si="0"/>
        <v>0.12730543165483876</v>
      </c>
    </row>
    <row r="25" spans="1:2">
      <c r="A25" s="53">
        <f t="shared" si="1"/>
        <v>23</v>
      </c>
      <c r="B25" s="54">
        <f t="shared" si="0"/>
        <v>0.12212338890652308</v>
      </c>
    </row>
    <row r="26" spans="1:2">
      <c r="A26" s="53">
        <f t="shared" si="1"/>
        <v>24</v>
      </c>
      <c r="B26" s="54">
        <f t="shared" si="0"/>
        <v>0.1173461561549487</v>
      </c>
    </row>
    <row r="27" spans="1:2">
      <c r="A27" s="53">
        <f t="shared" si="1"/>
        <v>25</v>
      </c>
      <c r="B27" s="54">
        <f t="shared" si="0"/>
        <v>0.11292814500684323</v>
      </c>
    </row>
    <row r="28" spans="1:2">
      <c r="A28" s="53">
        <f t="shared" si="1"/>
        <v>26</v>
      </c>
      <c r="B28" s="54">
        <f t="shared" si="0"/>
        <v>0.10883035576078481</v>
      </c>
    </row>
    <row r="29" spans="1:2">
      <c r="A29" s="53">
        <f t="shared" si="1"/>
        <v>27</v>
      </c>
      <c r="B29" s="54">
        <f t="shared" si="0"/>
        <v>0.10501923017634429</v>
      </c>
    </row>
    <row r="30" spans="1:2">
      <c r="A30" s="53">
        <f t="shared" si="1"/>
        <v>28</v>
      </c>
      <c r="B30" s="54">
        <f t="shared" si="0"/>
        <v>0.10146573557272465</v>
      </c>
    </row>
    <row r="31" spans="1:2">
      <c r="A31" s="53">
        <f t="shared" si="1"/>
        <v>29</v>
      </c>
      <c r="B31" s="54">
        <f t="shared" si="0"/>
        <v>9.8144627677295704E-2</v>
      </c>
    </row>
    <row r="32" spans="1:2">
      <c r="A32" s="53">
        <f t="shared" si="1"/>
        <v>30</v>
      </c>
      <c r="B32" s="54">
        <f t="shared" si="0"/>
        <v>9.503385285530408E-2</v>
      </c>
    </row>
    <row r="33" spans="1:2">
      <c r="A33" s="53">
        <f t="shared" si="1"/>
        <v>31</v>
      </c>
      <c r="B33" s="54">
        <f t="shared" si="0"/>
        <v>9.211405994732369E-2</v>
      </c>
    </row>
    <row r="34" spans="1:2">
      <c r="A34" s="53">
        <f t="shared" si="1"/>
        <v>32</v>
      </c>
      <c r="B34" s="54">
        <f t="shared" si="0"/>
        <v>8.9368198986264802E-2</v>
      </c>
    </row>
    <row r="35" spans="1:2">
      <c r="A35" s="53">
        <f t="shared" si="1"/>
        <v>33</v>
      </c>
      <c r="B35" s="54">
        <f t="shared" si="0"/>
        <v>8.6781189291474936E-2</v>
      </c>
    </row>
    <row r="36" spans="1:2">
      <c r="A36" s="53">
        <f t="shared" si="1"/>
        <v>34</v>
      </c>
      <c r="B36" s="54">
        <f t="shared" si="0"/>
        <v>8.4339643350625382E-2</v>
      </c>
    </row>
    <row r="37" spans="1:2">
      <c r="A37" s="53">
        <f t="shared" si="1"/>
        <v>35</v>
      </c>
      <c r="B37" s="54">
        <f t="shared" si="0"/>
        <v>8.2031635856670504E-2</v>
      </c>
    </row>
    <row r="38" spans="1:2">
      <c r="A38" s="53">
        <f t="shared" si="1"/>
        <v>36</v>
      </c>
      <c r="B38" s="54">
        <f t="shared" si="0"/>
        <v>7.984650951989436E-2</v>
      </c>
    </row>
    <row r="39" spans="1:2">
      <c r="A39" s="53">
        <f t="shared" si="1"/>
        <v>37</v>
      </c>
      <c r="B39" s="54">
        <f t="shared" si="0"/>
        <v>7.7774711005137886E-2</v>
      </c>
    </row>
    <row r="40" spans="1:2">
      <c r="A40" s="53">
        <f t="shared" si="1"/>
        <v>38</v>
      </c>
      <c r="B40" s="54">
        <f t="shared" si="0"/>
        <v>7.580765168296455E-2</v>
      </c>
    </row>
    <row r="41" spans="1:2">
      <c r="A41" s="53">
        <f t="shared" si="1"/>
        <v>39</v>
      </c>
      <c r="B41" s="54">
        <f t="shared" si="0"/>
        <v>7.3937588926686559E-2</v>
      </c>
    </row>
    <row r="42" spans="1:2">
      <c r="A42" s="53">
        <f t="shared" si="1"/>
        <v>40</v>
      </c>
      <c r="B42" s="54">
        <f t="shared" si="0"/>
        <v>7.2157524505514603E-2</v>
      </c>
    </row>
    <row r="43" spans="1:2">
      <c r="A43" s="53">
        <f t="shared" si="1"/>
        <v>41</v>
      </c>
      <c r="B43" s="54">
        <f t="shared" si="0"/>
        <v>7.0461117270164131E-2</v>
      </c>
    </row>
    <row r="44" spans="1:2">
      <c r="A44" s="53">
        <f t="shared" si="1"/>
        <v>42</v>
      </c>
      <c r="B44" s="54">
        <f t="shared" si="0"/>
        <v>6.8842607840394865E-2</v>
      </c>
    </row>
    <row r="45" spans="1:2">
      <c r="A45" s="53">
        <f t="shared" si="1"/>
        <v>43</v>
      </c>
      <c r="B45" s="54">
        <f t="shared" si="0"/>
        <v>6.7296753413867871E-2</v>
      </c>
    </row>
    <row r="46" spans="1:2">
      <c r="A46" s="53">
        <f t="shared" si="1"/>
        <v>44</v>
      </c>
      <c r="B46" s="54">
        <f t="shared" si="0"/>
        <v>6.5818771144933952E-2</v>
      </c>
    </row>
    <row r="47" spans="1:2">
      <c r="A47" s="53">
        <f t="shared" si="1"/>
        <v>45</v>
      </c>
      <c r="B47" s="54">
        <f t="shared" si="0"/>
        <v>6.4404288807783483E-2</v>
      </c>
    </row>
    <row r="48" spans="1:2">
      <c r="A48" s="53">
        <f t="shared" si="1"/>
        <v>46</v>
      </c>
      <c r="B48" s="54">
        <f t="shared" si="0"/>
        <v>6.3049301674054536E-2</v>
      </c>
    </row>
    <row r="49" spans="1:2">
      <c r="A49" s="53">
        <f t="shared" si="1"/>
        <v>47</v>
      </c>
      <c r="B49" s="54">
        <f t="shared" si="0"/>
        <v>6.1750134710824467E-2</v>
      </c>
    </row>
    <row r="50" spans="1:2">
      <c r="A50" s="53">
        <f t="shared" si="1"/>
        <v>48</v>
      </c>
      <c r="B50" s="54">
        <f t="shared" si="0"/>
        <v>6.050340934889431E-2</v>
      </c>
    </row>
    <row r="51" spans="1:2">
      <c r="A51" s="53">
        <f t="shared" si="1"/>
        <v>49</v>
      </c>
      <c r="B51" s="54">
        <f t="shared" si="0"/>
        <v>5.9306014189697054E-2</v>
      </c>
    </row>
    <row r="52" spans="1:2">
      <c r="A52" s="53">
        <f t="shared" si="1"/>
        <v>50</v>
      </c>
      <c r="B52" s="54">
        <f t="shared" si="0"/>
        <v>5.8155079116972264E-2</v>
      </c>
    </row>
    <row r="53" spans="1:2">
      <c r="A53" s="53">
        <f t="shared" si="1"/>
        <v>51</v>
      </c>
      <c r="B53" s="54">
        <f t="shared" si="0"/>
        <v>5.70479523604428E-2</v>
      </c>
    </row>
    <row r="54" spans="1:2">
      <c r="A54" s="53">
        <f t="shared" si="1"/>
        <v>52</v>
      </c>
      <c r="B54" s="54">
        <f t="shared" si="0"/>
        <v>5.598218012623557E-2</v>
      </c>
    </row>
    <row r="55" spans="1:2">
      <c r="A55" s="53">
        <f t="shared" si="1"/>
        <v>53</v>
      </c>
      <c r="B55" s="54">
        <f t="shared" si="0"/>
        <v>5.4955488465177837E-2</v>
      </c>
    </row>
    <row r="56" spans="1:2">
      <c r="A56" s="53">
        <f t="shared" si="1"/>
        <v>54</v>
      </c>
      <c r="B56" s="54">
        <f t="shared" si="0"/>
        <v>5.3965767097376327E-2</v>
      </c>
    </row>
    <row r="57" spans="1:2">
      <c r="A57" s="53">
        <f t="shared" si="1"/>
        <v>55</v>
      </c>
      <c r="B57" s="54">
        <f t="shared" si="0"/>
        <v>5.30110549512538E-2</v>
      </c>
    </row>
    <row r="58" spans="1:2">
      <c r="A58" s="53">
        <f t="shared" si="1"/>
        <v>56</v>
      </c>
      <c r="B58" s="54">
        <f t="shared" si="0"/>
        <v>5.2089527208779463E-2</v>
      </c>
    </row>
    <row r="59" spans="1:2">
      <c r="A59" s="53">
        <f t="shared" si="1"/>
        <v>57</v>
      </c>
      <c r="B59" s="54">
        <f t="shared" si="0"/>
        <v>5.1199483677039193E-2</v>
      </c>
    </row>
    <row r="60" spans="1:2">
      <c r="A60" s="53">
        <f t="shared" si="1"/>
        <v>58</v>
      </c>
      <c r="B60" s="54">
        <f t="shared" si="0"/>
        <v>5.0339338330420147E-2</v>
      </c>
    </row>
    <row r="61" spans="1:2">
      <c r="A61" s="53">
        <f t="shared" si="1"/>
        <v>59</v>
      </c>
      <c r="B61" s="54">
        <f t="shared" si="0"/>
        <v>4.9507609888227E-2</v>
      </c>
    </row>
    <row r="62" spans="1:2">
      <c r="A62" s="53">
        <f t="shared" si="1"/>
        <v>60</v>
      </c>
      <c r="B62" s="54">
        <f t="shared" si="0"/>
        <v>4.8702913310097462E-2</v>
      </c>
    </row>
    <row r="63" spans="1:2">
      <c r="A63" s="53">
        <f t="shared" si="1"/>
        <v>61</v>
      </c>
      <c r="B63" s="54">
        <f t="shared" si="0"/>
        <v>4.7923952106607381E-2</v>
      </c>
    </row>
    <row r="64" spans="1:2">
      <c r="A64" s="53">
        <f t="shared" si="1"/>
        <v>62</v>
      </c>
      <c r="B64" s="54">
        <f t="shared" si="0"/>
        <v>4.7169511375356854E-2</v>
      </c>
    </row>
    <row r="65" spans="1:2">
      <c r="A65" s="53">
        <f t="shared" si="1"/>
        <v>63</v>
      </c>
      <c r="B65" s="54">
        <f t="shared" si="0"/>
        <v>4.6438451483938215E-2</v>
      </c>
    </row>
    <row r="66" spans="1:2">
      <c r="A66" s="53">
        <f t="shared" si="1"/>
        <v>64</v>
      </c>
      <c r="B66" s="54">
        <f t="shared" si="0"/>
        <v>4.5729702330762456E-2</v>
      </c>
    </row>
    <row r="67" spans="1:2">
      <c r="A67" s="53">
        <f t="shared" si="1"/>
        <v>65</v>
      </c>
      <c r="B67" s="54">
        <f t="shared" si="0"/>
        <v>4.5042258123013545E-2</v>
      </c>
    </row>
    <row r="68" spans="1:2">
      <c r="A68" s="53">
        <f t="shared" si="1"/>
        <v>66</v>
      </c>
      <c r="B68" s="54">
        <f t="shared" ref="B68:B102" si="2">1-((5/100)^(1/A68))</f>
        <v>4.4375172618184355E-2</v>
      </c>
    </row>
    <row r="69" spans="1:2">
      <c r="A69" s="53">
        <f t="shared" ref="A69:A102" si="3">+A68+1</f>
        <v>67</v>
      </c>
      <c r="B69" s="54">
        <f t="shared" si="2"/>
        <v>4.3727554781889499E-2</v>
      </c>
    </row>
    <row r="70" spans="1:2">
      <c r="A70" s="53">
        <f t="shared" si="3"/>
        <v>68</v>
      </c>
      <c r="B70" s="54">
        <f t="shared" si="2"/>
        <v>4.3098564820088336E-2</v>
      </c>
    </row>
    <row r="71" spans="1:2">
      <c r="A71" s="53">
        <f t="shared" si="3"/>
        <v>69</v>
      </c>
      <c r="B71" s="54">
        <f t="shared" si="2"/>
        <v>4.2487410548593729E-2</v>
      </c>
    </row>
    <row r="72" spans="1:2">
      <c r="A72" s="53">
        <f t="shared" si="3"/>
        <v>70</v>
      </c>
      <c r="B72" s="54">
        <f t="shared" si="2"/>
        <v>4.1893344066888605E-2</v>
      </c>
    </row>
    <row r="73" spans="1:2">
      <c r="A73" s="53">
        <f t="shared" si="3"/>
        <v>71</v>
      </c>
      <c r="B73" s="54">
        <f t="shared" si="2"/>
        <v>4.1315658706909453E-2</v>
      </c>
    </row>
    <row r="74" spans="1:2">
      <c r="A74" s="53">
        <f t="shared" si="3"/>
        <v>72</v>
      </c>
      <c r="B74" s="54">
        <f t="shared" si="2"/>
        <v>4.0753686230639907E-2</v>
      </c>
    </row>
    <row r="75" spans="1:2">
      <c r="A75" s="53">
        <f t="shared" si="3"/>
        <v>73</v>
      </c>
      <c r="B75" s="54">
        <f t="shared" si="2"/>
        <v>4.0206794253165867E-2</v>
      </c>
    </row>
    <row r="76" spans="1:2">
      <c r="A76" s="53">
        <f t="shared" si="3"/>
        <v>74</v>
      </c>
      <c r="B76" s="54">
        <f t="shared" si="2"/>
        <v>3.9674383870313412E-2</v>
      </c>
    </row>
    <row r="77" spans="1:2">
      <c r="A77" s="53">
        <f t="shared" si="3"/>
        <v>75</v>
      </c>
      <c r="B77" s="54">
        <f t="shared" si="2"/>
        <v>3.9155887472171247E-2</v>
      </c>
    </row>
    <row r="78" spans="1:2">
      <c r="A78" s="53">
        <f t="shared" si="3"/>
        <v>76</v>
      </c>
      <c r="B78" s="54">
        <f t="shared" si="2"/>
        <v>3.8650766725725538E-2</v>
      </c>
    </row>
    <row r="79" spans="1:2">
      <c r="A79" s="53">
        <f t="shared" si="3"/>
        <v>77</v>
      </c>
      <c r="B79" s="54">
        <f t="shared" si="2"/>
        <v>3.8158510711545413E-2</v>
      </c>
    </row>
    <row r="80" spans="1:2">
      <c r="A80" s="53">
        <f t="shared" si="3"/>
        <v>78</v>
      </c>
      <c r="B80" s="54">
        <f t="shared" si="2"/>
        <v>3.7678634200968508E-2</v>
      </c>
    </row>
    <row r="81" spans="1:2">
      <c r="A81" s="53">
        <f t="shared" si="3"/>
        <v>79</v>
      </c>
      <c r="B81" s="54">
        <f t="shared" si="2"/>
        <v>3.7210676061580239E-2</v>
      </c>
    </row>
    <row r="82" spans="1:2">
      <c r="A82" s="53">
        <f t="shared" si="3"/>
        <v>80</v>
      </c>
      <c r="B82" s="54">
        <f t="shared" si="2"/>
        <v>3.6754197779982345E-2</v>
      </c>
    </row>
    <row r="83" spans="1:2">
      <c r="A83" s="53">
        <f t="shared" si="3"/>
        <v>81</v>
      </c>
      <c r="B83" s="54">
        <f t="shared" si="2"/>
        <v>3.6308782091904246E-2</v>
      </c>
    </row>
    <row r="84" spans="1:2">
      <c r="A84" s="53">
        <f t="shared" si="3"/>
        <v>82</v>
      </c>
      <c r="B84" s="54">
        <f t="shared" si="2"/>
        <v>3.5874031710671161E-2</v>
      </c>
    </row>
    <row r="85" spans="1:2">
      <c r="A85" s="53">
        <f t="shared" si="3"/>
        <v>83</v>
      </c>
      <c r="B85" s="54">
        <f t="shared" si="2"/>
        <v>3.5449568145885069E-2</v>
      </c>
    </row>
    <row r="86" spans="1:2">
      <c r="A86" s="53">
        <f t="shared" si="3"/>
        <v>84</v>
      </c>
      <c r="B86" s="54">
        <f t="shared" si="2"/>
        <v>3.5035030604942063E-2</v>
      </c>
    </row>
    <row r="87" spans="1:2">
      <c r="A87" s="53">
        <f t="shared" si="3"/>
        <v>85</v>
      </c>
      <c r="B87" s="54">
        <f t="shared" si="2"/>
        <v>3.4630074970687041E-2</v>
      </c>
    </row>
    <row r="88" spans="1:2">
      <c r="A88" s="53">
        <f t="shared" si="3"/>
        <v>86</v>
      </c>
      <c r="B88" s="54">
        <f t="shared" si="2"/>
        <v>3.4234372849120231E-2</v>
      </c>
    </row>
    <row r="89" spans="1:2">
      <c r="A89" s="53">
        <f t="shared" si="3"/>
        <v>87</v>
      </c>
      <c r="B89" s="54">
        <f t="shared" si="2"/>
        <v>3.3847610681619567E-2</v>
      </c>
    </row>
    <row r="90" spans="1:2">
      <c r="A90" s="53">
        <f t="shared" si="3"/>
        <v>88</v>
      </c>
      <c r="B90" s="54">
        <f t="shared" si="2"/>
        <v>3.346948891663748E-2</v>
      </c>
    </row>
    <row r="91" spans="1:2">
      <c r="A91" s="53">
        <f t="shared" si="3"/>
        <v>89</v>
      </c>
      <c r="B91" s="54">
        <f t="shared" si="2"/>
        <v>3.3099721236274138E-2</v>
      </c>
    </row>
    <row r="92" spans="1:2">
      <c r="A92" s="53">
        <f t="shared" si="3"/>
        <v>90</v>
      </c>
      <c r="B92" s="54">
        <f t="shared" si="2"/>
        <v>3.2738033833534574E-2</v>
      </c>
    </row>
    <row r="93" spans="1:2">
      <c r="A93" s="53">
        <f t="shared" si="3"/>
        <v>91</v>
      </c>
      <c r="B93" s="54">
        <f t="shared" si="2"/>
        <v>3.2384164736434462E-2</v>
      </c>
    </row>
    <row r="94" spans="1:2">
      <c r="A94" s="53">
        <f t="shared" si="3"/>
        <v>92</v>
      </c>
      <c r="B94" s="54">
        <f t="shared" si="2"/>
        <v>3.2037863175451764E-2</v>
      </c>
    </row>
    <row r="95" spans="1:2">
      <c r="A95" s="53">
        <f t="shared" si="3"/>
        <v>93</v>
      </c>
      <c r="B95" s="54">
        <f t="shared" si="2"/>
        <v>3.1698888991114837E-2</v>
      </c>
    </row>
    <row r="96" spans="1:2">
      <c r="A96" s="53">
        <f t="shared" si="3"/>
        <v>94</v>
      </c>
      <c r="B96" s="54">
        <f t="shared" si="2"/>
        <v>3.1367012078787671E-2</v>
      </c>
    </row>
    <row r="97" spans="1:2">
      <c r="A97" s="53">
        <f t="shared" si="3"/>
        <v>95</v>
      </c>
      <c r="B97" s="54">
        <f t="shared" si="2"/>
        <v>3.1042011867954855E-2</v>
      </c>
    </row>
    <row r="98" spans="1:2">
      <c r="A98" s="53">
        <f t="shared" si="3"/>
        <v>96</v>
      </c>
      <c r="B98" s="54">
        <f t="shared" si="2"/>
        <v>3.0723676833532831E-2</v>
      </c>
    </row>
    <row r="99" spans="1:2">
      <c r="A99" s="53">
        <f t="shared" si="3"/>
        <v>97</v>
      </c>
      <c r="B99" s="54">
        <f t="shared" si="2"/>
        <v>3.0411804036931112E-2</v>
      </c>
    </row>
    <row r="100" spans="1:2">
      <c r="A100" s="53">
        <f t="shared" si="3"/>
        <v>98</v>
      </c>
      <c r="B100" s="54">
        <f t="shared" si="2"/>
        <v>3.0106198694773156E-2</v>
      </c>
    </row>
    <row r="101" spans="1:2">
      <c r="A101" s="53">
        <f t="shared" si="3"/>
        <v>99</v>
      </c>
      <c r="B101" s="54">
        <f t="shared" si="2"/>
        <v>2.9806673773350889E-2</v>
      </c>
    </row>
    <row r="102" spans="1:2">
      <c r="A102" s="53">
        <f t="shared" si="3"/>
        <v>100</v>
      </c>
      <c r="B102" s="54">
        <f t="shared" si="2"/>
        <v>2.9513049607039932E-2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WORKING OF DEPRECIATION</vt:lpstr>
      <vt:lpstr>Schedule II</vt:lpstr>
      <vt:lpstr>Assets</vt:lpstr>
      <vt:lpstr>FAR</vt:lpstr>
      <vt:lpstr>WDV Rates</vt:lpstr>
      <vt:lpstr>Assetype</vt:lpstr>
      <vt:lpstr>coment</vt:lpstr>
      <vt:lpstr>depreciationmethod</vt:lpstr>
      <vt:lpstr>natureofasset</vt:lpstr>
      <vt:lpstr>natureofassets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dharmesh</dc:creator>
  <cp:lastModifiedBy>Acer</cp:lastModifiedBy>
  <cp:lastPrinted>2015-12-12T07:26:34Z</cp:lastPrinted>
  <dcterms:created xsi:type="dcterms:W3CDTF">2014-07-22T12:15:00Z</dcterms:created>
  <dcterms:modified xsi:type="dcterms:W3CDTF">2016-03-03T16:24:33Z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