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activeX/activeX1.xml" ContentType="application/vnd.ms-office.activeX+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defaultThemeVersion="124226"/>
  <bookViews>
    <workbookView xWindow="120" yWindow="30" windowWidth="15480" windowHeight="10920"/>
  </bookViews>
  <sheets>
    <sheet name="Sheet1" sheetId="15" r:id="rId1"/>
    <sheet name="WDV" sheetId="1" r:id="rId2"/>
    <sheet name="WDV_Additions" sheetId="14" r:id="rId3"/>
    <sheet name="SLM" sheetId="8" r:id="rId4"/>
    <sheet name="SLM_Additions" sheetId="13" r:id="rId5"/>
    <sheet name="Summary" sheetId="11" r:id="rId6"/>
    <sheet name="Direct WDV" sheetId="7" r:id="rId7"/>
    <sheet name="Sch II" sheetId="3" r:id="rId8"/>
  </sheets>
  <definedNames>
    <definedName name="abc" localSheetId="4">#REF!</definedName>
    <definedName name="abc" localSheetId="2">#REF!</definedName>
    <definedName name="abc">#REF!</definedName>
    <definedName name="Aircrafts.Helicopters">'Sch II'!$C$137</definedName>
    <definedName name="asset">'Sch II'!$A$3:$A$17</definedName>
    <definedName name="Bridges.culverts.bunkers">'Sch II'!$C$9</definedName>
    <definedName name="Buildings">'Sch II'!$C$3:$C$7</definedName>
    <definedName name="Computers.data.processing.units">'Sch II'!$C$127:$C$128</definedName>
    <definedName name="ElectricalInstallations.Equipment">'Sch II'!$C$133</definedName>
    <definedName name="Furniture.fittings">'Sch II'!$C$98:$C$99</definedName>
    <definedName name="Hydraulicwoks.pipelines.sluices">'Sch II'!$C$135</definedName>
    <definedName name="Laboratory.equipment">'Sch II'!$C$130:$C$131</definedName>
    <definedName name="Motor.Vehicles">'Sch II'!$C$101:$C$105</definedName>
    <definedName name="Office.equipments">'Sch II'!$C$143</definedName>
    <definedName name="Plant.Machinery">'Sch II'!$C$15:$C$96</definedName>
    <definedName name="Railway.siding">'Sch II'!$C$139</definedName>
    <definedName name="Roads">'Sch II'!$C$11:$C$13</definedName>
    <definedName name="Ropeway.structures">'Sch II'!$C$141</definedName>
    <definedName name="Ships">'Sch II'!$C$107:$C$124</definedName>
    <definedName name="WDV">'Direct WDV'!$B$15:$B$19</definedName>
  </definedNames>
  <calcPr calcId="124519"/>
</workbook>
</file>

<file path=xl/calcChain.xml><?xml version="1.0" encoding="utf-8"?>
<calcChain xmlns="http://schemas.openxmlformats.org/spreadsheetml/2006/main">
  <c r="B8" i="11"/>
  <c r="B7"/>
  <c r="G22"/>
  <c r="G21"/>
  <c r="G7"/>
  <c r="G6"/>
  <c r="I26" i="7"/>
  <c r="H15"/>
  <c r="I15" s="1"/>
  <c r="H16"/>
  <c r="H7" i="1"/>
  <c r="H8"/>
  <c r="I8" s="1"/>
  <c r="H12"/>
  <c r="H13"/>
  <c r="H17"/>
  <c r="H18"/>
  <c r="E7"/>
  <c r="H7" i="14"/>
  <c r="H8"/>
  <c r="H12"/>
  <c r="H13"/>
  <c r="I13" s="1"/>
  <c r="B22" i="11"/>
  <c r="K6" i="13"/>
  <c r="F19" i="1"/>
  <c r="G19"/>
  <c r="K13" i="14"/>
  <c r="K12"/>
  <c r="K8"/>
  <c r="K7"/>
  <c r="G9"/>
  <c r="G14"/>
  <c r="E8"/>
  <c r="J8" s="1"/>
  <c r="I8"/>
  <c r="F14"/>
  <c r="A14"/>
  <c r="E13"/>
  <c r="I12"/>
  <c r="E12"/>
  <c r="F9"/>
  <c r="A9"/>
  <c r="I7"/>
  <c r="E7"/>
  <c r="J7" s="1"/>
  <c r="K8" i="8"/>
  <c r="H11" i="13"/>
  <c r="G11"/>
  <c r="A11"/>
  <c r="K10"/>
  <c r="F10"/>
  <c r="I10"/>
  <c r="E10"/>
  <c r="H7"/>
  <c r="G7"/>
  <c r="A7"/>
  <c r="F6"/>
  <c r="I6"/>
  <c r="E6"/>
  <c r="J6" s="1"/>
  <c r="L6" s="1"/>
  <c r="H23" i="8"/>
  <c r="G23"/>
  <c r="H15"/>
  <c r="G15"/>
  <c r="K18" i="1"/>
  <c r="I18"/>
  <c r="E18"/>
  <c r="K13"/>
  <c r="I13"/>
  <c r="E13"/>
  <c r="G9"/>
  <c r="F9"/>
  <c r="K8"/>
  <c r="E8"/>
  <c r="A19"/>
  <c r="K17"/>
  <c r="I17"/>
  <c r="E17"/>
  <c r="G14"/>
  <c r="F14"/>
  <c r="A14"/>
  <c r="K12"/>
  <c r="I12"/>
  <c r="E12"/>
  <c r="B21" i="11"/>
  <c r="A23" i="8"/>
  <c r="A15"/>
  <c r="A9" i="1"/>
  <c r="B6" i="11" s="1"/>
  <c r="K22" i="8"/>
  <c r="F22"/>
  <c r="I22"/>
  <c r="E22"/>
  <c r="J22" s="1"/>
  <c r="L22" s="1"/>
  <c r="K21"/>
  <c r="I21"/>
  <c r="F21"/>
  <c r="E21"/>
  <c r="J21" s="1"/>
  <c r="K20"/>
  <c r="I20"/>
  <c r="F20"/>
  <c r="E20"/>
  <c r="J20" s="1"/>
  <c r="L20" s="1"/>
  <c r="K19"/>
  <c r="I19"/>
  <c r="F19"/>
  <c r="E19"/>
  <c r="J19" s="1"/>
  <c r="K18"/>
  <c r="F18"/>
  <c r="I18"/>
  <c r="E18"/>
  <c r="J18"/>
  <c r="L18" s="1"/>
  <c r="F14"/>
  <c r="I14"/>
  <c r="E14"/>
  <c r="J14" s="1"/>
  <c r="K13"/>
  <c r="F13"/>
  <c r="I13"/>
  <c r="E13"/>
  <c r="K12"/>
  <c r="F12"/>
  <c r="I12"/>
  <c r="E12"/>
  <c r="K11"/>
  <c r="F11"/>
  <c r="I11"/>
  <c r="E11"/>
  <c r="J11"/>
  <c r="L11" s="1"/>
  <c r="K10"/>
  <c r="F10"/>
  <c r="I10"/>
  <c r="E10"/>
  <c r="J10" s="1"/>
  <c r="K9"/>
  <c r="F9"/>
  <c r="I9"/>
  <c r="E9"/>
  <c r="F8"/>
  <c r="I8"/>
  <c r="E8"/>
  <c r="J8" s="1"/>
  <c r="K7"/>
  <c r="F7"/>
  <c r="I7"/>
  <c r="E7"/>
  <c r="E6"/>
  <c r="K7" i="1"/>
  <c r="I7"/>
  <c r="J7" s="1"/>
  <c r="I53" i="7"/>
  <c r="I54" s="1"/>
  <c r="I16"/>
  <c r="A35" s="1"/>
  <c r="D54"/>
  <c r="C54"/>
  <c r="B54"/>
  <c r="A27"/>
  <c r="A46"/>
  <c r="D46"/>
  <c r="C46"/>
  <c r="E46" s="1"/>
  <c r="A48" s="1"/>
  <c r="B46"/>
  <c r="B27"/>
  <c r="B35"/>
  <c r="K6" i="8"/>
  <c r="F6"/>
  <c r="I6"/>
  <c r="J6"/>
  <c r="L6" s="1"/>
  <c r="D35" i="7"/>
  <c r="C35"/>
  <c r="D27"/>
  <c r="C27"/>
  <c r="E27" s="1"/>
  <c r="A29" s="1"/>
  <c r="J12" i="8"/>
  <c r="L12" s="1"/>
  <c r="J13"/>
  <c r="L13" s="1"/>
  <c r="J9"/>
  <c r="L9" s="1"/>
  <c r="J7"/>
  <c r="L7" s="1"/>
  <c r="J10" i="13"/>
  <c r="L10" s="1"/>
  <c r="J12" i="14"/>
  <c r="L12" s="1"/>
  <c r="L8" l="1"/>
  <c r="M8"/>
  <c r="L11" i="13"/>
  <c r="H22" i="11" s="1"/>
  <c r="M10" i="13"/>
  <c r="M11" s="1"/>
  <c r="J12" i="1"/>
  <c r="M12" i="14"/>
  <c r="M8" i="8"/>
  <c r="L8"/>
  <c r="B29" i="7"/>
  <c r="B48"/>
  <c r="E35"/>
  <c r="A37" s="1"/>
  <c r="E54"/>
  <c r="A56" s="1"/>
  <c r="A54"/>
  <c r="N7" i="14"/>
  <c r="L7"/>
  <c r="M7" s="1"/>
  <c r="N8"/>
  <c r="N9" s="1"/>
  <c r="N12"/>
  <c r="J13"/>
  <c r="L14" i="8"/>
  <c r="M14"/>
  <c r="M19"/>
  <c r="L19"/>
  <c r="L10"/>
  <c r="M10"/>
  <c r="M21"/>
  <c r="L21"/>
  <c r="L7" i="13"/>
  <c r="H21" i="11" s="1"/>
  <c r="H25" s="1"/>
  <c r="M6" i="13"/>
  <c r="M7" s="1"/>
  <c r="L15" i="8"/>
  <c r="C21" i="11" s="1"/>
  <c r="L23" i="8"/>
  <c r="C22" i="11" s="1"/>
  <c r="M6" i="8"/>
  <c r="M9"/>
  <c r="M11"/>
  <c r="M13"/>
  <c r="M20"/>
  <c r="M22"/>
  <c r="M7"/>
  <c r="M12"/>
  <c r="M18"/>
  <c r="L12" i="1"/>
  <c r="M12" s="1"/>
  <c r="J8"/>
  <c r="J13"/>
  <c r="N13" s="1"/>
  <c r="J18"/>
  <c r="J17"/>
  <c r="N12"/>
  <c r="N7"/>
  <c r="M23" i="8" l="1"/>
  <c r="D22" i="11" s="1"/>
  <c r="C25"/>
  <c r="M9" i="14"/>
  <c r="H6" i="11" s="1"/>
  <c r="L8" i="1"/>
  <c r="M8"/>
  <c r="L13"/>
  <c r="M13" s="1"/>
  <c r="M14" s="1"/>
  <c r="L17"/>
  <c r="M17" s="1"/>
  <c r="N17"/>
  <c r="N19" s="1"/>
  <c r="D8" i="11" s="1"/>
  <c r="L18" i="1"/>
  <c r="M18" s="1"/>
  <c r="N8"/>
  <c r="N9" s="1"/>
  <c r="D6" i="11" s="1"/>
  <c r="L7" i="1"/>
  <c r="M7" s="1"/>
  <c r="L13" i="14"/>
  <c r="N13"/>
  <c r="N14" s="1"/>
  <c r="M15" i="8"/>
  <c r="D21" i="11" s="1"/>
  <c r="D25" s="1"/>
  <c r="N18" i="1"/>
  <c r="N14"/>
  <c r="M13" i="14" l="1"/>
  <c r="M14" s="1"/>
  <c r="H7" i="11" s="1"/>
  <c r="H10" s="1"/>
  <c r="M9" i="1"/>
  <c r="C6" i="11" s="1"/>
  <c r="M19" i="1"/>
  <c r="C8" i="11" s="1"/>
  <c r="D7"/>
  <c r="D10" s="1"/>
  <c r="C7" l="1"/>
  <c r="C10" s="1"/>
</calcChain>
</file>

<file path=xl/sharedStrings.xml><?xml version="1.0" encoding="utf-8"?>
<sst xmlns="http://schemas.openxmlformats.org/spreadsheetml/2006/main" count="375" uniqueCount="223">
  <si>
    <t xml:space="preserve">Year </t>
  </si>
  <si>
    <t>Scrap Value</t>
  </si>
  <si>
    <t>Remaining Year</t>
  </si>
  <si>
    <t>Type of Asset</t>
  </si>
  <si>
    <t>Rate of Depreciation</t>
  </si>
  <si>
    <t>Building  (other  than  factory  buildings)  RCC  Frame</t>
  </si>
  <si>
    <t>Building (other than factory buildings) other than RCC Frame Structure</t>
  </si>
  <si>
    <t xml:space="preserve"> Factory buildings</t>
  </si>
  <si>
    <t xml:space="preserve"> Fences, wells, tube wells</t>
  </si>
  <si>
    <t>Other (including temporary structure, etc.)</t>
  </si>
  <si>
    <t>Carpeted Roads - RCC</t>
  </si>
  <si>
    <t xml:space="preserve">Carpeted Roads - other than RCC </t>
  </si>
  <si>
    <t>Non-carpeted roads</t>
  </si>
  <si>
    <t>(a)  General rate applicable to Plant and Machinery not covered under Special Plant and Machinery</t>
  </si>
  <si>
    <t>(i)  Plant  and  Machinery  other  than  continuous process plant not covered under specific</t>
  </si>
  <si>
    <t>(ii)      Continuous process plant for which no special rate has been prescribed under (ii) below</t>
  </si>
  <si>
    <t>(b)  Special Plant and Machinery</t>
  </si>
  <si>
    <t>(i)       Plant and Machinery related to production and exhibition of Motion Picture Films</t>
  </si>
  <si>
    <t>1. Cinematograph films - Machinery used in the production and  exhibition of cinematograph films, recording and reproducing equipments, developing machines, printing machines, editing machines,  synchronizers  and  studio  lights</t>
  </si>
  <si>
    <t>2. Projecting equipment for exhibition of films</t>
  </si>
  <si>
    <t>(ii)      Plant and Machinery used in glass</t>
  </si>
  <si>
    <t>1. Plant and Machinery except direct fire glass melting furnaces - Recuperative and regenerative glass melting furnaces</t>
  </si>
  <si>
    <t>2     Plant and Machinery except direct fire glass melting furnaces - Moulds [NESD]</t>
  </si>
  <si>
    <t>3     Float Glass Melting Furnaces [NESD]</t>
  </si>
  <si>
    <t>(iii)     Plant and Machinery used in mines and quarries Portable underground machinery and earth moving machinery used in open cast mining</t>
  </si>
  <si>
    <t>(iv)     Plant         and         Machinery         used         in Telecommunications [NESD]</t>
  </si>
  <si>
    <t>1.Towers</t>
  </si>
  <si>
    <t>2     Telecom   transceivers,   switching   centres, transmission and other network equipment</t>
  </si>
  <si>
    <t>3     Telecom - Ducts, Cables and optical fibre</t>
  </si>
  <si>
    <t>4     Satellites</t>
  </si>
  <si>
    <t>(v)      Plant   and   Machinery   used   in   exploration, production and refining oil and gas [NESD]</t>
  </si>
  <si>
    <t>1. Refineries</t>
  </si>
  <si>
    <t>2     Oil   and   gas   assets   (including   wells), processing plant and facilities</t>
  </si>
  <si>
    <t>3     Petrochemical Plant</t>
  </si>
  <si>
    <t>4     Storage tanks and related equipment</t>
  </si>
  <si>
    <t>5     Pipelines</t>
  </si>
  <si>
    <t>6     Drilling Rig</t>
  </si>
  <si>
    <t>7     Field  operations  (above  ground)  Portable boilers, drilling tools, well-head tanks, etc.</t>
  </si>
  <si>
    <t>8     Loggers</t>
  </si>
  <si>
    <t>(vi)     Plant   and   Machinery   used   in   generation, transmission and distribution of power [NESD]</t>
  </si>
  <si>
    <t>1.Thermal  /  Gas  /  Combined  Cycle  Power generation plant</t>
  </si>
  <si>
    <t>2     Hydro Power Generation Plant</t>
  </si>
  <si>
    <t>3     Nuclear Power Generation Plant</t>
  </si>
  <si>
    <t>4     Transmission    lines,    cables    and    other network assets</t>
  </si>
  <si>
    <t>5     Wind Power Generation Plant</t>
  </si>
  <si>
    <t>6     Electric Distribution Plant</t>
  </si>
  <si>
    <t>7     Gas Storage and Distribution Plant</t>
  </si>
  <si>
    <t>8     Water Distribution Plant including pipelines</t>
  </si>
  <si>
    <t>1     Sinter Plant</t>
  </si>
  <si>
    <t>2     Blast Furnace</t>
  </si>
  <si>
    <t>3     Coke Ovens</t>
  </si>
  <si>
    <t>4     Rolling mill in steel plant</t>
  </si>
  <si>
    <t>5     Basic Oxygen Furnace Converter</t>
  </si>
  <si>
    <t>(viii)   Plant and Machinery used in manufacture of non ferrous metals</t>
  </si>
  <si>
    <t>1.  Metal pot line [NESD]</t>
  </si>
  <si>
    <t>2     Bauxite crushing and grinding section</t>
  </si>
  <si>
    <t>3     Digester Section [NESD]</t>
  </si>
  <si>
    <t>4     Turbine [NESD]</t>
  </si>
  <si>
    <t>5     Equipments for Calcinations [NESD]</t>
  </si>
  <si>
    <t>6     Copper Smelter [NESD]</t>
  </si>
  <si>
    <t>7     Roll Grinder</t>
  </si>
  <si>
    <t>8     Soaking Pit</t>
  </si>
  <si>
    <t>9     Annealing Furnace</t>
  </si>
  <si>
    <t>10   Rolling Mills</t>
  </si>
  <si>
    <t>11 Equipments for Scalping, Slitting, etc. [NSED]</t>
  </si>
  <si>
    <t>12   Surface Miner, Ripper Dozer, etc. used in mines</t>
  </si>
  <si>
    <t>13   Copper refining plant [NSED]</t>
  </si>
  <si>
    <t>(ix)     Plant   and   Machinery  used   in   medical   and surgical operations [NESD]</t>
  </si>
  <si>
    <t>1 Electrical   Machinery,   X-ray   and electrotherapeutic apparatus and accessories thereto, medical, diagnostic equipments, namely, Cat-scan, Ultrasound Machines, ECG Monitors, etc.</t>
  </si>
  <si>
    <t>2     Other Equipments used in medical and surgical operations</t>
  </si>
  <si>
    <t>(x)      Plant  and  Machinery  used  in  manufacture  of pharmaceuticals and chemicals [NESD]</t>
  </si>
  <si>
    <t>1     Reactors</t>
  </si>
  <si>
    <t>2     Distillation Columns</t>
  </si>
  <si>
    <t>3     Drying   equipments   /    Centrifuges   and Decanters</t>
  </si>
  <si>
    <t>4     Vessel / Storage tanks</t>
  </si>
  <si>
    <t>(xi)     Plant and Machinery used in civil construction</t>
  </si>
  <si>
    <t>1     Concreting,  Crushing,  Piling  Equipments and Road Making Equipments</t>
  </si>
  <si>
    <t>2     Heavy Lift Equipments</t>
  </si>
  <si>
    <t>- Cranes with capacity more than 100 tons</t>
  </si>
  <si>
    <t>- Cranes with capacity less than 100 tons</t>
  </si>
  <si>
    <t>3     Transmission line, Tunnelling Equipments [NESD]</t>
  </si>
  <si>
    <t>4     Earth-moving equipments</t>
  </si>
  <si>
    <t>5     Others   including   Material   Handling   / Pipeline / Welding Equipments [NESD]</t>
  </si>
  <si>
    <t>(xii)    Plant and Machinery used in salt works [NESD]</t>
  </si>
  <si>
    <t>(a) General furniture and fittings</t>
  </si>
  <si>
    <t>(b)  Furniture and fittings used in hotels, restaurants and boarding houses, schools, colleges and other education institutions, libraries, welfare centres, meeting halls, cinema houses, theatres and circuses and furniture and fittings  let  out  on  hire  for  used  on  occasion  of marriages and similar functions</t>
  </si>
  <si>
    <t>(a)  Motor cycles, scooters and other mopeds</t>
  </si>
  <si>
    <t>(b)  Motor buses, motor lorries, motor cars and motor taxies used in a business of running them on hire</t>
  </si>
  <si>
    <t>(c)  Motor buses, motor lorries, motor cars and motor taxies other than those used in a business of running them on</t>
  </si>
  <si>
    <t>(d)  Motor tractors, harvesting combines and heavy vehicles</t>
  </si>
  <si>
    <t>(e)  Electrically    operated    vehicles    including    battery powered or fuel cell powered vehicles</t>
  </si>
  <si>
    <t>(a)  Ocean-going ships</t>
  </si>
  <si>
    <t>(i)       Bulk Carriers and liner vessels</t>
  </si>
  <si>
    <t>(ii)      Crude   tankers,   product   carriers   and   easy chemical carriers with or without conventional</t>
  </si>
  <si>
    <t>(iii)     Chemicals and Acid Carriers</t>
  </si>
  <si>
    <t>1     With Stainless steel tanks</t>
  </si>
  <si>
    <t>2     With other tanks</t>
  </si>
  <si>
    <t>(iv)     Liquefied gas carriers</t>
  </si>
  <si>
    <t>(v)      Conventional large passenger vessels which are used for cruise purpose also</t>
  </si>
  <si>
    <t>(vi)     Coastal service ships of all categories</t>
  </si>
  <si>
    <t>(vii)    Offshore supply and support vessels</t>
  </si>
  <si>
    <t>(viii)   Catamarans and other high speed passenger for ships or boats</t>
  </si>
  <si>
    <t>(ix)     Drill ships</t>
  </si>
  <si>
    <t>(x)      Hovercrafts</t>
  </si>
  <si>
    <t>(xi)     Fishing vessels with wooden hull</t>
  </si>
  <si>
    <t>(xii)    Dredgers,  tugs,  barges,  survey  launches  and other similar ships used mainly for dredging</t>
  </si>
  <si>
    <t>(b)  Vessels ordinarily operating on inland waters</t>
  </si>
  <si>
    <t>(i)       Speed boats</t>
  </si>
  <si>
    <t>(ii)      Other vessels</t>
  </si>
  <si>
    <t>(a)  Servers and networks</t>
  </si>
  <si>
    <t>(b)  End user devices, such as, desktops, laptops, etc.</t>
  </si>
  <si>
    <t>(a)  General laboratory equipment</t>
  </si>
  <si>
    <t xml:space="preserve">(b)  Laboratory equipments used in education institutions
</t>
  </si>
  <si>
    <t>Carring Amt/WDV</t>
  </si>
  <si>
    <t>Original Cost</t>
  </si>
  <si>
    <t>TYPE OF ASSET</t>
  </si>
  <si>
    <t>Buildings</t>
  </si>
  <si>
    <t>USEFUL LIFE</t>
  </si>
  <si>
    <t>Roads</t>
  </si>
  <si>
    <t>Bridges, culverts, bunkers</t>
  </si>
  <si>
    <t>Ships</t>
  </si>
  <si>
    <t>Plant.Machinery</t>
  </si>
  <si>
    <t>Bridges.culverts.bunkers</t>
  </si>
  <si>
    <t>Furniture.fittings</t>
  </si>
  <si>
    <t>Motor.Vehicles</t>
  </si>
  <si>
    <t>Aircrafts.Helicopters</t>
  </si>
  <si>
    <t>Railway.siding</t>
  </si>
  <si>
    <t>Ropeway.structures</t>
  </si>
  <si>
    <t>Office.equipments</t>
  </si>
  <si>
    <t>Laboratory.equipment</t>
  </si>
  <si>
    <t>ElectricalInstallations.Equipment</t>
  </si>
  <si>
    <t>Computers.data.processing.units</t>
  </si>
  <si>
    <t>Hydraulicwoks.pipelines.sluices</t>
  </si>
  <si>
    <t>Ending Year</t>
  </si>
  <si>
    <t>Asset Already Used (In Days)</t>
  </si>
  <si>
    <t>Categories</t>
  </si>
  <si>
    <t>Answer</t>
  </si>
  <si>
    <t>T/F To Retained Earning</t>
  </si>
  <si>
    <t>WDV</t>
  </si>
  <si>
    <t>SLM</t>
  </si>
  <si>
    <t>Depreciation/Year</t>
  </si>
  <si>
    <t>Asset Already Used</t>
  </si>
  <si>
    <t>Rate</t>
  </si>
  <si>
    <t>Direct WDV for n Years</t>
  </si>
  <si>
    <t>Discounting Factor</t>
  </si>
  <si>
    <t>WDV Price</t>
  </si>
  <si>
    <t>Purchase Date</t>
  </si>
  <si>
    <t>Asset Price</t>
  </si>
  <si>
    <t>Table 1</t>
  </si>
  <si>
    <t>When We Know Depreciation for 1st Year</t>
  </si>
  <si>
    <t>When We Know Purchase Date Of Asset</t>
  </si>
  <si>
    <t>Table 2</t>
  </si>
  <si>
    <t xml:space="preserve">Purchase Date (Auto Calculated):  </t>
  </si>
  <si>
    <t>Table 3</t>
  </si>
  <si>
    <t>Value After SLM Dep.</t>
  </si>
  <si>
    <t>Depreciation Till Now</t>
  </si>
  <si>
    <t>For SLM Basis</t>
  </si>
  <si>
    <t>For WDV Basis</t>
  </si>
  <si>
    <t>Purchase Date (Auto Calculated):</t>
  </si>
  <si>
    <t>Table 4</t>
  </si>
  <si>
    <t>Depreciation (1st Year)</t>
  </si>
  <si>
    <t>Building</t>
  </si>
  <si>
    <t>Particluars</t>
  </si>
  <si>
    <t>Retained Earnings</t>
  </si>
  <si>
    <t>S. No.</t>
  </si>
  <si>
    <t>Depreciation</t>
  </si>
  <si>
    <t>Total</t>
  </si>
  <si>
    <t>Motor Car</t>
  </si>
  <si>
    <t>T/f to Retained Earnings</t>
  </si>
  <si>
    <t>Summary Sheet - WDV</t>
  </si>
  <si>
    <t>Summary Sheet - SLM</t>
  </si>
  <si>
    <t>Computer</t>
  </si>
  <si>
    <t>Plant &amp; Machinery</t>
  </si>
  <si>
    <t>Vehicles - Two Wheeler</t>
  </si>
  <si>
    <t>Fridge</t>
  </si>
  <si>
    <t>NEW Additions</t>
  </si>
  <si>
    <t>Old Assets</t>
  </si>
  <si>
    <t>The sheet is useful for the transitional provisions of the  Schedule II of the companies Act 2013 .</t>
  </si>
  <si>
    <t>Enter the date of purchase in column A, start from A7</t>
  </si>
  <si>
    <t>A</t>
  </si>
  <si>
    <t>C</t>
  </si>
  <si>
    <t>D</t>
  </si>
  <si>
    <t>F</t>
  </si>
  <si>
    <t>G</t>
  </si>
  <si>
    <t>Instructions</t>
  </si>
  <si>
    <t>Interpretation of Results</t>
  </si>
  <si>
    <t>Any Comments &amp; Compliments are most welcomed.</t>
  </si>
  <si>
    <t>COLUMN</t>
  </si>
  <si>
    <t>Description</t>
  </si>
  <si>
    <t>Columns To Be Filled By User</t>
  </si>
  <si>
    <t>As per the provisions of Companies Act, calculation will have to be made for each addition.</t>
  </si>
  <si>
    <t>FOR THE SLM</t>
  </si>
  <si>
    <t>FOR THE WDV</t>
  </si>
  <si>
    <t>New Additions</t>
  </si>
  <si>
    <t>Same instructions would be applicable for the Additions in the Current year 2014-15 in "WDV_SLM_Addition" Sheet.</t>
  </si>
  <si>
    <t>Results would be auto Calculated in Summary Sheet. (For Refrence - Check the Details filled In Summary Sheet.)</t>
  </si>
  <si>
    <r>
      <rPr>
        <b/>
        <sz val="12"/>
        <color rgb="FFFF0000"/>
        <rFont val="Calibri"/>
        <family val="2"/>
        <scheme val="minor"/>
      </rPr>
      <t>NOTE</t>
    </r>
    <r>
      <rPr>
        <b/>
        <sz val="12"/>
        <rFont val="Calibri"/>
        <family val="2"/>
        <scheme val="minor"/>
      </rPr>
      <t xml:space="preserve">: Provide the required input  under the  </t>
    </r>
    <r>
      <rPr>
        <b/>
        <sz val="12"/>
        <color rgb="FF00B050"/>
        <rFont val="Calibri"/>
        <family val="2"/>
        <scheme val="minor"/>
      </rPr>
      <t>green headings</t>
    </r>
    <r>
      <rPr>
        <b/>
        <sz val="12"/>
        <rFont val="Calibri"/>
        <family val="2"/>
        <scheme val="minor"/>
      </rPr>
      <t>, the sheet will do the rest for you.</t>
    </r>
  </si>
  <si>
    <t>*NOTE</t>
  </si>
  <si>
    <t xml:space="preserve">In Case, </t>
  </si>
  <si>
    <t>(Instructions:</t>
  </si>
  <si>
    <t>For Calculating WDV, Following Situations may be there:</t>
  </si>
  <si>
    <t>Fill</t>
  </si>
  <si>
    <t>(Blank)</t>
  </si>
  <si>
    <t>IF Purchase Date of Asset is KNOWN</t>
  </si>
  <si>
    <t xml:space="preserve">Fill </t>
  </si>
  <si>
    <t>YES</t>
  </si>
  <si>
    <t>NO</t>
  </si>
  <si>
    <t>Asset Price (Gross Block)</t>
  </si>
  <si>
    <t>*Fill the correct year of Purchase (Day and Month Doesn’t Matter)</t>
  </si>
  <si>
    <t>Particular</t>
  </si>
  <si>
    <r>
      <t>Fill</t>
    </r>
    <r>
      <rPr>
        <sz val="14"/>
        <color theme="1"/>
        <rFont val="Calibri"/>
        <family val="2"/>
        <scheme val="minor"/>
      </rPr>
      <t>*</t>
    </r>
  </si>
  <si>
    <t>Depreciation Will Go Under Head "Depreciation For Current Year" In Profit And Loss Account.</t>
  </si>
  <si>
    <t>Retained Earnings Will Go Under Head "Depreciation For Earlier Years" In Profit And Loss Account.</t>
  </si>
  <si>
    <t>If you don’t Know the WDV for the Individual Assets, It can be AUTO CALCULATED through                                      Sheet.</t>
  </si>
  <si>
    <t>There may be a nominal difference between the WDV as computed by the sheet and as appearing in your books.</t>
  </si>
  <si>
    <t>SHREYANS JAIN</t>
  </si>
  <si>
    <t>VINITA KHEMANI</t>
  </si>
  <si>
    <t>vinita.777khemani@gmail.com</t>
  </si>
  <si>
    <t>shreyansjain500@gmail.com</t>
  </si>
  <si>
    <t>Mob . No.</t>
  </si>
  <si>
    <t>Email Id</t>
  </si>
  <si>
    <t>Made By:-</t>
  </si>
  <si>
    <t>In Case Of Sale Of An Asset, Deduct The Amount From Respective Block In Which It Was Purchased.</t>
  </si>
</sst>
</file>

<file path=xl/styles.xml><?xml version="1.0" encoding="utf-8"?>
<styleSheet xmlns="http://schemas.openxmlformats.org/spreadsheetml/2006/main">
  <numFmts count="4">
    <numFmt numFmtId="43" formatCode="_ * #,##0.00_ ;_ * \-#,##0.00_ ;_ * &quot;-&quot;??_ ;_ @_ "/>
    <numFmt numFmtId="164" formatCode="_(* #,##0.00_);_(* \(#,##0.00\);_(* &quot;-&quot;??_);_(@_)"/>
    <numFmt numFmtId="165" formatCode="_-* #,##0.00_-;\-* #,##0.00_-;_-* &quot;-&quot;??_-;_-@_-"/>
    <numFmt numFmtId="166" formatCode="_ * #,##0_ ;_ * \-#,##0_ ;_ * &quot;-&quot;??_ ;_ @_ "/>
  </numFmts>
  <fonts count="25">
    <font>
      <sz val="11"/>
      <color theme="1"/>
      <name val="Calibri"/>
      <family val="2"/>
      <scheme val="minor"/>
    </font>
    <font>
      <sz val="11"/>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sz val="12"/>
      <color rgb="FF000000"/>
      <name val="Calibri"/>
      <family val="2"/>
      <scheme val="minor"/>
    </font>
    <font>
      <b/>
      <sz val="14"/>
      <color theme="1"/>
      <name val="Calibri"/>
      <family val="2"/>
      <scheme val="minor"/>
    </font>
    <font>
      <b/>
      <sz val="11"/>
      <color rgb="FFFF0000"/>
      <name val="Calibri"/>
      <family val="2"/>
      <scheme val="minor"/>
    </font>
    <font>
      <b/>
      <sz val="14"/>
      <name val="Calibri"/>
      <family val="2"/>
      <scheme val="minor"/>
    </font>
    <font>
      <b/>
      <sz val="12"/>
      <name val="Calibri"/>
      <family val="2"/>
      <scheme val="minor"/>
    </font>
    <font>
      <b/>
      <sz val="16"/>
      <color theme="1"/>
      <name val="Calibri"/>
      <family val="2"/>
      <scheme val="minor"/>
    </font>
    <font>
      <sz val="16"/>
      <color theme="1"/>
      <name val="Calibri"/>
      <family val="2"/>
      <scheme val="minor"/>
    </font>
    <font>
      <b/>
      <sz val="12"/>
      <color rgb="FF00B050"/>
      <name val="Calibri"/>
      <family val="2"/>
      <scheme val="minor"/>
    </font>
    <font>
      <b/>
      <sz val="36"/>
      <name val="Arial Rounded MT Bold"/>
      <family val="2"/>
    </font>
    <font>
      <i/>
      <sz val="16"/>
      <color rgb="FF0070C0"/>
      <name val="Calibri"/>
      <family val="2"/>
      <scheme val="minor"/>
    </font>
    <font>
      <sz val="16"/>
      <color rgb="FF0070C0"/>
      <name val="Calibri"/>
      <family val="2"/>
      <scheme val="minor"/>
    </font>
    <font>
      <sz val="11"/>
      <color rgb="FF000000"/>
      <name val="Calibri"/>
      <family val="2"/>
      <scheme val="minor"/>
    </font>
    <font>
      <sz val="11"/>
      <name val="Calibri"/>
      <family val="2"/>
      <scheme val="minor"/>
    </font>
    <font>
      <b/>
      <sz val="12"/>
      <color rgb="FFFF0000"/>
      <name val="Calibri"/>
      <family val="2"/>
      <scheme val="minor"/>
    </font>
    <font>
      <sz val="14"/>
      <color rgb="FF000000"/>
      <name val="Calibri"/>
      <family val="2"/>
      <scheme val="minor"/>
    </font>
    <font>
      <i/>
      <sz val="14"/>
      <color theme="1"/>
      <name val="Calibri"/>
      <family val="2"/>
      <scheme val="minor"/>
    </font>
    <font>
      <sz val="14"/>
      <color theme="1"/>
      <name val="Calibri"/>
      <family val="2"/>
      <scheme val="minor"/>
    </font>
    <font>
      <sz val="11"/>
      <color theme="1"/>
      <name val="Calibri"/>
      <family val="2"/>
    </font>
    <font>
      <b/>
      <i/>
      <sz val="11"/>
      <color theme="1"/>
      <name val="Calibri"/>
      <family val="2"/>
      <scheme val="minor"/>
    </font>
    <font>
      <u/>
      <sz val="11"/>
      <color theme="10"/>
      <name val="Calibri"/>
      <family val="2"/>
    </font>
  </fonts>
  <fills count="12">
    <fill>
      <patternFill patternType="none"/>
    </fill>
    <fill>
      <patternFill patternType="gray125"/>
    </fill>
    <fill>
      <patternFill patternType="solid">
        <fgColor theme="4" tint="0.399975585192419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4" tint="0.59999389629810485"/>
        <bgColor indexed="64"/>
      </patternFill>
    </fill>
    <fill>
      <patternFill patternType="solid">
        <fgColor theme="3"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6">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4" fillId="0" borderId="0" applyNumberFormat="0" applyFill="0" applyBorder="0" applyAlignment="0" applyProtection="0">
      <alignment vertical="top"/>
      <protection locked="0"/>
    </xf>
  </cellStyleXfs>
  <cellXfs count="190">
    <xf numFmtId="0" fontId="0" fillId="0" borderId="0" xfId="0"/>
    <xf numFmtId="0" fontId="3" fillId="0" borderId="0" xfId="0" applyFont="1" applyFill="1" applyBorder="1"/>
    <xf numFmtId="0" fontId="4" fillId="0" borderId="0" xfId="0" applyFont="1" applyFill="1" applyBorder="1"/>
    <xf numFmtId="0" fontId="3" fillId="0" borderId="0" xfId="0" applyFont="1" applyFill="1" applyBorder="1" applyAlignment="1"/>
    <xf numFmtId="0" fontId="3" fillId="0" borderId="0" xfId="0" applyFont="1" applyFill="1" applyBorder="1" applyAlignment="1">
      <alignment wrapText="1"/>
    </xf>
    <xf numFmtId="0" fontId="4" fillId="0" borderId="0" xfId="0" applyFont="1" applyFill="1" applyBorder="1" applyAlignment="1">
      <alignment wrapText="1"/>
    </xf>
    <xf numFmtId="0" fontId="3" fillId="0" borderId="0" xfId="0" applyNumberFormat="1" applyFont="1" applyFill="1" applyBorder="1" applyAlignment="1">
      <alignment wrapText="1"/>
    </xf>
    <xf numFmtId="0" fontId="3" fillId="0" borderId="0" xfId="0" applyFont="1" applyFill="1" applyBorder="1" applyAlignment="1">
      <alignment horizontal="left" wrapText="1"/>
    </xf>
    <xf numFmtId="0" fontId="5" fillId="0" borderId="0" xfId="0" applyFont="1" applyFill="1" applyBorder="1" applyAlignment="1">
      <alignment horizontal="left" vertical="top" wrapText="1"/>
    </xf>
    <xf numFmtId="0" fontId="5" fillId="0" borderId="0" xfId="0" applyFont="1" applyFill="1" applyBorder="1" applyAlignment="1">
      <alignment horizontal="left" vertical="top"/>
    </xf>
    <xf numFmtId="2" fontId="0" fillId="0" borderId="0" xfId="0" applyNumberFormat="1"/>
    <xf numFmtId="0" fontId="3" fillId="0" borderId="0" xfId="0" applyFont="1" applyFill="1" applyBorder="1" applyAlignment="1">
      <alignment vertical="top"/>
    </xf>
    <xf numFmtId="0" fontId="2" fillId="0" borderId="0" xfId="0" applyFont="1" applyAlignment="1">
      <alignment horizontal="center"/>
    </xf>
    <xf numFmtId="14" fontId="0" fillId="0" borderId="0" xfId="0" applyNumberFormat="1"/>
    <xf numFmtId="43" fontId="2" fillId="2" borderId="1" xfId="0" applyNumberFormat="1" applyFont="1" applyFill="1" applyBorder="1"/>
    <xf numFmtId="14" fontId="0" fillId="0" borderId="1" xfId="0" applyNumberFormat="1" applyBorder="1"/>
    <xf numFmtId="0" fontId="0" fillId="0" borderId="1" xfId="0" applyBorder="1"/>
    <xf numFmtId="2" fontId="0" fillId="0" borderId="1" xfId="0" applyNumberFormat="1" applyBorder="1"/>
    <xf numFmtId="166" fontId="1" fillId="0" borderId="1" xfId="1" applyNumberFormat="1" applyFont="1" applyBorder="1"/>
    <xf numFmtId="0" fontId="2" fillId="3" borderId="1" xfId="0" applyFont="1" applyFill="1" applyBorder="1"/>
    <xf numFmtId="0" fontId="2" fillId="4" borderId="1" xfId="0" applyFont="1" applyFill="1" applyBorder="1"/>
    <xf numFmtId="0" fontId="2" fillId="5" borderId="1" xfId="0" applyFont="1" applyFill="1" applyBorder="1"/>
    <xf numFmtId="0" fontId="6" fillId="0" borderId="0" xfId="0" applyFont="1"/>
    <xf numFmtId="166" fontId="1" fillId="0" borderId="1" xfId="3" applyNumberFormat="1" applyFont="1" applyBorder="1"/>
    <xf numFmtId="14" fontId="0" fillId="0" borderId="0" xfId="0" applyNumberFormat="1" applyBorder="1"/>
    <xf numFmtId="0" fontId="2" fillId="0" borderId="0" xfId="0" applyFont="1" applyFill="1" applyBorder="1"/>
    <xf numFmtId="2" fontId="1" fillId="0" borderId="1" xfId="3" applyNumberFormat="1" applyFont="1" applyBorder="1"/>
    <xf numFmtId="0" fontId="2" fillId="0" borderId="0" xfId="0" applyFont="1"/>
    <xf numFmtId="1" fontId="0" fillId="0" borderId="0" xfId="0" applyNumberFormat="1"/>
    <xf numFmtId="0" fontId="7" fillId="0" borderId="0" xfId="0" applyFont="1" applyFill="1" applyBorder="1"/>
    <xf numFmtId="0" fontId="2" fillId="0" borderId="1" xfId="0" applyFont="1" applyFill="1" applyBorder="1"/>
    <xf numFmtId="10" fontId="1" fillId="0" borderId="1" xfId="3" applyNumberFormat="1" applyFont="1" applyBorder="1"/>
    <xf numFmtId="14" fontId="0" fillId="0" borderId="1" xfId="0" applyNumberFormat="1" applyFill="1" applyBorder="1"/>
    <xf numFmtId="0" fontId="2" fillId="0" borderId="1" xfId="0" applyFont="1" applyBorder="1"/>
    <xf numFmtId="0" fontId="2" fillId="0" borderId="0" xfId="0" applyFont="1" applyFill="1"/>
    <xf numFmtId="0" fontId="0" fillId="0" borderId="0" xfId="0" applyFill="1"/>
    <xf numFmtId="166" fontId="1" fillId="0" borderId="0" xfId="1" applyNumberFormat="1" applyFont="1"/>
    <xf numFmtId="166" fontId="2" fillId="3" borderId="1" xfId="1" applyNumberFormat="1" applyFont="1" applyFill="1" applyBorder="1"/>
    <xf numFmtId="0" fontId="2" fillId="4" borderId="2" xfId="0" applyFont="1" applyFill="1" applyBorder="1"/>
    <xf numFmtId="0" fontId="0" fillId="0" borderId="3" xfId="0" applyBorder="1"/>
    <xf numFmtId="0" fontId="0" fillId="0" borderId="4" xfId="0" applyBorder="1"/>
    <xf numFmtId="0" fontId="0" fillId="6" borderId="0" xfId="0" applyFill="1"/>
    <xf numFmtId="0" fontId="6" fillId="6" borderId="0" xfId="0" applyFont="1" applyFill="1"/>
    <xf numFmtId="166" fontId="1" fillId="6" borderId="0" xfId="1" applyNumberFormat="1" applyFont="1" applyFill="1"/>
    <xf numFmtId="0" fontId="0" fillId="0" borderId="0" xfId="0" applyProtection="1">
      <protection hidden="1"/>
    </xf>
    <xf numFmtId="43" fontId="0" fillId="0" borderId="0" xfId="0" applyNumberFormat="1"/>
    <xf numFmtId="166" fontId="1" fillId="0" borderId="1" xfId="1" applyNumberFormat="1" applyFont="1" applyBorder="1"/>
    <xf numFmtId="0" fontId="0" fillId="0" borderId="1" xfId="0" applyBorder="1" applyAlignment="1">
      <alignment horizontal="center"/>
    </xf>
    <xf numFmtId="43" fontId="1" fillId="0" borderId="1" xfId="1" applyFont="1" applyBorder="1"/>
    <xf numFmtId="0" fontId="0" fillId="0" borderId="1" xfId="0" applyBorder="1" applyAlignment="1">
      <alignment horizontal="center"/>
    </xf>
    <xf numFmtId="0" fontId="2" fillId="7" borderId="1" xfId="0" applyFont="1" applyFill="1" applyBorder="1"/>
    <xf numFmtId="166" fontId="1" fillId="0" borderId="2" xfId="1" applyNumberFormat="1" applyFont="1" applyBorder="1"/>
    <xf numFmtId="166" fontId="0" fillId="0" borderId="3" xfId="0" applyNumberFormat="1" applyBorder="1"/>
    <xf numFmtId="43" fontId="2" fillId="7" borderId="1" xfId="0" applyNumberFormat="1" applyFont="1" applyFill="1" applyBorder="1"/>
    <xf numFmtId="43" fontId="2" fillId="0" borderId="1" xfId="0" applyNumberFormat="1" applyFont="1" applyBorder="1"/>
    <xf numFmtId="0" fontId="2" fillId="3" borderId="5" xfId="0" applyFont="1" applyFill="1" applyBorder="1"/>
    <xf numFmtId="14" fontId="0" fillId="0" borderId="5" xfId="0" applyNumberFormat="1" applyFill="1" applyBorder="1"/>
    <xf numFmtId="166" fontId="2" fillId="8" borderId="1" xfId="0" applyNumberFormat="1" applyFont="1" applyFill="1" applyBorder="1"/>
    <xf numFmtId="0" fontId="2" fillId="8" borderId="1" xfId="0" applyFont="1" applyFill="1" applyBorder="1"/>
    <xf numFmtId="166" fontId="2" fillId="8" borderId="2" xfId="0" applyNumberFormat="1" applyFont="1" applyFill="1" applyBorder="1"/>
    <xf numFmtId="0" fontId="2" fillId="7" borderId="6" xfId="0" applyFont="1" applyFill="1" applyBorder="1" applyAlignment="1"/>
    <xf numFmtId="0" fontId="2" fillId="7" borderId="5" xfId="0" applyFont="1" applyFill="1" applyBorder="1" applyAlignment="1"/>
    <xf numFmtId="166" fontId="2" fillId="7" borderId="1" xfId="0" applyNumberFormat="1" applyFont="1" applyFill="1" applyBorder="1" applyAlignment="1"/>
    <xf numFmtId="0" fontId="2" fillId="7" borderId="1" xfId="0" applyFont="1" applyFill="1" applyBorder="1" applyAlignment="1"/>
    <xf numFmtId="14" fontId="0" fillId="0" borderId="6" xfId="0" applyNumberFormat="1" applyFill="1" applyBorder="1"/>
    <xf numFmtId="0" fontId="0" fillId="8" borderId="6" xfId="0" applyFill="1" applyBorder="1" applyAlignment="1"/>
    <xf numFmtId="0" fontId="0" fillId="8" borderId="5" xfId="0" applyFill="1" applyBorder="1" applyAlignment="1"/>
    <xf numFmtId="0" fontId="2" fillId="8" borderId="1" xfId="0" applyFont="1" applyFill="1" applyBorder="1" applyAlignment="1"/>
    <xf numFmtId="166" fontId="2" fillId="8" borderId="1" xfId="0" applyNumberFormat="1" applyFont="1" applyFill="1" applyBorder="1" applyAlignment="1"/>
    <xf numFmtId="166" fontId="0" fillId="0" borderId="0" xfId="0" applyNumberFormat="1"/>
    <xf numFmtId="164" fontId="0" fillId="0" borderId="0" xfId="0" applyNumberFormat="1"/>
    <xf numFmtId="166" fontId="1" fillId="0" borderId="1" xfId="4" applyNumberFormat="1" applyFont="1" applyBorder="1"/>
    <xf numFmtId="10" fontId="1" fillId="0" borderId="2" xfId="3" applyNumberFormat="1" applyFont="1" applyBorder="1"/>
    <xf numFmtId="10" fontId="0" fillId="0" borderId="0" xfId="0" applyNumberFormat="1"/>
    <xf numFmtId="166" fontId="1" fillId="0" borderId="1" xfId="1" applyNumberFormat="1" applyFont="1" applyBorder="1"/>
    <xf numFmtId="0" fontId="8" fillId="0" borderId="0" xfId="0" applyFont="1"/>
    <xf numFmtId="0" fontId="9" fillId="0" borderId="0" xfId="0" applyFont="1"/>
    <xf numFmtId="0" fontId="10" fillId="0" borderId="0" xfId="0" applyFont="1"/>
    <xf numFmtId="0" fontId="11" fillId="0" borderId="0" xfId="0" applyFont="1"/>
    <xf numFmtId="0" fontId="13" fillId="0" borderId="0" xfId="0" applyFont="1" applyAlignment="1">
      <alignment horizontal="center"/>
    </xf>
    <xf numFmtId="0" fontId="14" fillId="0" borderId="0" xfId="0" applyFont="1" applyFill="1"/>
    <xf numFmtId="0" fontId="15" fillId="0" borderId="0" xfId="0" applyFont="1" applyFill="1"/>
    <xf numFmtId="0" fontId="0" fillId="6" borderId="0" xfId="0" applyFill="1" applyProtection="1">
      <protection hidden="1"/>
    </xf>
    <xf numFmtId="166" fontId="1" fillId="6" borderId="0" xfId="1" applyNumberFormat="1" applyFont="1" applyFill="1" applyProtection="1">
      <protection hidden="1"/>
    </xf>
    <xf numFmtId="0" fontId="0" fillId="0" borderId="3" xfId="0" applyBorder="1" applyProtection="1">
      <protection hidden="1"/>
    </xf>
    <xf numFmtId="0" fontId="0" fillId="0" borderId="4" xfId="0" applyBorder="1" applyProtection="1">
      <protection hidden="1"/>
    </xf>
    <xf numFmtId="0" fontId="0" fillId="0" borderId="0" xfId="0" applyFill="1" applyProtection="1">
      <protection hidden="1"/>
    </xf>
    <xf numFmtId="166" fontId="1" fillId="0" borderId="0" xfId="1" applyNumberFormat="1" applyFont="1" applyProtection="1">
      <protection hidden="1"/>
    </xf>
    <xf numFmtId="14" fontId="0" fillId="0" borderId="5" xfId="0" applyNumberFormat="1" applyFill="1" applyBorder="1" applyProtection="1">
      <protection hidden="1"/>
    </xf>
    <xf numFmtId="0" fontId="0" fillId="0" borderId="1" xfId="0" applyBorder="1" applyProtection="1">
      <protection hidden="1"/>
    </xf>
    <xf numFmtId="166" fontId="1" fillId="0" borderId="1" xfId="1" applyNumberFormat="1" applyFont="1" applyBorder="1" applyProtection="1">
      <protection hidden="1"/>
    </xf>
    <xf numFmtId="2" fontId="0" fillId="0" borderId="1" xfId="0" applyNumberFormat="1" applyBorder="1" applyProtection="1">
      <protection hidden="1"/>
    </xf>
    <xf numFmtId="10" fontId="1" fillId="0" borderId="2" xfId="3" applyNumberFormat="1" applyFont="1" applyBorder="1" applyProtection="1">
      <protection hidden="1"/>
    </xf>
    <xf numFmtId="43" fontId="2" fillId="2" borderId="1" xfId="0" applyNumberFormat="1" applyFont="1" applyFill="1" applyBorder="1" applyProtection="1">
      <protection hidden="1"/>
    </xf>
    <xf numFmtId="43" fontId="0" fillId="0" borderId="0" xfId="0" applyNumberFormat="1" applyProtection="1">
      <protection hidden="1"/>
    </xf>
    <xf numFmtId="2" fontId="0" fillId="0" borderId="0" xfId="0" applyNumberFormat="1" applyProtection="1">
      <protection hidden="1"/>
    </xf>
    <xf numFmtId="10" fontId="0" fillId="0" borderId="0" xfId="0" applyNumberFormat="1" applyProtection="1">
      <protection hidden="1"/>
    </xf>
    <xf numFmtId="10" fontId="0" fillId="0" borderId="0" xfId="3" applyNumberFormat="1" applyFont="1" applyProtection="1">
      <protection hidden="1"/>
    </xf>
    <xf numFmtId="0" fontId="6" fillId="6" borderId="0" xfId="0" applyFont="1" applyFill="1" applyProtection="1"/>
    <xf numFmtId="0" fontId="2" fillId="3" borderId="5" xfId="0" applyFont="1" applyFill="1" applyBorder="1" applyProtection="1"/>
    <xf numFmtId="0" fontId="2" fillId="4" borderId="1" xfId="0" applyFont="1" applyFill="1" applyBorder="1" applyProtection="1"/>
    <xf numFmtId="0" fontId="2" fillId="3" borderId="1" xfId="0" applyFont="1" applyFill="1" applyBorder="1" applyProtection="1"/>
    <xf numFmtId="166" fontId="2" fillId="3" borderId="1" xfId="1" applyNumberFormat="1" applyFont="1" applyFill="1" applyBorder="1" applyProtection="1"/>
    <xf numFmtId="0" fontId="2" fillId="4" borderId="2" xfId="0" applyFont="1" applyFill="1" applyBorder="1" applyProtection="1"/>
    <xf numFmtId="0" fontId="2" fillId="5" borderId="1" xfId="0" applyFont="1" applyFill="1" applyBorder="1" applyProtection="1"/>
    <xf numFmtId="0" fontId="2" fillId="0" borderId="0" xfId="0" applyFont="1" applyFill="1" applyProtection="1"/>
    <xf numFmtId="14" fontId="0" fillId="0" borderId="5" xfId="0" applyNumberFormat="1" applyFill="1" applyBorder="1" applyProtection="1"/>
    <xf numFmtId="14" fontId="0" fillId="0" borderId="1" xfId="0" applyNumberFormat="1" applyFill="1" applyBorder="1" applyProtection="1"/>
    <xf numFmtId="0" fontId="0" fillId="0" borderId="1" xfId="0" applyBorder="1" applyProtection="1"/>
    <xf numFmtId="14" fontId="0" fillId="0" borderId="6" xfId="0" applyNumberFormat="1" applyFill="1" applyBorder="1" applyProtection="1"/>
    <xf numFmtId="166" fontId="1" fillId="0" borderId="1" xfId="1" applyNumberFormat="1" applyFont="1" applyBorder="1" applyProtection="1"/>
    <xf numFmtId="0" fontId="2" fillId="0" borderId="0" xfId="0" applyFont="1" applyProtection="1"/>
    <xf numFmtId="166" fontId="2" fillId="7" borderId="1" xfId="0" applyNumberFormat="1" applyFont="1" applyFill="1" applyBorder="1" applyAlignment="1" applyProtection="1"/>
    <xf numFmtId="0" fontId="2" fillId="7" borderId="6" xfId="0" applyFont="1" applyFill="1" applyBorder="1" applyAlignment="1" applyProtection="1"/>
    <xf numFmtId="0" fontId="2" fillId="7" borderId="5" xfId="0" applyFont="1" applyFill="1" applyBorder="1" applyAlignment="1" applyProtection="1"/>
    <xf numFmtId="43" fontId="2" fillId="7" borderId="1" xfId="0" applyNumberFormat="1" applyFont="1" applyFill="1" applyBorder="1" applyProtection="1"/>
    <xf numFmtId="0" fontId="0" fillId="0" borderId="0" xfId="0" applyProtection="1"/>
    <xf numFmtId="0" fontId="2" fillId="7" borderId="1" xfId="0" applyFont="1" applyFill="1" applyBorder="1" applyAlignment="1" applyProtection="1"/>
    <xf numFmtId="2" fontId="0" fillId="0" borderId="0" xfId="0" applyNumberFormat="1" applyProtection="1"/>
    <xf numFmtId="10" fontId="0" fillId="0" borderId="0" xfId="0" applyNumberFormat="1" applyProtection="1"/>
    <xf numFmtId="0" fontId="0" fillId="0" borderId="0" xfId="0" applyBorder="1"/>
    <xf numFmtId="14" fontId="2" fillId="0" borderId="0" xfId="0" applyNumberFormat="1" applyFont="1" applyFill="1" applyBorder="1"/>
    <xf numFmtId="166" fontId="1" fillId="0" borderId="1" xfId="1" applyNumberFormat="1" applyFont="1" applyFill="1" applyBorder="1"/>
    <xf numFmtId="0" fontId="2" fillId="10" borderId="1" xfId="0" applyFont="1" applyFill="1" applyBorder="1" applyAlignment="1">
      <alignment horizontal="center"/>
    </xf>
    <xf numFmtId="0" fontId="2" fillId="7" borderId="1" xfId="0" applyFont="1" applyFill="1" applyBorder="1" applyAlignment="1">
      <alignment horizontal="center"/>
    </xf>
    <xf numFmtId="0" fontId="7" fillId="0" borderId="0" xfId="0" applyFont="1"/>
    <xf numFmtId="0" fontId="2" fillId="7" borderId="8" xfId="0" applyFont="1" applyFill="1" applyBorder="1"/>
    <xf numFmtId="2" fontId="0" fillId="0" borderId="0" xfId="0" applyNumberFormat="1" applyBorder="1"/>
    <xf numFmtId="14" fontId="2" fillId="0" borderId="1" xfId="0" applyNumberFormat="1" applyFont="1" applyFill="1" applyBorder="1"/>
    <xf numFmtId="0" fontId="23" fillId="5" borderId="1" xfId="0" applyFont="1" applyFill="1" applyBorder="1"/>
    <xf numFmtId="14" fontId="23" fillId="5" borderId="1" xfId="0" applyNumberFormat="1" applyFont="1" applyFill="1" applyBorder="1"/>
    <xf numFmtId="0" fontId="6" fillId="10" borderId="1" xfId="0" applyFont="1" applyFill="1" applyBorder="1"/>
    <xf numFmtId="0" fontId="2" fillId="10" borderId="1" xfId="0" applyFont="1" applyFill="1" applyBorder="1"/>
    <xf numFmtId="0" fontId="6" fillId="11" borderId="0" xfId="0" applyFont="1" applyFill="1"/>
    <xf numFmtId="14" fontId="0" fillId="11" borderId="0" xfId="0" applyNumberFormat="1" applyFill="1" applyBorder="1"/>
    <xf numFmtId="0" fontId="0" fillId="11" borderId="0" xfId="0" applyFill="1"/>
    <xf numFmtId="0" fontId="20" fillId="11" borderId="0" xfId="0" applyFont="1" applyFill="1"/>
    <xf numFmtId="0" fontId="22" fillId="11" borderId="0" xfId="0" applyFont="1" applyFill="1" applyAlignment="1">
      <alignment horizontal="right"/>
    </xf>
    <xf numFmtId="0" fontId="6" fillId="11" borderId="1" xfId="0" applyFont="1" applyFill="1" applyBorder="1" applyAlignment="1">
      <alignment horizontal="center"/>
    </xf>
    <xf numFmtId="0" fontId="2" fillId="11" borderId="9" xfId="0" applyFont="1" applyFill="1" applyBorder="1" applyAlignment="1">
      <alignment horizontal="center"/>
    </xf>
    <xf numFmtId="0" fontId="2" fillId="11" borderId="5" xfId="0" applyFont="1" applyFill="1" applyBorder="1" applyAlignment="1">
      <alignment horizontal="center"/>
    </xf>
    <xf numFmtId="0" fontId="6" fillId="11" borderId="1" xfId="0" applyFont="1" applyFill="1" applyBorder="1"/>
    <xf numFmtId="0" fontId="0" fillId="11" borderId="9" xfId="0" applyFill="1" applyBorder="1"/>
    <xf numFmtId="0" fontId="0" fillId="11" borderId="5" xfId="0" applyFill="1" applyBorder="1"/>
    <xf numFmtId="14" fontId="0" fillId="11" borderId="9" xfId="0" applyNumberFormat="1" applyFill="1" applyBorder="1"/>
    <xf numFmtId="14" fontId="0" fillId="11" borderId="5" xfId="0" applyNumberFormat="1" applyFill="1" applyBorder="1"/>
    <xf numFmtId="0" fontId="6" fillId="11" borderId="0" xfId="0" applyFont="1" applyFill="1" applyBorder="1"/>
    <xf numFmtId="0" fontId="0" fillId="11" borderId="0" xfId="0" applyFill="1" applyBorder="1"/>
    <xf numFmtId="0" fontId="24" fillId="0" borderId="0" xfId="5" applyAlignment="1" applyProtection="1"/>
    <xf numFmtId="0" fontId="0" fillId="0" borderId="0" xfId="0" applyAlignment="1">
      <alignment horizontal="center"/>
    </xf>
    <xf numFmtId="0" fontId="0" fillId="0" borderId="0" xfId="0" applyAlignment="1">
      <alignment horizontal="center" vertical="center"/>
    </xf>
    <xf numFmtId="0" fontId="0" fillId="0" borderId="0" xfId="0" applyAlignment="1">
      <alignment horizontal="left"/>
    </xf>
    <xf numFmtId="2" fontId="0" fillId="6" borderId="0" xfId="0" applyNumberFormat="1" applyFill="1"/>
    <xf numFmtId="166" fontId="0" fillId="6" borderId="10" xfId="0" applyNumberFormat="1" applyFill="1" applyBorder="1"/>
    <xf numFmtId="0" fontId="0" fillId="6" borderId="11" xfId="0" applyFill="1" applyBorder="1"/>
    <xf numFmtId="166" fontId="0" fillId="6" borderId="3" xfId="0" applyNumberFormat="1" applyFill="1" applyBorder="1"/>
    <xf numFmtId="0" fontId="0" fillId="6" borderId="4" xfId="0" applyFill="1" applyBorder="1"/>
    <xf numFmtId="0" fontId="2" fillId="0" borderId="0" xfId="0" applyFont="1" applyAlignment="1">
      <alignment horizontal="left" vertical="center"/>
    </xf>
    <xf numFmtId="0" fontId="2" fillId="0" borderId="0" xfId="0" applyFont="1" applyAlignment="1">
      <alignment horizontal="left"/>
    </xf>
    <xf numFmtId="0" fontId="0" fillId="0" borderId="1" xfId="0" applyBorder="1" applyAlignment="1">
      <alignment horizontal="left" vertical="top"/>
    </xf>
    <xf numFmtId="0" fontId="2" fillId="0" borderId="1" xfId="0" applyFont="1" applyBorder="1" applyAlignment="1">
      <alignment horizontal="center"/>
    </xf>
    <xf numFmtId="0" fontId="0" fillId="0" borderId="2" xfId="0" applyBorder="1" applyAlignment="1">
      <alignment horizontal="center" vertical="top"/>
    </xf>
    <xf numFmtId="0" fontId="0" fillId="0" borderId="6" xfId="0" applyBorder="1" applyAlignment="1">
      <alignment horizontal="center" vertical="top"/>
    </xf>
    <xf numFmtId="0" fontId="0" fillId="0" borderId="5" xfId="0" applyBorder="1" applyAlignment="1">
      <alignment horizontal="center" vertical="top"/>
    </xf>
    <xf numFmtId="0" fontId="13" fillId="0" borderId="0" xfId="0" applyFont="1" applyAlignment="1">
      <alignment horizontal="center"/>
    </xf>
    <xf numFmtId="0" fontId="7" fillId="0" borderId="1" xfId="0" applyFont="1" applyBorder="1" applyAlignment="1">
      <alignment horizontal="center"/>
    </xf>
    <xf numFmtId="0" fontId="0" fillId="0" borderId="1" xfId="0" applyBorder="1" applyAlignment="1">
      <alignment horizontal="center" vertical="top"/>
    </xf>
    <xf numFmtId="0" fontId="2" fillId="7" borderId="2" xfId="0" applyFont="1" applyFill="1" applyBorder="1" applyAlignment="1" applyProtection="1">
      <alignment horizontal="center"/>
    </xf>
    <xf numFmtId="0" fontId="2" fillId="7" borderId="6" xfId="0" applyFont="1" applyFill="1" applyBorder="1" applyAlignment="1" applyProtection="1">
      <alignment horizontal="center"/>
    </xf>
    <xf numFmtId="0" fontId="2" fillId="7" borderId="5" xfId="0" applyFont="1" applyFill="1" applyBorder="1" applyAlignment="1" applyProtection="1">
      <alignment horizontal="center"/>
    </xf>
    <xf numFmtId="0" fontId="0" fillId="9" borderId="2" xfId="0" applyFill="1" applyBorder="1" applyAlignment="1" applyProtection="1">
      <alignment horizontal="center"/>
    </xf>
    <xf numFmtId="0" fontId="0" fillId="9" borderId="5" xfId="0" applyFill="1" applyBorder="1" applyAlignment="1" applyProtection="1">
      <alignment horizontal="center"/>
    </xf>
    <xf numFmtId="0" fontId="0" fillId="9" borderId="2" xfId="0" applyFill="1" applyBorder="1" applyAlignment="1">
      <alignment horizontal="center"/>
    </xf>
    <xf numFmtId="0" fontId="0" fillId="9" borderId="5" xfId="0" applyFill="1" applyBorder="1" applyAlignment="1">
      <alignment horizontal="center"/>
    </xf>
    <xf numFmtId="0" fontId="2" fillId="7" borderId="2" xfId="0" applyFont="1" applyFill="1" applyBorder="1" applyAlignment="1">
      <alignment horizontal="center"/>
    </xf>
    <xf numFmtId="0" fontId="2" fillId="7" borderId="6" xfId="0" applyFont="1" applyFill="1" applyBorder="1" applyAlignment="1">
      <alignment horizontal="center"/>
    </xf>
    <xf numFmtId="0" fontId="2" fillId="7" borderId="5" xfId="0" applyFont="1" applyFill="1" applyBorder="1" applyAlignment="1">
      <alignment horizontal="center"/>
    </xf>
    <xf numFmtId="0" fontId="0" fillId="6" borderId="2" xfId="0" applyFill="1" applyBorder="1" applyAlignment="1">
      <alignment horizontal="center"/>
    </xf>
    <xf numFmtId="0" fontId="0" fillId="6" borderId="5" xfId="0" applyFill="1" applyBorder="1" applyAlignment="1">
      <alignment horizontal="center"/>
    </xf>
    <xf numFmtId="0" fontId="2" fillId="8" borderId="2" xfId="0" applyFont="1" applyFill="1" applyBorder="1" applyAlignment="1">
      <alignment horizontal="center"/>
    </xf>
    <xf numFmtId="0" fontId="2" fillId="8" borderId="6" xfId="0" applyFont="1" applyFill="1" applyBorder="1" applyAlignment="1">
      <alignment horizontal="center"/>
    </xf>
    <xf numFmtId="0" fontId="0" fillId="6" borderId="0" xfId="0" applyFill="1" applyAlignment="1">
      <alignment horizontal="center"/>
    </xf>
    <xf numFmtId="0" fontId="2" fillId="10" borderId="1" xfId="0" applyFont="1" applyFill="1" applyBorder="1" applyAlignment="1">
      <alignment horizontal="center"/>
    </xf>
    <xf numFmtId="0" fontId="2" fillId="7" borderId="7" xfId="0" applyFont="1" applyFill="1" applyBorder="1" applyAlignment="1">
      <alignment horizontal="center" vertical="center"/>
    </xf>
    <xf numFmtId="0" fontId="2" fillId="7" borderId="8" xfId="0" applyFont="1" applyFill="1" applyBorder="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2" fillId="3" borderId="1" xfId="0" applyFont="1" applyFill="1" applyBorder="1" applyAlignment="1">
      <alignment horizontal="center" vertical="center"/>
    </xf>
    <xf numFmtId="0" fontId="2" fillId="10" borderId="1" xfId="0" applyFont="1" applyFill="1" applyBorder="1" applyAlignment="1">
      <alignment horizontal="center" vertical="center"/>
    </xf>
    <xf numFmtId="0" fontId="2" fillId="11" borderId="0" xfId="0" applyFont="1" applyFill="1" applyAlignment="1">
      <alignment horizontal="center"/>
    </xf>
  </cellXfs>
  <cellStyles count="6">
    <cellStyle name="Comma" xfId="1" builtinId="3"/>
    <cellStyle name="Comma 2" xfId="2"/>
    <cellStyle name="Hyperlink" xfId="5" builtinId="8"/>
    <cellStyle name="Normal" xfId="0" builtinId="0"/>
    <cellStyle name="Percent" xfId="3" builtinId="5"/>
    <cellStyle name="Percent 2" xfId="4"/>
  </cellStyles>
  <dxfs count="0"/>
  <tableStyles count="0" defaultTableStyle="TableStyleMedium9" defaultPivotStyle="PivotStyleLight16"/>
  <colors>
    <mruColors>
      <color rgb="FFDCF2FA"/>
      <color rgb="FFCCFF99"/>
      <color rgb="FF99FFCC"/>
      <color rgb="FFCCCC00"/>
      <color rgb="FFBFCBA5"/>
      <color rgb="FF9AD6A8"/>
      <color rgb="FFB5CDA3"/>
      <color rgb="FFFFFF99"/>
      <color rgb="FF3AEA4B"/>
      <color rgb="FFDCFA2A"/>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activeX/activeX1.xml><?xml version="1.0" encoding="utf-8"?>
<ax:ocx xmlns:ax="http://schemas.microsoft.com/office/2006/activeX" xmlns:r="http://schemas.openxmlformats.org/officeDocument/2006/relationships" ax:classid="{D7053240-CE69-11CD-A777-00DD01143C57}" ax:persistence="persistPropertyBag">
  <ax:ocxPr ax:name="Caption" ax:value="Reset"/>
  <ax:ocxPr ax:name="Size" ax:value="5318;1085"/>
  <ax:ocxPr ax:name="FontName" ax:value="Calibri"/>
  <ax:ocxPr ax:name="FontHeight" ax:value="225"/>
  <ax:ocxPr ax:name="FontCharSet" ax:value="0"/>
  <ax:ocxPr ax:name="FontPitchAndFamily" ax:value="2"/>
  <ax:ocxPr ax:name="ParagraphAlign" ax:value="3"/>
</ax:ocx>
</file>

<file path=xl/drawings/_rels/vmlDrawing4.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161925</xdr:colOff>
      <xdr:row>17</xdr:row>
      <xdr:rowOff>47625</xdr:rowOff>
    </xdr:from>
    <xdr:to>
      <xdr:col>0</xdr:col>
      <xdr:colOff>552450</xdr:colOff>
      <xdr:row>19</xdr:row>
      <xdr:rowOff>38100</xdr:rowOff>
    </xdr:to>
    <xdr:sp macro="" textlink="">
      <xdr:nvSpPr>
        <xdr:cNvPr id="2" name="Right Arrow 1"/>
        <xdr:cNvSpPr/>
      </xdr:nvSpPr>
      <xdr:spPr>
        <a:xfrm>
          <a:off x="161925" y="4143375"/>
          <a:ext cx="390525" cy="37147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IN" sz="1100"/>
        </a:p>
      </xdr:txBody>
    </xdr:sp>
    <xdr:clientData/>
  </xdr:twoCellAnchor>
  <xdr:twoCellAnchor>
    <xdr:from>
      <xdr:col>0</xdr:col>
      <xdr:colOff>152400</xdr:colOff>
      <xdr:row>27</xdr:row>
      <xdr:rowOff>171450</xdr:rowOff>
    </xdr:from>
    <xdr:to>
      <xdr:col>0</xdr:col>
      <xdr:colOff>542925</xdr:colOff>
      <xdr:row>29</xdr:row>
      <xdr:rowOff>161925</xdr:rowOff>
    </xdr:to>
    <xdr:sp macro="" textlink="">
      <xdr:nvSpPr>
        <xdr:cNvPr id="4" name="Right Arrow 3"/>
        <xdr:cNvSpPr/>
      </xdr:nvSpPr>
      <xdr:spPr>
        <a:xfrm>
          <a:off x="152400" y="5029200"/>
          <a:ext cx="390525" cy="37147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IN" sz="1100"/>
        </a:p>
      </xdr:txBody>
    </xdr:sp>
    <xdr:clientData/>
  </xdr:twoCellAnchor>
  <xdr:oneCellAnchor>
    <xdr:from>
      <xdr:col>6</xdr:col>
      <xdr:colOff>171450</xdr:colOff>
      <xdr:row>14</xdr:row>
      <xdr:rowOff>152400</xdr:rowOff>
    </xdr:from>
    <xdr:ext cx="184731" cy="264560"/>
    <xdr:sp macro="" textlink="">
      <xdr:nvSpPr>
        <xdr:cNvPr id="5" name="TextBox 4"/>
        <xdr:cNvSpPr txBox="1"/>
      </xdr:nvSpPr>
      <xdr:spPr>
        <a:xfrm>
          <a:off x="4648200" y="4124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IN"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5</xdr:col>
      <xdr:colOff>228600</xdr:colOff>
      <xdr:row>0</xdr:row>
      <xdr:rowOff>9525</xdr:rowOff>
    </xdr:from>
    <xdr:to>
      <xdr:col>6</xdr:col>
      <xdr:colOff>885825</xdr:colOff>
      <xdr:row>2</xdr:row>
      <xdr:rowOff>142875</xdr:rowOff>
    </xdr:to>
    <xdr:sp macro="" textlink="">
      <xdr:nvSpPr>
        <xdr:cNvPr id="2" name="TextBox 1"/>
        <xdr:cNvSpPr txBox="1"/>
      </xdr:nvSpPr>
      <xdr:spPr>
        <a:xfrm>
          <a:off x="8524875" y="9525"/>
          <a:ext cx="1543050" cy="561975"/>
        </a:xfrm>
        <a:prstGeom prst="rect">
          <a:avLst/>
        </a:prstGeom>
        <a:solidFill>
          <a:schemeClr val="lt1"/>
        </a:solidFill>
        <a:ln w="1587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n-IN" sz="1050"/>
            <a:t>Macros must have been</a:t>
          </a:r>
          <a:r>
            <a:rPr lang="en-IN" sz="1050" baseline="0"/>
            <a:t> enabled to use this Calculator.</a:t>
          </a:r>
          <a:endParaRPr lang="en-IN" sz="105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857250</xdr:colOff>
      <xdr:row>4</xdr:row>
      <xdr:rowOff>9525</xdr:rowOff>
    </xdr:from>
    <xdr:to>
      <xdr:col>4</xdr:col>
      <xdr:colOff>47625</xdr:colOff>
      <xdr:row>5</xdr:row>
      <xdr:rowOff>9525</xdr:rowOff>
    </xdr:to>
    <xdr:sp macro="" textlink="">
      <xdr:nvSpPr>
        <xdr:cNvPr id="2" name="Down Arrow 1"/>
        <xdr:cNvSpPr/>
      </xdr:nvSpPr>
      <xdr:spPr>
        <a:xfrm>
          <a:off x="5257800" y="1200150"/>
          <a:ext cx="266700" cy="238125"/>
        </a:xfrm>
        <a:prstGeom prst="downArrow">
          <a:avLst/>
        </a:prstGeom>
      </xdr:spPr>
      <xdr:style>
        <a:lnRef idx="1">
          <a:schemeClr val="accent3"/>
        </a:lnRef>
        <a:fillRef idx="2">
          <a:schemeClr val="accent3"/>
        </a:fillRef>
        <a:effectRef idx="1">
          <a:schemeClr val="accent3"/>
        </a:effectRef>
        <a:fontRef idx="minor">
          <a:schemeClr val="dk1"/>
        </a:fontRef>
      </xdr:style>
      <xdr:txBody>
        <a:bodyPr rtlCol="0" anchor="ctr"/>
        <a:lstStyle/>
        <a:p>
          <a:pPr algn="ctr"/>
          <a:endParaRPr lang="en-IN" sz="1100" b="1" cap="none" spc="0">
            <a:ln w="31550" cmpd="sng">
              <a:gradFill>
                <a:gsLst>
                  <a:gs pos="70000">
                    <a:schemeClr val="accent6">
                      <a:shade val="50000"/>
                      <a:satMod val="190000"/>
                    </a:schemeClr>
                  </a:gs>
                  <a:gs pos="0">
                    <a:schemeClr val="accent6">
                      <a:tint val="77000"/>
                      <a:satMod val="180000"/>
                    </a:schemeClr>
                  </a:gs>
                </a:gsLst>
                <a:lin ang="5400000"/>
              </a:gradFill>
              <a:prstDash val="solid"/>
            </a:ln>
            <a:solidFill>
              <a:schemeClr val="accent6">
                <a:tint val="15000"/>
                <a:satMod val="200000"/>
              </a:schemeClr>
            </a:solidFill>
            <a:effectLst>
              <a:outerShdw blurRad="50800" dist="40000" dir="5400000" algn="tl" rotWithShape="0">
                <a:srgbClr val="000000">
                  <a:shade val="5000"/>
                  <a:satMod val="120000"/>
                  <a:alpha val="33000"/>
                </a:srgbClr>
              </a:outerShdw>
            </a:effectLst>
          </a:endParaRPr>
        </a:p>
      </xdr:txBody>
    </xdr:sp>
    <xdr:clientData/>
  </xdr:twoCellAnchor>
  <xdr:twoCellAnchor>
    <xdr:from>
      <xdr:col>3</xdr:col>
      <xdr:colOff>576263</xdr:colOff>
      <xdr:row>4</xdr:row>
      <xdr:rowOff>204788</xdr:rowOff>
    </xdr:from>
    <xdr:to>
      <xdr:col>3</xdr:col>
      <xdr:colOff>814388</xdr:colOff>
      <xdr:row>5</xdr:row>
      <xdr:rowOff>233363</xdr:rowOff>
    </xdr:to>
    <xdr:sp macro="" textlink="">
      <xdr:nvSpPr>
        <xdr:cNvPr id="3" name="Down Arrow 2"/>
        <xdr:cNvSpPr/>
      </xdr:nvSpPr>
      <xdr:spPr>
        <a:xfrm rot="2791243">
          <a:off x="4962526" y="1171575"/>
          <a:ext cx="266700" cy="238125"/>
        </a:xfrm>
        <a:prstGeom prst="downArrow">
          <a:avLst/>
        </a:prstGeom>
      </xdr:spPr>
      <xdr:style>
        <a:lnRef idx="1">
          <a:schemeClr val="accent3"/>
        </a:lnRef>
        <a:fillRef idx="2">
          <a:schemeClr val="accent3"/>
        </a:fillRef>
        <a:effectRef idx="1">
          <a:schemeClr val="accent3"/>
        </a:effectRef>
        <a:fontRef idx="minor">
          <a:schemeClr val="dk1"/>
        </a:fontRef>
      </xdr:style>
      <xdr:txBody>
        <a:bodyPr rtlCol="0" anchor="ctr"/>
        <a:lstStyle/>
        <a:p>
          <a:pPr algn="ctr"/>
          <a:endParaRPr lang="en-IN" sz="1100" b="1" cap="none" spc="0">
            <a:ln w="31550" cmpd="sng">
              <a:gradFill>
                <a:gsLst>
                  <a:gs pos="70000">
                    <a:schemeClr val="accent6">
                      <a:shade val="50000"/>
                      <a:satMod val="190000"/>
                    </a:schemeClr>
                  </a:gs>
                  <a:gs pos="0">
                    <a:schemeClr val="accent6">
                      <a:tint val="77000"/>
                      <a:satMod val="180000"/>
                    </a:schemeClr>
                  </a:gs>
                </a:gsLst>
                <a:lin ang="5400000"/>
              </a:gradFill>
              <a:prstDash val="solid"/>
            </a:ln>
            <a:solidFill>
              <a:schemeClr val="accent6">
                <a:tint val="15000"/>
                <a:satMod val="200000"/>
              </a:schemeClr>
            </a:solidFill>
            <a:effectLst>
              <a:outerShdw blurRad="50800" dist="40000" dir="5400000" algn="tl" rotWithShape="0">
                <a:srgbClr val="000000">
                  <a:shade val="5000"/>
                  <a:satMod val="120000"/>
                  <a:alpha val="33000"/>
                </a:srgbClr>
              </a:outerShdw>
            </a:effectLst>
          </a:endParaRPr>
        </a:p>
      </xdr:txBody>
    </xdr:sp>
    <xdr:clientData/>
  </xdr:twoCellAnchor>
  <xdr:twoCellAnchor>
    <xdr:from>
      <xdr:col>4</xdr:col>
      <xdr:colOff>90488</xdr:colOff>
      <xdr:row>4</xdr:row>
      <xdr:rowOff>214312</xdr:rowOff>
    </xdr:from>
    <xdr:to>
      <xdr:col>4</xdr:col>
      <xdr:colOff>357188</xdr:colOff>
      <xdr:row>5</xdr:row>
      <xdr:rowOff>214312</xdr:rowOff>
    </xdr:to>
    <xdr:sp macro="" textlink="">
      <xdr:nvSpPr>
        <xdr:cNvPr id="4" name="Down Arrow 3"/>
        <xdr:cNvSpPr/>
      </xdr:nvSpPr>
      <xdr:spPr>
        <a:xfrm rot="19736485">
          <a:off x="5567363" y="1166812"/>
          <a:ext cx="266700" cy="238125"/>
        </a:xfrm>
        <a:prstGeom prst="downArrow">
          <a:avLst/>
        </a:prstGeom>
      </xdr:spPr>
      <xdr:style>
        <a:lnRef idx="1">
          <a:schemeClr val="accent3"/>
        </a:lnRef>
        <a:fillRef idx="2">
          <a:schemeClr val="accent3"/>
        </a:fillRef>
        <a:effectRef idx="1">
          <a:schemeClr val="accent3"/>
        </a:effectRef>
        <a:fontRef idx="minor">
          <a:schemeClr val="dk1"/>
        </a:fontRef>
      </xdr:style>
      <xdr:txBody>
        <a:bodyPr rtlCol="0" anchor="ctr"/>
        <a:lstStyle/>
        <a:p>
          <a:pPr algn="ctr"/>
          <a:endParaRPr lang="en-IN" sz="1100" b="1" cap="none" spc="0">
            <a:ln w="31550" cmpd="sng">
              <a:gradFill>
                <a:gsLst>
                  <a:gs pos="70000">
                    <a:schemeClr val="accent6">
                      <a:shade val="50000"/>
                      <a:satMod val="190000"/>
                    </a:schemeClr>
                  </a:gs>
                  <a:gs pos="0">
                    <a:schemeClr val="accent6">
                      <a:tint val="77000"/>
                      <a:satMod val="180000"/>
                    </a:schemeClr>
                  </a:gs>
                </a:gsLst>
                <a:lin ang="5400000"/>
              </a:gradFill>
              <a:prstDash val="solid"/>
            </a:ln>
            <a:solidFill>
              <a:schemeClr val="accent6">
                <a:tint val="15000"/>
                <a:satMod val="200000"/>
              </a:schemeClr>
            </a:solidFill>
            <a:effectLst>
              <a:outerShdw blurRad="50800" dist="40000" dir="5400000" algn="tl" rotWithShape="0">
                <a:srgbClr val="000000">
                  <a:shade val="5000"/>
                  <a:satMod val="120000"/>
                  <a:alpha val="33000"/>
                </a:srgbClr>
              </a:outerShdw>
            </a:effectLst>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vinita.777khemani@gmail.com" TargetMode="External"/><Relationship Id="rId1" Type="http://schemas.openxmlformats.org/officeDocument/2006/relationships/hyperlink" Target="mailto:shreyansjain500@gmail.com" TargetMode="Externa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7.bin"/><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sheetPr codeName="Sheet3"/>
  <dimension ref="A1:L40"/>
  <sheetViews>
    <sheetView tabSelected="1" topLeftCell="A13" workbookViewId="0">
      <selection activeCell="B20" sqref="B20"/>
    </sheetView>
  </sheetViews>
  <sheetFormatPr defaultRowHeight="15"/>
  <cols>
    <col min="2" max="2" width="11" bestFit="1" customWidth="1"/>
    <col min="3" max="4" width="12.42578125" customWidth="1"/>
    <col min="5" max="5" width="10.5703125" customWidth="1"/>
    <col min="6" max="6" width="20.5703125" customWidth="1"/>
    <col min="10" max="10" width="9.5703125" customWidth="1"/>
    <col min="11" max="11" width="9.140625" customWidth="1"/>
    <col min="12" max="12" width="12.140625" customWidth="1"/>
    <col min="13" max="13" width="0.42578125" customWidth="1"/>
  </cols>
  <sheetData>
    <row r="1" spans="1:12" s="78" customFormat="1" ht="28.5" customHeight="1">
      <c r="A1" s="77" t="s">
        <v>177</v>
      </c>
    </row>
    <row r="2" spans="1:12" ht="24" customHeight="1">
      <c r="A2" s="80" t="s">
        <v>190</v>
      </c>
      <c r="B2" s="80"/>
      <c r="C2" s="80"/>
      <c r="D2" s="80"/>
      <c r="E2" s="80"/>
      <c r="F2" s="80"/>
      <c r="G2" s="80"/>
      <c r="H2" s="80"/>
      <c r="I2" s="81"/>
      <c r="J2" s="81"/>
      <c r="K2" s="81"/>
      <c r="L2" s="81"/>
    </row>
    <row r="3" spans="1:12" ht="55.5" customHeight="1">
      <c r="A3" s="164" t="s">
        <v>184</v>
      </c>
      <c r="B3" s="164"/>
      <c r="C3" s="164"/>
      <c r="D3" s="164"/>
      <c r="E3" s="164"/>
      <c r="F3" s="164"/>
      <c r="G3" s="164"/>
      <c r="H3" s="164"/>
      <c r="I3" s="164"/>
      <c r="J3" s="164"/>
      <c r="K3" s="164"/>
      <c r="L3" s="164"/>
    </row>
    <row r="4" spans="1:12" ht="18" customHeight="1">
      <c r="A4" s="79"/>
      <c r="B4" s="79"/>
      <c r="C4" s="79"/>
      <c r="D4" s="79"/>
      <c r="E4" s="79"/>
      <c r="F4" s="79"/>
      <c r="G4" s="79"/>
      <c r="H4" s="79"/>
      <c r="I4" s="79"/>
      <c r="J4" s="79"/>
      <c r="K4" s="79"/>
      <c r="L4" s="79"/>
    </row>
    <row r="5" spans="1:12" ht="18.75">
      <c r="A5" s="76" t="s">
        <v>196</v>
      </c>
      <c r="C5" s="75"/>
      <c r="D5" s="75"/>
      <c r="E5" s="75"/>
      <c r="F5" s="75"/>
      <c r="G5" s="75"/>
      <c r="H5" s="75"/>
      <c r="I5" s="75"/>
      <c r="J5" s="75"/>
    </row>
    <row r="7" spans="1:12">
      <c r="B7" s="27"/>
    </row>
    <row r="8" spans="1:12">
      <c r="A8" s="27" t="s">
        <v>189</v>
      </c>
    </row>
    <row r="9" spans="1:12">
      <c r="A9" s="33"/>
      <c r="B9" s="165" t="s">
        <v>192</v>
      </c>
      <c r="C9" s="165"/>
      <c r="D9" s="165"/>
      <c r="E9" s="165"/>
      <c r="F9" s="165"/>
      <c r="G9" s="165" t="s">
        <v>191</v>
      </c>
      <c r="H9" s="165"/>
      <c r="I9" s="165"/>
      <c r="J9" s="165"/>
      <c r="K9" s="165"/>
      <c r="L9" s="165"/>
    </row>
    <row r="10" spans="1:12">
      <c r="A10" s="33" t="s">
        <v>187</v>
      </c>
      <c r="B10" s="160" t="s">
        <v>188</v>
      </c>
      <c r="C10" s="160"/>
      <c r="D10" s="160"/>
      <c r="E10" s="160"/>
      <c r="F10" s="160"/>
      <c r="G10" s="160" t="s">
        <v>188</v>
      </c>
      <c r="H10" s="160"/>
      <c r="I10" s="160"/>
      <c r="J10" s="160"/>
      <c r="K10" s="160"/>
      <c r="L10" s="160"/>
    </row>
    <row r="11" spans="1:12" ht="24" customHeight="1">
      <c r="A11" s="33" t="s">
        <v>179</v>
      </c>
      <c r="B11" s="159" t="s">
        <v>178</v>
      </c>
      <c r="C11" s="159"/>
      <c r="D11" s="159"/>
      <c r="E11" s="159"/>
      <c r="F11" s="159"/>
      <c r="G11" s="166"/>
      <c r="H11" s="166"/>
      <c r="I11" s="166"/>
      <c r="J11" s="166"/>
      <c r="K11" s="166"/>
      <c r="L11" s="166"/>
    </row>
    <row r="12" spans="1:12" ht="24" customHeight="1">
      <c r="A12" s="33" t="s">
        <v>180</v>
      </c>
      <c r="B12" s="159"/>
      <c r="C12" s="159"/>
      <c r="D12" s="159"/>
      <c r="E12" s="159"/>
      <c r="F12" s="159"/>
      <c r="G12" s="166"/>
      <c r="H12" s="166"/>
      <c r="I12" s="166"/>
      <c r="J12" s="166"/>
      <c r="K12" s="166"/>
      <c r="L12" s="166"/>
    </row>
    <row r="13" spans="1:12" ht="21.75" customHeight="1">
      <c r="A13" s="33" t="s">
        <v>181</v>
      </c>
      <c r="B13" s="159"/>
      <c r="C13" s="159"/>
      <c r="D13" s="159"/>
      <c r="E13" s="159"/>
      <c r="F13" s="159"/>
      <c r="G13" s="166"/>
      <c r="H13" s="166"/>
      <c r="I13" s="166"/>
      <c r="J13" s="166"/>
      <c r="K13" s="166"/>
      <c r="L13" s="166"/>
    </row>
    <row r="14" spans="1:12" ht="23.25" customHeight="1">
      <c r="A14" s="33" t="s">
        <v>182</v>
      </c>
      <c r="B14" s="159"/>
      <c r="C14" s="159"/>
      <c r="D14" s="159"/>
      <c r="E14" s="159"/>
      <c r="F14" s="159"/>
      <c r="G14" s="166"/>
      <c r="H14" s="166"/>
      <c r="I14" s="166"/>
      <c r="J14" s="166"/>
      <c r="K14" s="166"/>
      <c r="L14" s="166"/>
    </row>
    <row r="15" spans="1:12" ht="27.75" customHeight="1">
      <c r="A15" s="33" t="s">
        <v>183</v>
      </c>
      <c r="B15" s="159"/>
      <c r="C15" s="159"/>
      <c r="D15" s="159"/>
      <c r="E15" s="159"/>
      <c r="F15" s="159"/>
      <c r="G15" s="161"/>
      <c r="H15" s="162"/>
      <c r="I15" s="162"/>
      <c r="J15" s="162"/>
      <c r="K15" s="162"/>
      <c r="L15" s="163"/>
    </row>
    <row r="18" spans="2:4">
      <c r="B18" t="s">
        <v>194</v>
      </c>
    </row>
    <row r="19" spans="2:4">
      <c r="B19" t="s">
        <v>195</v>
      </c>
    </row>
    <row r="20" spans="2:4">
      <c r="B20" t="s">
        <v>222</v>
      </c>
    </row>
    <row r="22" spans="2:4">
      <c r="B22" s="125" t="s">
        <v>197</v>
      </c>
    </row>
    <row r="23" spans="2:4">
      <c r="B23" t="s">
        <v>198</v>
      </c>
    </row>
    <row r="24" spans="2:4">
      <c r="B24" s="27" t="s">
        <v>213</v>
      </c>
    </row>
    <row r="25" spans="2:4">
      <c r="B25" s="27"/>
    </row>
    <row r="27" spans="2:4">
      <c r="B27" s="27" t="s">
        <v>185</v>
      </c>
      <c r="C27" s="27"/>
      <c r="D27" s="27"/>
    </row>
    <row r="29" spans="2:4">
      <c r="B29" t="s">
        <v>211</v>
      </c>
    </row>
    <row r="30" spans="2:4">
      <c r="B30" t="s">
        <v>212</v>
      </c>
    </row>
    <row r="34" spans="2:7">
      <c r="B34" t="s">
        <v>186</v>
      </c>
    </row>
    <row r="36" spans="2:7">
      <c r="B36" t="s">
        <v>221</v>
      </c>
    </row>
    <row r="37" spans="2:7">
      <c r="C37" s="158" t="s">
        <v>215</v>
      </c>
      <c r="D37" s="158"/>
      <c r="F37" s="157" t="s">
        <v>216</v>
      </c>
      <c r="G37" s="157"/>
    </row>
    <row r="38" spans="2:7">
      <c r="C38" s="149"/>
      <c r="E38" s="150"/>
      <c r="F38" s="150"/>
    </row>
    <row r="39" spans="2:7">
      <c r="B39" s="27" t="s">
        <v>219</v>
      </c>
      <c r="C39" s="151">
        <v>8989506031</v>
      </c>
    </row>
    <row r="40" spans="2:7">
      <c r="B40" s="27" t="s">
        <v>220</v>
      </c>
      <c r="C40" s="148" t="s">
        <v>218</v>
      </c>
      <c r="F40" s="148" t="s">
        <v>217</v>
      </c>
    </row>
  </sheetData>
  <mergeCells count="17">
    <mergeCell ref="A3:L3"/>
    <mergeCell ref="B11:F11"/>
    <mergeCell ref="B12:F12"/>
    <mergeCell ref="B13:F13"/>
    <mergeCell ref="B14:F14"/>
    <mergeCell ref="B9:F9"/>
    <mergeCell ref="G9:L9"/>
    <mergeCell ref="G10:L10"/>
    <mergeCell ref="G11:L11"/>
    <mergeCell ref="G12:L12"/>
    <mergeCell ref="G14:L14"/>
    <mergeCell ref="G13:L13"/>
    <mergeCell ref="F37:G37"/>
    <mergeCell ref="C37:D37"/>
    <mergeCell ref="B15:F15"/>
    <mergeCell ref="B10:F10"/>
    <mergeCell ref="G15:L15"/>
  </mergeCells>
  <hyperlinks>
    <hyperlink ref="C40" r:id="rId1"/>
    <hyperlink ref="F40" r:id="rId2"/>
  </hyperlinks>
  <pageMargins left="0.7" right="0.7" top="0.75" bottom="0.75" header="0.3" footer="0.3"/>
  <pageSetup paperSize="9" orientation="portrait" r:id="rId3"/>
  <drawing r:id="rId4"/>
  <legacyDrawing r:id="rId5"/>
</worksheet>
</file>

<file path=xl/worksheets/sheet2.xml><?xml version="1.0" encoding="utf-8"?>
<worksheet xmlns="http://schemas.openxmlformats.org/spreadsheetml/2006/main" xmlns:r="http://schemas.openxmlformats.org/officeDocument/2006/relationships">
  <sheetPr codeName="Sheet1">
    <tabColor rgb="FFFFC000"/>
  </sheetPr>
  <dimension ref="A1:Q45"/>
  <sheetViews>
    <sheetView topLeftCell="A4" workbookViewId="0">
      <selection activeCell="D22" sqref="D22"/>
    </sheetView>
  </sheetViews>
  <sheetFormatPr defaultRowHeight="15"/>
  <cols>
    <col min="1" max="1" width="13.42578125" style="44" customWidth="1"/>
    <col min="2" max="2" width="14.7109375" style="44" customWidth="1"/>
    <col min="3" max="3" width="30.85546875" style="44" bestFit="1" customWidth="1"/>
    <col min="4" max="4" width="53.85546875" style="44" customWidth="1"/>
    <col min="5" max="5" width="11.5703125" style="44" bestFit="1" customWidth="1"/>
    <col min="6" max="6" width="13.28515625" style="87" bestFit="1" customWidth="1"/>
    <col min="7" max="7" width="17.140625" style="44" bestFit="1" customWidth="1"/>
    <col min="8" max="8" width="26.85546875" style="44" customWidth="1"/>
    <col min="9" max="9" width="18.42578125" style="44" bestFit="1" customWidth="1"/>
    <col min="10" max="10" width="15" style="44" bestFit="1" customWidth="1"/>
    <col min="11" max="11" width="18.140625" style="44" bestFit="1" customWidth="1"/>
    <col min="12" max="12" width="19.42578125" style="44" bestFit="1" customWidth="1"/>
    <col min="13" max="13" width="21.7109375" style="84" bestFit="1" customWidth="1"/>
    <col min="14" max="14" width="22.28515625" style="85" bestFit="1" customWidth="1"/>
    <col min="15" max="15" width="9.28515625" style="44" bestFit="1" customWidth="1"/>
    <col min="16" max="16" width="9.7109375" style="44" bestFit="1" customWidth="1"/>
    <col min="17" max="17" width="10.28515625" style="44" bestFit="1" customWidth="1"/>
    <col min="18" max="16384" width="9.140625" style="44"/>
  </cols>
  <sheetData>
    <row r="1" spans="1:17">
      <c r="A1" s="82"/>
      <c r="B1" s="82"/>
      <c r="C1" s="82"/>
      <c r="D1" s="82"/>
      <c r="E1" s="82"/>
      <c r="F1" s="83"/>
      <c r="G1" s="82"/>
      <c r="H1" s="82"/>
      <c r="I1" s="82"/>
      <c r="J1" s="82"/>
      <c r="K1" s="82"/>
      <c r="L1" s="82"/>
    </row>
    <row r="2" spans="1:17" ht="18.75">
      <c r="A2" s="98" t="s">
        <v>138</v>
      </c>
      <c r="B2" s="82"/>
      <c r="C2" s="82"/>
      <c r="D2" s="82"/>
      <c r="E2" s="82"/>
      <c r="F2" s="83"/>
      <c r="G2" s="82"/>
      <c r="H2" s="82"/>
      <c r="I2" s="82"/>
      <c r="J2" s="82"/>
      <c r="K2" s="82"/>
      <c r="L2" s="82"/>
    </row>
    <row r="3" spans="1:17">
      <c r="A3" s="82"/>
      <c r="B3" s="82"/>
      <c r="C3" s="82"/>
      <c r="D3" s="82"/>
      <c r="E3" s="82"/>
      <c r="F3" s="83"/>
      <c r="G3" s="82"/>
      <c r="H3" s="82"/>
      <c r="I3" s="82"/>
      <c r="J3" s="82"/>
      <c r="K3" s="82"/>
      <c r="L3" s="82"/>
      <c r="M3" s="170" t="s">
        <v>136</v>
      </c>
      <c r="N3" s="171"/>
    </row>
    <row r="4" spans="1:17">
      <c r="A4" s="99" t="s">
        <v>0</v>
      </c>
      <c r="B4" s="100" t="s">
        <v>133</v>
      </c>
      <c r="C4" s="101" t="s">
        <v>3</v>
      </c>
      <c r="D4" s="101" t="s">
        <v>135</v>
      </c>
      <c r="E4" s="100" t="s">
        <v>117</v>
      </c>
      <c r="F4" s="102" t="s">
        <v>114</v>
      </c>
      <c r="G4" s="101" t="s">
        <v>113</v>
      </c>
      <c r="H4" s="100" t="s">
        <v>134</v>
      </c>
      <c r="I4" s="100" t="s">
        <v>141</v>
      </c>
      <c r="J4" s="100" t="s">
        <v>2</v>
      </c>
      <c r="K4" s="100" t="s">
        <v>1</v>
      </c>
      <c r="L4" s="103" t="s">
        <v>4</v>
      </c>
      <c r="M4" s="104" t="s">
        <v>165</v>
      </c>
      <c r="N4" s="104" t="s">
        <v>137</v>
      </c>
    </row>
    <row r="6" spans="1:17">
      <c r="A6" s="105" t="s">
        <v>171</v>
      </c>
      <c r="B6" s="86"/>
    </row>
    <row r="7" spans="1:17">
      <c r="A7" s="106">
        <v>41307</v>
      </c>
      <c r="B7" s="107">
        <v>41729</v>
      </c>
      <c r="C7" s="108" t="s">
        <v>131</v>
      </c>
      <c r="D7" s="108" t="s">
        <v>110</v>
      </c>
      <c r="E7" s="89">
        <f>VLOOKUP(D7,'Sch II'!$C$3:$D$143,2,FALSE)</f>
        <v>3</v>
      </c>
      <c r="F7" s="110">
        <v>20000</v>
      </c>
      <c r="G7" s="108">
        <v>9683.9599999999991</v>
      </c>
      <c r="H7" s="91">
        <f>DATEDIF(A7,B7,"d")+1</f>
        <v>423</v>
      </c>
      <c r="I7" s="91">
        <f>H7/365</f>
        <v>1.1589041095890411</v>
      </c>
      <c r="J7" s="91">
        <f>IF(E7-I7&gt;0,E7-I7,0)</f>
        <v>1.8410958904109589</v>
      </c>
      <c r="K7" s="90">
        <f>IF(G7&gt;0,MIN(F7*5%,G7),1)</f>
        <v>1000</v>
      </c>
      <c r="L7" s="92">
        <f>IF(J7&gt;0,1-POWER(K7/G7,1/J7),"0")</f>
        <v>0.70864624166219214</v>
      </c>
      <c r="M7" s="93">
        <f>IF(AND(J7&lt;1,J7&gt;0),G7-K7,ROUND(IF(L7="0","0",IF(H7&lt;=365,L7*G7*(H7/365),L7*G7)),2))</f>
        <v>6862.5</v>
      </c>
      <c r="N7" s="93">
        <f>IF(J7=0,G7-K7,0)</f>
        <v>0</v>
      </c>
    </row>
    <row r="8" spans="1:17">
      <c r="A8" s="109">
        <v>41729</v>
      </c>
      <c r="B8" s="107">
        <v>41729</v>
      </c>
      <c r="C8" s="108" t="s">
        <v>131</v>
      </c>
      <c r="D8" s="108" t="s">
        <v>110</v>
      </c>
      <c r="E8" s="89">
        <f>VLOOKUP(D8,'Sch II'!$C$3:$D$143,2,FALSE)</f>
        <v>3</v>
      </c>
      <c r="F8" s="110">
        <v>50667</v>
      </c>
      <c r="G8" s="108">
        <v>25000</v>
      </c>
      <c r="H8" s="91">
        <f>DATEDIF(A8,B8,"d")+1</f>
        <v>1</v>
      </c>
      <c r="I8" s="91">
        <f>H8/365</f>
        <v>2.7397260273972603E-3</v>
      </c>
      <c r="J8" s="91">
        <f>IF(E8-I8&gt;0,E8-I8,0)</f>
        <v>2.9972602739726026</v>
      </c>
      <c r="K8" s="90">
        <f>IF(G8&gt;0,MIN(F8*5%,G8),1)</f>
        <v>2533.3500000000004</v>
      </c>
      <c r="L8" s="92">
        <f>IF(J8&gt;0,1-POWER(K8/G8,1/J8),"0")</f>
        <v>0.53411135745457028</v>
      </c>
      <c r="M8" s="93">
        <f>IF(AND(J8&lt;1,J8&gt;0),G8-K8,ROUND(IF(L8="0","0",IF(H8&lt;=365,L8*G8*(H8/365),L8*G8)),2))</f>
        <v>36.58</v>
      </c>
      <c r="N8" s="93">
        <f>IF(J8=0,G8-K8,0)</f>
        <v>0</v>
      </c>
    </row>
    <row r="9" spans="1:17" s="116" customFormat="1">
      <c r="A9" s="167" t="str">
        <f>"Dep on "&amp;A6</f>
        <v>Dep on Computer</v>
      </c>
      <c r="B9" s="168"/>
      <c r="C9" s="168"/>
      <c r="D9" s="168"/>
      <c r="E9" s="169"/>
      <c r="F9" s="112">
        <f>SUM(F7:F8)</f>
        <v>70667</v>
      </c>
      <c r="G9" s="112">
        <f>SUM(G7:G8)</f>
        <v>34683.96</v>
      </c>
      <c r="H9" s="113"/>
      <c r="I9" s="113"/>
      <c r="J9" s="113"/>
      <c r="K9" s="113"/>
      <c r="L9" s="114"/>
      <c r="M9" s="115">
        <f>SUM(M7:M8)</f>
        <v>6899.08</v>
      </c>
      <c r="N9" s="115">
        <f>SUM(N7:N8)</f>
        <v>0</v>
      </c>
    </row>
    <row r="10" spans="1:17">
      <c r="G10" s="94"/>
    </row>
    <row r="11" spans="1:17">
      <c r="A11" s="111" t="s">
        <v>172</v>
      </c>
    </row>
    <row r="12" spans="1:17">
      <c r="A12" s="106">
        <v>41729</v>
      </c>
      <c r="B12" s="107">
        <v>41729</v>
      </c>
      <c r="C12" s="108" t="s">
        <v>121</v>
      </c>
      <c r="D12" s="108" t="s">
        <v>14</v>
      </c>
      <c r="E12" s="89">
        <f>VLOOKUP(D12,'Sch II'!$C$3:$D$143,2,FALSE)</f>
        <v>15</v>
      </c>
      <c r="F12" s="110">
        <v>300000</v>
      </c>
      <c r="G12" s="108">
        <v>200000</v>
      </c>
      <c r="H12" s="91">
        <f>DATEDIF(A12,B12,"d")+1</f>
        <v>1</v>
      </c>
      <c r="I12" s="91">
        <f>H12/365</f>
        <v>2.7397260273972603E-3</v>
      </c>
      <c r="J12" s="91">
        <f>IF(E12-I12&gt;0,E12-I12,0)</f>
        <v>14.997260273972604</v>
      </c>
      <c r="K12" s="90">
        <f>IF(G12&gt;0,MIN(F12*5%,G12),1)</f>
        <v>15000</v>
      </c>
      <c r="L12" s="92">
        <f>IF(J12&gt;0,1-POWER(K12/G12,1/J12),"0")</f>
        <v>0.15862348834299067</v>
      </c>
      <c r="M12" s="93">
        <f>IF(AND(J12&lt;1,J12&gt;0),G12-K12,ROUND(IF(L12="0","0",IF(H12&lt;=365,L12*G12*(H12/365),L12*G12)),2))</f>
        <v>86.92</v>
      </c>
      <c r="N12" s="93">
        <f>IF(J12=0,G12-K12,0)</f>
        <v>0</v>
      </c>
    </row>
    <row r="13" spans="1:17">
      <c r="A13" s="88">
        <v>41365</v>
      </c>
      <c r="B13" s="107">
        <v>41729</v>
      </c>
      <c r="C13" s="108" t="s">
        <v>121</v>
      </c>
      <c r="D13" s="108" t="s">
        <v>14</v>
      </c>
      <c r="E13" s="89">
        <f>VLOOKUP(D13,'Sch II'!$C$3:$D$143,2,FALSE)</f>
        <v>15</v>
      </c>
      <c r="F13" s="110">
        <v>409354</v>
      </c>
      <c r="G13" s="108">
        <v>350000</v>
      </c>
      <c r="H13" s="91">
        <f>DATEDIF(A13,B13,"d")+1</f>
        <v>365</v>
      </c>
      <c r="I13" s="91">
        <f>H13/365</f>
        <v>1</v>
      </c>
      <c r="J13" s="91">
        <f>IF(E13-I13&gt;0,E13-I13,0)</f>
        <v>14</v>
      </c>
      <c r="K13" s="90">
        <f>IF(G13&gt;0,MIN(F13*5%,G13),1)</f>
        <v>20467.7</v>
      </c>
      <c r="L13" s="92">
        <f>IF(J13&gt;0,1-POWER(K13/G13,1/J13),"0")</f>
        <v>0.18355178712545916</v>
      </c>
      <c r="M13" s="93">
        <f>IF(AND(J13&lt;1,J13&gt;0),G13-K13,ROUND(IF(L13="0","0",IF(H13&lt;=365,L13*G13*(H13/365),L13*G13)),2))</f>
        <v>64243.13</v>
      </c>
      <c r="N13" s="93">
        <f>IF(J13=0,G13-K13,0)</f>
        <v>0</v>
      </c>
    </row>
    <row r="14" spans="1:17" s="116" customFormat="1">
      <c r="A14" s="167" t="str">
        <f>"Dep on "&amp;A11</f>
        <v>Dep on Plant &amp; Machinery</v>
      </c>
      <c r="B14" s="168"/>
      <c r="C14" s="168"/>
      <c r="D14" s="168"/>
      <c r="E14" s="169"/>
      <c r="F14" s="112">
        <f>SUM(F12:F13)</f>
        <v>709354</v>
      </c>
      <c r="G14" s="117">
        <f>SUM(G12:G13)</f>
        <v>550000</v>
      </c>
      <c r="H14" s="113"/>
      <c r="I14" s="113"/>
      <c r="J14" s="113"/>
      <c r="K14" s="113"/>
      <c r="L14" s="114"/>
      <c r="M14" s="115">
        <f>SUM(M12:M13)</f>
        <v>64330.049999999996</v>
      </c>
      <c r="N14" s="115">
        <f>SUM(N12:N13)</f>
        <v>0</v>
      </c>
    </row>
    <row r="16" spans="1:17">
      <c r="A16" s="111" t="s">
        <v>173</v>
      </c>
      <c r="O16" s="95"/>
      <c r="P16" s="96"/>
      <c r="Q16" s="95"/>
    </row>
    <row r="17" spans="1:17">
      <c r="A17" s="106">
        <v>41218</v>
      </c>
      <c r="B17" s="107">
        <v>41729</v>
      </c>
      <c r="C17" s="108" t="s">
        <v>124</v>
      </c>
      <c r="D17" s="108" t="s">
        <v>86</v>
      </c>
      <c r="E17" s="89">
        <f>VLOOKUP(D17,'Sch II'!$C$3:$D$143,2,FALSE)</f>
        <v>10</v>
      </c>
      <c r="F17" s="110">
        <v>58589</v>
      </c>
      <c r="G17" s="108">
        <v>55000</v>
      </c>
      <c r="H17" s="91">
        <f>DATEDIF(A17,B17,"d")+1</f>
        <v>512</v>
      </c>
      <c r="I17" s="91">
        <f>H17/365</f>
        <v>1.4027397260273973</v>
      </c>
      <c r="J17" s="91">
        <f>IF(E17-I17&gt;0,E17-I17,0)</f>
        <v>8.5972602739726032</v>
      </c>
      <c r="K17" s="90">
        <f>IF(G17&gt;0,MIN(F17*5%,G17),1)</f>
        <v>2929.4500000000003</v>
      </c>
      <c r="L17" s="92">
        <f>IF(J17&gt;0,1-POWER(K17/G17,1/J17),"0")</f>
        <v>0.28901161636509787</v>
      </c>
      <c r="M17" s="93">
        <f>IF(AND(J17&lt;1,J17&gt;0),G17-K17,ROUND(IF(L17="0","0",IF(H17&lt;=365,L17*G17*(H17/365),L17*G17)),2))</f>
        <v>15895.64</v>
      </c>
      <c r="N17" s="93">
        <f>IF(J17=0,G17-K17,0)</f>
        <v>0</v>
      </c>
      <c r="O17" s="95"/>
      <c r="P17" s="96"/>
      <c r="Q17" s="95"/>
    </row>
    <row r="18" spans="1:17">
      <c r="A18" s="106">
        <v>41729</v>
      </c>
      <c r="B18" s="107">
        <v>41729</v>
      </c>
      <c r="C18" s="108" t="s">
        <v>124</v>
      </c>
      <c r="D18" s="108" t="s">
        <v>86</v>
      </c>
      <c r="E18" s="89">
        <f>VLOOKUP(D18,'Sch II'!$C$3:$D$143,2,FALSE)</f>
        <v>10</v>
      </c>
      <c r="F18" s="110">
        <v>58813</v>
      </c>
      <c r="G18" s="108">
        <v>45000</v>
      </c>
      <c r="H18" s="91">
        <f>DATEDIF(A18,B18,"d")+1</f>
        <v>1</v>
      </c>
      <c r="I18" s="91">
        <f>H18/365</f>
        <v>2.7397260273972603E-3</v>
      </c>
      <c r="J18" s="91">
        <f>IF(E18-I18&gt;0,E18-I18,0)</f>
        <v>9.9972602739726035</v>
      </c>
      <c r="K18" s="90">
        <f>IF(G18&gt;0,MIN(F18*5%,G18),1)</f>
        <v>2940.65</v>
      </c>
      <c r="L18" s="92">
        <f>IF(J18&gt;0,1-POWER(K18/G18,1/J18),"0")</f>
        <v>0.23881431191961511</v>
      </c>
      <c r="M18" s="93">
        <f>IF(AND(J18&lt;1,J18&gt;0),G18-K18,ROUND(IF(L18="0","0",IF(H18&lt;=365,L18*G18*(H18/365),L18*G18)),2))</f>
        <v>29.44</v>
      </c>
      <c r="N18" s="93">
        <f>IF(J18=0,G18-K18,0)</f>
        <v>0</v>
      </c>
      <c r="O18" s="95"/>
      <c r="P18" s="96"/>
      <c r="Q18" s="95"/>
    </row>
    <row r="19" spans="1:17" s="116" customFormat="1">
      <c r="A19" s="167" t="str">
        <f>"Dep on "&amp;A16</f>
        <v>Dep on Vehicles - Two Wheeler</v>
      </c>
      <c r="B19" s="168"/>
      <c r="C19" s="168"/>
      <c r="D19" s="168"/>
      <c r="E19" s="169"/>
      <c r="F19" s="117">
        <f>SUM(F17:F18)</f>
        <v>117402</v>
      </c>
      <c r="G19" s="117">
        <f>SUM(G17:G18)</f>
        <v>100000</v>
      </c>
      <c r="H19" s="113"/>
      <c r="I19" s="113"/>
      <c r="J19" s="113"/>
      <c r="K19" s="113"/>
      <c r="L19" s="114"/>
      <c r="M19" s="115">
        <f>SUM(M17:M18)</f>
        <v>15925.08</v>
      </c>
      <c r="N19" s="115">
        <f>SUM(N17:N17)</f>
        <v>0</v>
      </c>
      <c r="O19" s="118"/>
      <c r="P19" s="119"/>
      <c r="Q19" s="118"/>
    </row>
    <row r="20" spans="1:17">
      <c r="O20" s="95"/>
      <c r="P20" s="96"/>
      <c r="Q20" s="95"/>
    </row>
    <row r="21" spans="1:17">
      <c r="O21" s="95"/>
      <c r="P21" s="96"/>
      <c r="Q21" s="95"/>
    </row>
    <row r="22" spans="1:17">
      <c r="O22" s="95"/>
      <c r="P22" s="96"/>
      <c r="Q22" s="95"/>
    </row>
    <row r="23" spans="1:17">
      <c r="L23" s="96"/>
      <c r="O23" s="95"/>
      <c r="P23" s="96"/>
      <c r="Q23" s="95"/>
    </row>
    <row r="24" spans="1:17">
      <c r="L24" s="97"/>
      <c r="O24" s="95"/>
      <c r="P24" s="96"/>
      <c r="Q24" s="95"/>
    </row>
    <row r="25" spans="1:17">
      <c r="L25" s="97"/>
      <c r="O25" s="95"/>
      <c r="P25" s="96"/>
      <c r="Q25" s="95"/>
    </row>
    <row r="26" spans="1:17">
      <c r="L26" s="97"/>
      <c r="O26" s="95"/>
      <c r="P26" s="96"/>
      <c r="Q26" s="95"/>
    </row>
    <row r="27" spans="1:17">
      <c r="L27" s="97"/>
      <c r="O27" s="95"/>
      <c r="P27" s="96"/>
      <c r="Q27" s="95"/>
    </row>
    <row r="28" spans="1:17">
      <c r="L28" s="97"/>
      <c r="O28" s="95"/>
      <c r="P28" s="96"/>
      <c r="Q28" s="95"/>
    </row>
    <row r="29" spans="1:17">
      <c r="L29" s="97"/>
      <c r="O29" s="95"/>
      <c r="P29" s="96"/>
      <c r="Q29" s="95"/>
    </row>
    <row r="30" spans="1:17">
      <c r="L30" s="97"/>
      <c r="O30" s="95"/>
      <c r="P30" s="96"/>
      <c r="Q30" s="95"/>
    </row>
    <row r="31" spans="1:17">
      <c r="O31" s="95"/>
      <c r="P31" s="96"/>
      <c r="Q31" s="95"/>
    </row>
    <row r="32" spans="1:17">
      <c r="O32" s="95"/>
      <c r="P32" s="96"/>
      <c r="Q32" s="95"/>
    </row>
    <row r="33" spans="15:17">
      <c r="O33" s="95"/>
      <c r="P33" s="96"/>
      <c r="Q33" s="95"/>
    </row>
    <row r="34" spans="15:17">
      <c r="O34" s="95"/>
      <c r="P34" s="96"/>
      <c r="Q34" s="95"/>
    </row>
    <row r="35" spans="15:17">
      <c r="O35" s="95"/>
      <c r="P35" s="96"/>
      <c r="Q35" s="95"/>
    </row>
    <row r="36" spans="15:17">
      <c r="O36" s="95"/>
      <c r="P36" s="96"/>
      <c r="Q36" s="95"/>
    </row>
    <row r="37" spans="15:17">
      <c r="O37" s="95"/>
      <c r="P37" s="96"/>
      <c r="Q37" s="95"/>
    </row>
    <row r="38" spans="15:17">
      <c r="O38" s="95"/>
      <c r="P38" s="96"/>
      <c r="Q38" s="95"/>
    </row>
    <row r="39" spans="15:17">
      <c r="O39" s="95"/>
      <c r="P39" s="96"/>
      <c r="Q39" s="95"/>
    </row>
    <row r="40" spans="15:17">
      <c r="O40" s="95"/>
      <c r="P40" s="96"/>
      <c r="Q40" s="95"/>
    </row>
    <row r="41" spans="15:17">
      <c r="O41" s="95"/>
      <c r="P41" s="96"/>
      <c r="Q41" s="95"/>
    </row>
    <row r="42" spans="15:17">
      <c r="O42" s="95"/>
      <c r="P42" s="96"/>
      <c r="Q42" s="95"/>
    </row>
    <row r="43" spans="15:17">
      <c r="O43" s="95"/>
      <c r="P43" s="96"/>
      <c r="Q43" s="95"/>
    </row>
    <row r="44" spans="15:17">
      <c r="O44" s="95"/>
      <c r="P44" s="96"/>
      <c r="Q44" s="95"/>
    </row>
    <row r="45" spans="15:17">
      <c r="Q45" s="95"/>
    </row>
  </sheetData>
  <mergeCells count="4">
    <mergeCell ref="A19:E19"/>
    <mergeCell ref="M3:N3"/>
    <mergeCell ref="A9:E9"/>
    <mergeCell ref="A14:E14"/>
  </mergeCells>
  <dataValidations count="2">
    <dataValidation type="list" allowBlank="1" showInputMessage="1" showErrorMessage="1" sqref="D12:D13 D7:D8 D17:D18">
      <formula1>INDIRECT(C7)</formula1>
    </dataValidation>
    <dataValidation type="list" allowBlank="1" showInputMessage="1" showErrorMessage="1" sqref="C17:C18 C7:C8 C12:C13">
      <formula1>asset</formula1>
    </dataValidation>
  </dataValidations>
  <pageMargins left="0.7" right="0.7" top="0.75" bottom="0.75" header="0.3" footer="0.3"/>
  <pageSetup paperSize="9" orientation="portrait" horizontalDpi="300" verticalDpi="300" r:id="rId1"/>
  <drawing r:id="rId2"/>
  <legacyDrawing r:id="rId3"/>
</worksheet>
</file>

<file path=xl/worksheets/sheet3.xml><?xml version="1.0" encoding="utf-8"?>
<worksheet xmlns="http://schemas.openxmlformats.org/spreadsheetml/2006/main" xmlns:r="http://schemas.openxmlformats.org/officeDocument/2006/relationships">
  <sheetPr codeName="Sheet7">
    <tabColor rgb="FFFFC000"/>
  </sheetPr>
  <dimension ref="A1:Q41"/>
  <sheetViews>
    <sheetView zoomScale="90" zoomScaleNormal="90" workbookViewId="0">
      <selection activeCell="C1" sqref="C1"/>
    </sheetView>
  </sheetViews>
  <sheetFormatPr defaultRowHeight="15"/>
  <cols>
    <col min="1" max="1" width="13.42578125" customWidth="1"/>
    <col min="2" max="2" width="14.7109375" customWidth="1"/>
    <col min="3" max="3" width="30.85546875" bestFit="1" customWidth="1"/>
    <col min="4" max="4" width="53.85546875" customWidth="1"/>
    <col min="5" max="5" width="11.5703125" bestFit="1" customWidth="1"/>
    <col min="6" max="6" width="13.28515625" style="36" bestFit="1" customWidth="1"/>
    <col min="7" max="7" width="17.140625" hidden="1" customWidth="1"/>
    <col min="8" max="8" width="26.85546875" customWidth="1"/>
    <col min="9" max="9" width="18.42578125" bestFit="1" customWidth="1"/>
    <col min="10" max="10" width="15" bestFit="1" customWidth="1"/>
    <col min="11" max="11" width="18.140625" bestFit="1" customWidth="1"/>
    <col min="12" max="12" width="19.42578125" bestFit="1" customWidth="1"/>
    <col min="13" max="13" width="21.7109375" style="39" bestFit="1" customWidth="1"/>
    <col min="14" max="14" width="22.28515625" style="40" bestFit="1" customWidth="1"/>
    <col min="15" max="15" width="9.28515625" bestFit="1" customWidth="1"/>
    <col min="16" max="16" width="9.7109375" bestFit="1" customWidth="1"/>
    <col min="17" max="17" width="10.28515625" bestFit="1" customWidth="1"/>
  </cols>
  <sheetData>
    <row r="1" spans="1:17">
      <c r="A1" s="41"/>
      <c r="B1" s="41"/>
      <c r="C1" s="41"/>
      <c r="D1" s="41"/>
      <c r="E1" s="41"/>
      <c r="F1" s="43"/>
      <c r="G1" s="41"/>
      <c r="H1" s="41"/>
      <c r="I1" s="41"/>
      <c r="J1" s="41"/>
      <c r="K1" s="41"/>
      <c r="L1" s="41"/>
    </row>
    <row r="2" spans="1:17" ht="18.75">
      <c r="A2" s="42" t="s">
        <v>138</v>
      </c>
      <c r="B2" s="41"/>
      <c r="C2" s="41"/>
      <c r="D2" s="41"/>
      <c r="E2" s="41"/>
      <c r="F2" s="43"/>
      <c r="G2" s="41"/>
      <c r="H2" s="41"/>
      <c r="I2" s="41"/>
      <c r="J2" s="41"/>
      <c r="K2" s="41"/>
      <c r="L2" s="41"/>
    </row>
    <row r="3" spans="1:17">
      <c r="A3" s="41"/>
      <c r="B3" s="41"/>
      <c r="C3" s="41"/>
      <c r="D3" s="41"/>
      <c r="E3" s="41"/>
      <c r="F3" s="43"/>
      <c r="G3" s="41"/>
      <c r="H3" s="41"/>
      <c r="I3" s="41"/>
      <c r="J3" s="41"/>
      <c r="K3" s="41"/>
      <c r="L3" s="41"/>
      <c r="M3" s="172" t="s">
        <v>136</v>
      </c>
      <c r="N3" s="173"/>
    </row>
    <row r="4" spans="1:17">
      <c r="A4" s="55" t="s">
        <v>0</v>
      </c>
      <c r="B4" s="20" t="s">
        <v>133</v>
      </c>
      <c r="C4" s="19" t="s">
        <v>3</v>
      </c>
      <c r="D4" s="19" t="s">
        <v>135</v>
      </c>
      <c r="E4" s="20" t="s">
        <v>117</v>
      </c>
      <c r="F4" s="37" t="s">
        <v>114</v>
      </c>
      <c r="G4" s="19" t="s">
        <v>113</v>
      </c>
      <c r="H4" s="20" t="s">
        <v>134</v>
      </c>
      <c r="I4" s="20" t="s">
        <v>141</v>
      </c>
      <c r="J4" s="20" t="s">
        <v>2</v>
      </c>
      <c r="K4" s="20" t="s">
        <v>1</v>
      </c>
      <c r="L4" s="38" t="s">
        <v>4</v>
      </c>
      <c r="M4" s="21" t="s">
        <v>165</v>
      </c>
      <c r="N4" s="21" t="s">
        <v>137</v>
      </c>
    </row>
    <row r="6" spans="1:17">
      <c r="A6" s="34" t="s">
        <v>174</v>
      </c>
      <c r="B6" s="35"/>
    </row>
    <row r="7" spans="1:17">
      <c r="A7" s="56">
        <v>41951</v>
      </c>
      <c r="B7" s="32">
        <v>42094</v>
      </c>
      <c r="C7" s="16" t="s">
        <v>124</v>
      </c>
      <c r="D7" s="16" t="s">
        <v>88</v>
      </c>
      <c r="E7" s="16">
        <f>VLOOKUP(D7,'Sch II'!$C$3:$D$143,2,FALSE)</f>
        <v>8</v>
      </c>
      <c r="F7" s="46">
        <v>10000</v>
      </c>
      <c r="G7" s="16">
        <v>10000</v>
      </c>
      <c r="H7" s="17">
        <f>DATEDIF(A7,B7,"d")+1</f>
        <v>144</v>
      </c>
      <c r="I7" s="17">
        <f>H7/365</f>
        <v>0.39452054794520547</v>
      </c>
      <c r="J7" s="17">
        <f>IF(E7-I7&gt;0,E7-I7,0)</f>
        <v>7.6054794520547944</v>
      </c>
      <c r="K7" s="74">
        <f>+F7*5%</f>
        <v>500</v>
      </c>
      <c r="L7" s="72">
        <f>IF(J7&gt;0,1-POWER(K7/F7,1/E7),"0")</f>
        <v>0.31234397806636793</v>
      </c>
      <c r="M7" s="14">
        <f>IF(AND(J7&lt;1,J7&gt;0),F7-K7,ROUND(IF(L7="0","0",IF(H7&lt;=365,L7*F7*(H7/365),L7*F7)),2))</f>
        <v>1232.26</v>
      </c>
      <c r="N7" s="14">
        <f>IF(J7=0,G7-K7,0)</f>
        <v>0</v>
      </c>
      <c r="P7" s="73"/>
    </row>
    <row r="8" spans="1:17">
      <c r="A8" s="64">
        <v>42094</v>
      </c>
      <c r="B8" s="32">
        <v>42094</v>
      </c>
      <c r="C8" s="16" t="s">
        <v>131</v>
      </c>
      <c r="D8" s="16" t="s">
        <v>110</v>
      </c>
      <c r="E8" s="16">
        <f>VLOOKUP(D8,'Sch II'!$C$3:$D$143,2,FALSE)</f>
        <v>3</v>
      </c>
      <c r="F8" s="46">
        <v>50667</v>
      </c>
      <c r="G8" s="46">
        <v>50667</v>
      </c>
      <c r="H8" s="17">
        <f>DATEDIF(A8,B8,"d")+1</f>
        <v>1</v>
      </c>
      <c r="I8" s="17">
        <f>H8/365</f>
        <v>2.7397260273972603E-3</v>
      </c>
      <c r="J8" s="17">
        <f>IF(E8-I8&gt;0,E8-I8,0)</f>
        <v>2.9972602739726026</v>
      </c>
      <c r="K8" s="74">
        <f>+F8*5%</f>
        <v>2533.3500000000004</v>
      </c>
      <c r="L8" s="72">
        <f>IF(J8&gt;0,1-POWER(K8/F8,1/E8),"0")</f>
        <v>0.63159685013596123</v>
      </c>
      <c r="M8" s="14">
        <f>IF(AND(J8&lt;1,J8&gt;0),F8-K8,ROUND(IF(L8="0","0",IF(H8&lt;=365,L8*F8*(H8/365),L8*F8)),2))</f>
        <v>87.67</v>
      </c>
      <c r="N8" s="14">
        <f>IF(J8=0,G8-K8,0)</f>
        <v>0</v>
      </c>
      <c r="P8" s="73"/>
    </row>
    <row r="9" spans="1:17">
      <c r="A9" s="174" t="str">
        <f>"Dep on "&amp;A6</f>
        <v>Dep on Fridge</v>
      </c>
      <c r="B9" s="175"/>
      <c r="C9" s="175"/>
      <c r="D9" s="175"/>
      <c r="E9" s="176"/>
      <c r="F9" s="62">
        <f>SUM(F7:F8)</f>
        <v>60667</v>
      </c>
      <c r="G9" s="62">
        <f>SUM(G7:G8)</f>
        <v>60667</v>
      </c>
      <c r="H9" s="60"/>
      <c r="I9" s="60"/>
      <c r="J9" s="60"/>
      <c r="K9" s="60"/>
      <c r="L9" s="61"/>
      <c r="M9" s="53">
        <f>SUM(M7:M8)</f>
        <v>1319.93</v>
      </c>
      <c r="N9" s="53">
        <f>SUM(N7:N8)</f>
        <v>0</v>
      </c>
      <c r="P9" s="73"/>
    </row>
    <row r="10" spans="1:17">
      <c r="G10" s="45"/>
      <c r="P10" s="73"/>
    </row>
    <row r="11" spans="1:17">
      <c r="A11" s="27" t="s">
        <v>172</v>
      </c>
      <c r="P11" s="73"/>
    </row>
    <row r="12" spans="1:17">
      <c r="A12" s="56">
        <v>41882</v>
      </c>
      <c r="B12" s="32">
        <v>42094</v>
      </c>
      <c r="C12" s="16" t="s">
        <v>121</v>
      </c>
      <c r="D12" s="16" t="s">
        <v>14</v>
      </c>
      <c r="E12" s="16">
        <f>VLOOKUP(D12,'Sch II'!$C$3:$D$143,2,FALSE)</f>
        <v>15</v>
      </c>
      <c r="F12" s="46">
        <v>2412269</v>
      </c>
      <c r="G12" s="46">
        <v>2412269</v>
      </c>
      <c r="H12" s="17">
        <f>DATEDIF(A12,B12,"d")+1</f>
        <v>213</v>
      </c>
      <c r="I12" s="17">
        <f>H12/365</f>
        <v>0.58356164383561648</v>
      </c>
      <c r="J12" s="17">
        <f>IF(E12-I12&gt;0,E12-I12,0)</f>
        <v>14.416438356164383</v>
      </c>
      <c r="K12" s="74">
        <f>+F12*5%</f>
        <v>120613.45000000001</v>
      </c>
      <c r="L12" s="72">
        <f>IF(J12&gt;0,1-POWER(K12/F12,1/E12),"0")</f>
        <v>0.18103627252208465</v>
      </c>
      <c r="M12" s="14">
        <f>IF(AND(J12&lt;1,J12&gt;0),F12-K12,ROUND(IF(L12="0","0",IF(H12&lt;=365,L12*F12*(H12/365),L12*F12)),2))</f>
        <v>254846.15</v>
      </c>
      <c r="N12" s="14">
        <f>IF(J12=0,G12-K12,0)</f>
        <v>0</v>
      </c>
      <c r="P12" s="73"/>
    </row>
    <row r="13" spans="1:17">
      <c r="A13" s="56">
        <v>42064</v>
      </c>
      <c r="B13" s="32">
        <v>42094</v>
      </c>
      <c r="C13" s="16" t="s">
        <v>124</v>
      </c>
      <c r="D13" s="16" t="s">
        <v>88</v>
      </c>
      <c r="E13" s="16">
        <f>VLOOKUP(D13,'Sch II'!$C$3:$D$143,2,FALSE)</f>
        <v>8</v>
      </c>
      <c r="F13" s="46">
        <v>717021</v>
      </c>
      <c r="G13" s="74">
        <v>717021</v>
      </c>
      <c r="H13" s="17">
        <f>DATEDIF(A13,B13,"d")+1</f>
        <v>31</v>
      </c>
      <c r="I13" s="17">
        <f>H13/365</f>
        <v>8.4931506849315067E-2</v>
      </c>
      <c r="J13" s="17">
        <f>IF(E13-I13&gt;0,E13-I13,0)</f>
        <v>7.9150684931506845</v>
      </c>
      <c r="K13" s="74">
        <f>+F13*5%</f>
        <v>35851.050000000003</v>
      </c>
      <c r="L13" s="72">
        <f>IF(J13&gt;0,1-POWER(K13/F13,1/E13),"0")</f>
        <v>0.31234397806636793</v>
      </c>
      <c r="M13" s="14">
        <f>IF(AND(J13&lt;1,J13&gt;0),F13-K13,ROUND(IF(L13="0","0",IF(H13&lt;=365,L13*F13*(H13/365),L13*F13)),2))</f>
        <v>19021.02</v>
      </c>
      <c r="N13" s="14">
        <f>IF(J13=0,G13-K13,0)</f>
        <v>0</v>
      </c>
    </row>
    <row r="14" spans="1:17">
      <c r="A14" s="167" t="str">
        <f>"Dep on "&amp;A11</f>
        <v>Dep on Plant &amp; Machinery</v>
      </c>
      <c r="B14" s="168"/>
      <c r="C14" s="168"/>
      <c r="D14" s="168"/>
      <c r="E14" s="169"/>
      <c r="F14" s="62">
        <f>SUM(F12:F13)</f>
        <v>3129290</v>
      </c>
      <c r="G14" s="63">
        <f>SUM(G12:G13)</f>
        <v>3129290</v>
      </c>
      <c r="H14" s="60"/>
      <c r="I14" s="60"/>
      <c r="J14" s="60"/>
      <c r="K14" s="60"/>
      <c r="L14" s="61"/>
      <c r="M14" s="53">
        <f>SUM(M12:M13)</f>
        <v>273867.17</v>
      </c>
      <c r="N14" s="53">
        <f>SUM(N12:N13)</f>
        <v>0</v>
      </c>
    </row>
    <row r="16" spans="1:17">
      <c r="O16" s="10"/>
      <c r="P16" s="73"/>
      <c r="Q16" s="10"/>
    </row>
    <row r="17" spans="15:17">
      <c r="O17" s="10"/>
      <c r="P17" s="73"/>
      <c r="Q17" s="10"/>
    </row>
    <row r="18" spans="15:17">
      <c r="O18" s="10"/>
      <c r="P18" s="73"/>
      <c r="Q18" s="10"/>
    </row>
    <row r="19" spans="15:17">
      <c r="O19" s="10"/>
      <c r="P19" s="73"/>
      <c r="Q19" s="10"/>
    </row>
    <row r="20" spans="15:17">
      <c r="O20" s="10"/>
      <c r="P20" s="73"/>
      <c r="Q20" s="10"/>
    </row>
    <row r="21" spans="15:17">
      <c r="O21" s="10"/>
      <c r="P21" s="73"/>
      <c r="Q21" s="10"/>
    </row>
    <row r="22" spans="15:17">
      <c r="O22" s="10"/>
      <c r="P22" s="73"/>
      <c r="Q22" s="10"/>
    </row>
    <row r="23" spans="15:17">
      <c r="O23" s="10"/>
      <c r="P23" s="73"/>
      <c r="Q23" s="10"/>
    </row>
    <row r="24" spans="15:17">
      <c r="O24" s="10"/>
      <c r="P24" s="73"/>
      <c r="Q24" s="10"/>
    </row>
    <row r="25" spans="15:17">
      <c r="O25" s="10"/>
      <c r="P25" s="73"/>
      <c r="Q25" s="10"/>
    </row>
    <row r="26" spans="15:17">
      <c r="O26" s="10"/>
      <c r="P26" s="73"/>
      <c r="Q26" s="10"/>
    </row>
    <row r="27" spans="15:17">
      <c r="O27" s="10"/>
      <c r="P27" s="73"/>
      <c r="Q27" s="10"/>
    </row>
    <row r="28" spans="15:17">
      <c r="O28" s="10"/>
      <c r="P28" s="73"/>
      <c r="Q28" s="10"/>
    </row>
    <row r="29" spans="15:17">
      <c r="O29" s="10"/>
      <c r="P29" s="73"/>
      <c r="Q29" s="10"/>
    </row>
    <row r="30" spans="15:17">
      <c r="O30" s="10"/>
      <c r="P30" s="73"/>
      <c r="Q30" s="10"/>
    </row>
    <row r="31" spans="15:17">
      <c r="O31" s="10"/>
      <c r="P31" s="73"/>
      <c r="Q31" s="10"/>
    </row>
    <row r="32" spans="15:17">
      <c r="O32" s="10"/>
      <c r="P32" s="73"/>
      <c r="Q32" s="10"/>
    </row>
    <row r="33" spans="15:17">
      <c r="O33" s="10"/>
      <c r="P33" s="73"/>
      <c r="Q33" s="10"/>
    </row>
    <row r="34" spans="15:17">
      <c r="O34" s="10"/>
      <c r="P34" s="73"/>
      <c r="Q34" s="10"/>
    </row>
    <row r="35" spans="15:17">
      <c r="O35" s="10"/>
      <c r="P35" s="73"/>
      <c r="Q35" s="10"/>
    </row>
    <row r="36" spans="15:17">
      <c r="O36" s="10"/>
      <c r="P36" s="73"/>
      <c r="Q36" s="10"/>
    </row>
    <row r="37" spans="15:17">
      <c r="O37" s="10"/>
      <c r="P37" s="73"/>
      <c r="Q37" s="10"/>
    </row>
    <row r="38" spans="15:17">
      <c r="O38" s="10"/>
      <c r="P38" s="73"/>
      <c r="Q38" s="10"/>
    </row>
    <row r="39" spans="15:17">
      <c r="O39" s="10"/>
      <c r="P39" s="73"/>
      <c r="Q39" s="10"/>
    </row>
    <row r="40" spans="15:17">
      <c r="O40" s="10"/>
      <c r="P40" s="73"/>
      <c r="Q40" s="10"/>
    </row>
    <row r="41" spans="15:17">
      <c r="Q41" s="10"/>
    </row>
  </sheetData>
  <mergeCells count="3">
    <mergeCell ref="M3:N3"/>
    <mergeCell ref="A9:E9"/>
    <mergeCell ref="A14:E14"/>
  </mergeCells>
  <dataValidations count="2">
    <dataValidation type="list" allowBlank="1" showInputMessage="1" showErrorMessage="1" sqref="D12:D13 D7:D8">
      <formula1>INDIRECT(C7)</formula1>
    </dataValidation>
    <dataValidation type="list" allowBlank="1" showInputMessage="1" showErrorMessage="1" sqref="C7:C8 C12:C13">
      <formula1>asset</formula1>
    </dataValidation>
  </dataValidations>
  <pageMargins left="0.7" right="0.7" top="0.75" bottom="0.75" header="0.3" footer="0.3"/>
  <pageSetup paperSize="9" orientation="portrait" horizontalDpi="300" verticalDpi="300" r:id="rId1"/>
  <legacyDrawing r:id="rId2"/>
</worksheet>
</file>

<file path=xl/worksheets/sheet4.xml><?xml version="1.0" encoding="utf-8"?>
<worksheet xmlns="http://schemas.openxmlformats.org/spreadsheetml/2006/main" xmlns:r="http://schemas.openxmlformats.org/officeDocument/2006/relationships">
  <sheetPr codeName="Sheet2">
    <tabColor rgb="FF3AEA4B"/>
  </sheetPr>
  <dimension ref="A1:P23"/>
  <sheetViews>
    <sheetView topLeftCell="E4" zoomScale="110" zoomScaleNormal="110" workbookViewId="0">
      <selection activeCell="D26" sqref="D26:M26"/>
    </sheetView>
  </sheetViews>
  <sheetFormatPr defaultRowHeight="15"/>
  <cols>
    <col min="1" max="1" width="10.85546875" bestFit="1" customWidth="1"/>
    <col min="2" max="2" width="11.42578125" bestFit="1" customWidth="1"/>
    <col min="3" max="3" width="18" bestFit="1" customWidth="1"/>
    <col min="4" max="4" width="59.42578125" customWidth="1"/>
    <col min="5" max="5" width="11.5703125" bestFit="1" customWidth="1"/>
    <col min="6" max="6" width="26.85546875" hidden="1" customWidth="1"/>
    <col min="7" max="7" width="12.28515625" bestFit="1" customWidth="1"/>
    <col min="8" max="8" width="17" bestFit="1" customWidth="1"/>
    <col min="9" max="9" width="18.42578125" bestFit="1" customWidth="1"/>
    <col min="10" max="10" width="15" bestFit="1" customWidth="1"/>
    <col min="11" max="11" width="12" bestFit="1" customWidth="1"/>
    <col min="12" max="12" width="17.5703125" style="39" bestFit="1" customWidth="1"/>
    <col min="13" max="13" width="22.85546875" style="40" bestFit="1" customWidth="1"/>
    <col min="15" max="15" width="10.5703125" bestFit="1" customWidth="1"/>
  </cols>
  <sheetData>
    <row r="1" spans="1:16" s="41" customFormat="1" ht="18.75">
      <c r="A1" s="98" t="s">
        <v>139</v>
      </c>
      <c r="F1" s="152"/>
      <c r="L1" s="153"/>
      <c r="M1" s="154"/>
    </row>
    <row r="2" spans="1:16" s="41" customFormat="1">
      <c r="L2" s="177" t="s">
        <v>136</v>
      </c>
      <c r="M2" s="178"/>
    </row>
    <row r="3" spans="1:16">
      <c r="A3" s="19" t="s">
        <v>0</v>
      </c>
      <c r="B3" s="20" t="s">
        <v>133</v>
      </c>
      <c r="C3" s="19" t="s">
        <v>3</v>
      </c>
      <c r="D3" s="19" t="s">
        <v>135</v>
      </c>
      <c r="E3" s="20" t="s">
        <v>117</v>
      </c>
      <c r="F3" s="20" t="s">
        <v>134</v>
      </c>
      <c r="G3" s="19" t="s">
        <v>114</v>
      </c>
      <c r="H3" s="19" t="s">
        <v>113</v>
      </c>
      <c r="I3" s="20" t="s">
        <v>141</v>
      </c>
      <c r="J3" s="20" t="s">
        <v>2</v>
      </c>
      <c r="K3" s="38" t="s">
        <v>1</v>
      </c>
      <c r="L3" s="126" t="s">
        <v>140</v>
      </c>
      <c r="M3" s="50" t="s">
        <v>168</v>
      </c>
    </row>
    <row r="4" spans="1:16">
      <c r="L4" s="52"/>
    </row>
    <row r="5" spans="1:16">
      <c r="A5" s="27" t="s">
        <v>161</v>
      </c>
    </row>
    <row r="6" spans="1:16">
      <c r="A6" s="15">
        <v>40771</v>
      </c>
      <c r="B6" s="15">
        <v>41729</v>
      </c>
      <c r="C6" s="16" t="s">
        <v>116</v>
      </c>
      <c r="D6" s="16" t="s">
        <v>6</v>
      </c>
      <c r="E6" s="16">
        <f>VLOOKUP(D6,'Sch II'!$C$3:$D$143,2,FALSE)</f>
        <v>30</v>
      </c>
      <c r="F6" s="17">
        <f t="shared" ref="F6:F14" si="0">DATEDIF(A6,B6,"d")</f>
        <v>958</v>
      </c>
      <c r="G6" s="16">
        <v>21050</v>
      </c>
      <c r="H6" s="18">
        <v>12244</v>
      </c>
      <c r="I6" s="17">
        <f t="shared" ref="I6:I14" si="1">F6/365</f>
        <v>2.6246575342465754</v>
      </c>
      <c r="J6" s="17">
        <f t="shared" ref="J6:J14" si="2">ROUND(IF(E6-I6&gt;0,E6-I6,0),2)</f>
        <v>27.38</v>
      </c>
      <c r="K6" s="51">
        <f t="shared" ref="K6:K13" si="3">G6*5%</f>
        <v>1052.5</v>
      </c>
      <c r="L6" s="23">
        <f>IF(AND(J6&gt;0,J6&lt;1),H6-K6,IF(AND(H6&gt;1,J6&gt;0),(H6-K6)/J6,0))</f>
        <v>408.74726077428784</v>
      </c>
      <c r="M6" s="16">
        <f>IF(J6=0,H6-K6,IF(H6&lt;1,H6,0))</f>
        <v>0</v>
      </c>
    </row>
    <row r="7" spans="1:16">
      <c r="A7" s="15">
        <v>35431</v>
      </c>
      <c r="B7" s="15">
        <v>41729</v>
      </c>
      <c r="C7" s="16" t="s">
        <v>116</v>
      </c>
      <c r="D7" s="16" t="s">
        <v>6</v>
      </c>
      <c r="E7" s="16">
        <f>VLOOKUP(D7,'Sch II'!$C$3:$D$143,2,FALSE)</f>
        <v>30</v>
      </c>
      <c r="F7" s="17">
        <f t="shared" si="0"/>
        <v>6298</v>
      </c>
      <c r="G7" s="16">
        <v>321466</v>
      </c>
      <c r="H7" s="46">
        <v>1362547</v>
      </c>
      <c r="I7" s="17">
        <f t="shared" si="1"/>
        <v>17.254794520547946</v>
      </c>
      <c r="J7" s="17">
        <f t="shared" si="2"/>
        <v>12.75</v>
      </c>
      <c r="K7" s="51">
        <f t="shared" si="3"/>
        <v>16073.300000000001</v>
      </c>
      <c r="L7" s="23">
        <f t="shared" ref="L7:L13" si="4">IF(AND(J7&gt;0,J7&lt;1),H7-K7,IF(AND(H7&gt;1,J7&gt;0),(H7-K7)/J7,0))</f>
        <v>105605.78039215686</v>
      </c>
      <c r="M7" s="16">
        <f t="shared" ref="M7:M14" si="5">IF(J7=0,H7-K7,IF(H7&lt;1,H7,0))</f>
        <v>0</v>
      </c>
    </row>
    <row r="8" spans="1:16">
      <c r="A8" s="15">
        <v>35156</v>
      </c>
      <c r="B8" s="15">
        <v>41729</v>
      </c>
      <c r="C8" s="16" t="s">
        <v>116</v>
      </c>
      <c r="D8" s="16" t="s">
        <v>6</v>
      </c>
      <c r="E8" s="16">
        <f>VLOOKUP(D8,'Sch II'!$C$3:$D$143,2,FALSE)</f>
        <v>30</v>
      </c>
      <c r="F8" s="17">
        <f t="shared" si="0"/>
        <v>6573</v>
      </c>
      <c r="G8" s="16">
        <v>83815</v>
      </c>
      <c r="H8" s="46">
        <v>16517</v>
      </c>
      <c r="I8" s="17">
        <f t="shared" si="1"/>
        <v>18.008219178082193</v>
      </c>
      <c r="J8" s="17">
        <f t="shared" si="2"/>
        <v>11.99</v>
      </c>
      <c r="K8" s="51">
        <f t="shared" si="3"/>
        <v>4190.75</v>
      </c>
      <c r="L8" s="23">
        <f t="shared" si="4"/>
        <v>1028.0442035029191</v>
      </c>
      <c r="M8" s="16">
        <f t="shared" si="5"/>
        <v>0</v>
      </c>
    </row>
    <row r="9" spans="1:16">
      <c r="A9" s="15">
        <v>39236</v>
      </c>
      <c r="B9" s="15">
        <v>41729</v>
      </c>
      <c r="C9" s="16" t="s">
        <v>116</v>
      </c>
      <c r="D9" s="16" t="s">
        <v>6</v>
      </c>
      <c r="E9" s="16">
        <f>VLOOKUP(D9,'Sch II'!$C$3:$D$143,2,FALSE)</f>
        <v>30</v>
      </c>
      <c r="F9" s="17">
        <f t="shared" si="0"/>
        <v>2493</v>
      </c>
      <c r="G9" s="16">
        <v>196831</v>
      </c>
      <c r="H9" s="46">
        <v>151871</v>
      </c>
      <c r="I9" s="17">
        <f t="shared" si="1"/>
        <v>6.8301369863013699</v>
      </c>
      <c r="J9" s="17">
        <f t="shared" si="2"/>
        <v>23.17</v>
      </c>
      <c r="K9" s="51">
        <f t="shared" si="3"/>
        <v>9841.5500000000011</v>
      </c>
      <c r="L9" s="23">
        <f t="shared" si="4"/>
        <v>6129.8856279671991</v>
      </c>
      <c r="M9" s="16">
        <f t="shared" si="5"/>
        <v>0</v>
      </c>
    </row>
    <row r="10" spans="1:16">
      <c r="A10" s="15">
        <v>39689</v>
      </c>
      <c r="B10" s="15">
        <v>41729</v>
      </c>
      <c r="C10" s="16" t="s">
        <v>116</v>
      </c>
      <c r="D10" s="16" t="s">
        <v>6</v>
      </c>
      <c r="E10" s="16">
        <f>VLOOKUP(D10,'Sch II'!$C$3:$D$143,2,FALSE)</f>
        <v>30</v>
      </c>
      <c r="F10" s="17">
        <f t="shared" si="0"/>
        <v>2040</v>
      </c>
      <c r="G10" s="16">
        <v>17470</v>
      </c>
      <c r="H10" s="46">
        <v>14208</v>
      </c>
      <c r="I10" s="17">
        <f t="shared" si="1"/>
        <v>5.5890410958904111</v>
      </c>
      <c r="J10" s="17">
        <f t="shared" si="2"/>
        <v>24.41</v>
      </c>
      <c r="K10" s="51">
        <f t="shared" si="3"/>
        <v>873.5</v>
      </c>
      <c r="L10" s="23">
        <f t="shared" si="4"/>
        <v>546.2720196640721</v>
      </c>
      <c r="M10" s="16">
        <f t="shared" si="5"/>
        <v>0</v>
      </c>
    </row>
    <row r="11" spans="1:16">
      <c r="A11" s="15">
        <v>40148</v>
      </c>
      <c r="B11" s="15">
        <v>41729</v>
      </c>
      <c r="C11" s="16" t="s">
        <v>116</v>
      </c>
      <c r="D11" s="16" t="s">
        <v>6</v>
      </c>
      <c r="E11" s="16">
        <f>VLOOKUP(D11,'Sch II'!$C$3:$D$143,2,FALSE)</f>
        <v>30</v>
      </c>
      <c r="F11" s="17">
        <f t="shared" si="0"/>
        <v>1581</v>
      </c>
      <c r="G11" s="16">
        <v>35900</v>
      </c>
      <c r="H11" s="46">
        <v>30704</v>
      </c>
      <c r="I11" s="17">
        <f t="shared" si="1"/>
        <v>4.3315068493150681</v>
      </c>
      <c r="J11" s="17">
        <f t="shared" si="2"/>
        <v>25.67</v>
      </c>
      <c r="K11" s="51">
        <f t="shared" si="3"/>
        <v>1795</v>
      </c>
      <c r="L11" s="23">
        <f t="shared" si="4"/>
        <v>1126.1784183872223</v>
      </c>
      <c r="M11" s="16">
        <f t="shared" si="5"/>
        <v>0</v>
      </c>
    </row>
    <row r="12" spans="1:16">
      <c r="A12" s="15">
        <v>40355</v>
      </c>
      <c r="B12" s="15">
        <v>41729</v>
      </c>
      <c r="C12" s="16" t="s">
        <v>116</v>
      </c>
      <c r="D12" s="16" t="s">
        <v>6</v>
      </c>
      <c r="E12" s="16">
        <f>VLOOKUP(D12,'Sch II'!$C$3:$D$143,2,FALSE)</f>
        <v>30</v>
      </c>
      <c r="F12" s="17">
        <f t="shared" si="0"/>
        <v>1374</v>
      </c>
      <c r="G12" s="16">
        <v>359649</v>
      </c>
      <c r="H12" s="46">
        <v>314336</v>
      </c>
      <c r="I12" s="17">
        <f t="shared" si="1"/>
        <v>3.7643835616438355</v>
      </c>
      <c r="J12" s="17">
        <f t="shared" si="2"/>
        <v>26.24</v>
      </c>
      <c r="K12" s="51">
        <f t="shared" si="3"/>
        <v>17982.45</v>
      </c>
      <c r="L12" s="23">
        <f t="shared" si="4"/>
        <v>11293.961509146342</v>
      </c>
      <c r="M12" s="16">
        <f t="shared" si="5"/>
        <v>0</v>
      </c>
    </row>
    <row r="13" spans="1:16">
      <c r="A13" s="15">
        <v>40847</v>
      </c>
      <c r="B13" s="15">
        <v>41729</v>
      </c>
      <c r="C13" s="16" t="s">
        <v>116</v>
      </c>
      <c r="D13" s="16" t="s">
        <v>6</v>
      </c>
      <c r="E13" s="16">
        <f>VLOOKUP(D13,'Sch II'!$C$3:$D$143,2,FALSE)</f>
        <v>30</v>
      </c>
      <c r="F13" s="17">
        <f t="shared" si="0"/>
        <v>882</v>
      </c>
      <c r="G13" s="16">
        <v>197199</v>
      </c>
      <c r="H13" s="46">
        <v>181238</v>
      </c>
      <c r="I13" s="17">
        <f t="shared" si="1"/>
        <v>2.4164383561643836</v>
      </c>
      <c r="J13" s="17">
        <f t="shared" si="2"/>
        <v>27.58</v>
      </c>
      <c r="K13" s="51">
        <f t="shared" si="3"/>
        <v>9859.9500000000007</v>
      </c>
      <c r="L13" s="23">
        <f t="shared" si="4"/>
        <v>6213.8524292965913</v>
      </c>
      <c r="M13" s="16">
        <f t="shared" si="5"/>
        <v>0</v>
      </c>
    </row>
    <row r="14" spans="1:16">
      <c r="A14" s="15">
        <v>41951</v>
      </c>
      <c r="B14" s="15">
        <v>42094</v>
      </c>
      <c r="C14" s="16" t="s">
        <v>116</v>
      </c>
      <c r="D14" s="16" t="s">
        <v>6</v>
      </c>
      <c r="E14" s="16">
        <f>VLOOKUP(D14,'Sch II'!$C$3:$D$143,2,FALSE)</f>
        <v>30</v>
      </c>
      <c r="F14" s="17">
        <f t="shared" si="0"/>
        <v>143</v>
      </c>
      <c r="G14" s="16">
        <v>10000</v>
      </c>
      <c r="H14" s="16">
        <v>10000</v>
      </c>
      <c r="I14" s="17">
        <f t="shared" si="1"/>
        <v>0.39178082191780822</v>
      </c>
      <c r="J14" s="17">
        <f t="shared" si="2"/>
        <v>29.61</v>
      </c>
      <c r="K14" s="51">
        <v>0</v>
      </c>
      <c r="L14" s="23">
        <f>IF(AND(J14&gt;0,J14&lt;1),H14-K14,IF(AND(H14&gt;1,J14&gt;0),(H14-K14)/E14,0))</f>
        <v>333.33333333333331</v>
      </c>
      <c r="M14" s="16">
        <f t="shared" si="5"/>
        <v>0</v>
      </c>
      <c r="N14" s="69"/>
      <c r="O14" s="70"/>
      <c r="P14" s="70"/>
    </row>
    <row r="15" spans="1:16">
      <c r="A15" s="179" t="str">
        <f>"Dep on "&amp;A5</f>
        <v>Dep on Building</v>
      </c>
      <c r="B15" s="180"/>
      <c r="C15" s="180"/>
      <c r="D15" s="180"/>
      <c r="E15" s="180"/>
      <c r="F15" s="65"/>
      <c r="G15" s="67">
        <f>SUM(G6:G14)</f>
        <v>1243380</v>
      </c>
      <c r="H15" s="68">
        <f>SUM(H6:H14)</f>
        <v>2093665</v>
      </c>
      <c r="I15" s="65"/>
      <c r="J15" s="65"/>
      <c r="K15" s="66"/>
      <c r="L15" s="57">
        <f>SUM(L6:L14)</f>
        <v>132686.05519422883</v>
      </c>
      <c r="M15" s="58">
        <f>SUM(M6:M14)</f>
        <v>0</v>
      </c>
      <c r="O15" s="70"/>
    </row>
    <row r="16" spans="1:16">
      <c r="O16" s="70"/>
    </row>
    <row r="17" spans="1:13">
      <c r="A17" s="27" t="s">
        <v>167</v>
      </c>
    </row>
    <row r="18" spans="1:13">
      <c r="A18" s="15">
        <v>40087</v>
      </c>
      <c r="B18" s="15">
        <v>41729</v>
      </c>
      <c r="C18" s="16" t="s">
        <v>124</v>
      </c>
      <c r="D18" s="16" t="s">
        <v>88</v>
      </c>
      <c r="E18" s="16">
        <f>VLOOKUP(D18,'Sch II'!$C$3:$D$143,2,FALSE)</f>
        <v>8</v>
      </c>
      <c r="F18" s="17">
        <f>DATEDIF(A18,B18,"d")</f>
        <v>1642</v>
      </c>
      <c r="G18" s="16">
        <v>41073</v>
      </c>
      <c r="H18" s="122">
        <v>35000</v>
      </c>
      <c r="I18" s="17">
        <f>F18/365</f>
        <v>4.4986301369863018</v>
      </c>
      <c r="J18" s="17">
        <f>ROUND(IF(E18-I18&gt;0,E18-I18,0),2)</f>
        <v>3.5</v>
      </c>
      <c r="K18" s="51">
        <f>G18*5%</f>
        <v>2053.65</v>
      </c>
      <c r="L18" s="23">
        <f>IF(AND(J18&gt;0,J18&lt;1),H18-K18,IF(AND(H18&gt;1,J18&gt;0),(H18-K18)/J18,0))</f>
        <v>9413.2428571428572</v>
      </c>
      <c r="M18" s="16">
        <f>IF(J18=0,H18-K18,IF(H18&lt;1,H18,0))</f>
        <v>0</v>
      </c>
    </row>
    <row r="19" spans="1:13">
      <c r="A19" s="15">
        <v>40435</v>
      </c>
      <c r="B19" s="15">
        <v>41729</v>
      </c>
      <c r="C19" s="16" t="s">
        <v>124</v>
      </c>
      <c r="D19" s="16" t="s">
        <v>88</v>
      </c>
      <c r="E19" s="16">
        <f>VLOOKUP(D19,'Sch II'!$C$3:$D$143,2,FALSE)</f>
        <v>8</v>
      </c>
      <c r="F19" s="17">
        <f>DATEDIF(A19,B19,"d")</f>
        <v>1294</v>
      </c>
      <c r="G19" s="16">
        <v>443048</v>
      </c>
      <c r="H19" s="46">
        <v>35759</v>
      </c>
      <c r="I19" s="17">
        <f>F19/365</f>
        <v>3.5452054794520547</v>
      </c>
      <c r="J19" s="17">
        <f>ROUND(IF(E19-I19&gt;0,E19-I19,0),2)</f>
        <v>4.45</v>
      </c>
      <c r="K19" s="51">
        <f>G19*5%</f>
        <v>22152.400000000001</v>
      </c>
      <c r="L19" s="23">
        <f>IF(AND(J19&gt;0,J19&lt;1),H19-K19,IF(AND(H19&gt;1,J19&gt;0),(H19-K19)/J19,0))</f>
        <v>3057.6629213483143</v>
      </c>
      <c r="M19" s="16">
        <f>IF(J19=0,H19-K19,IF(H19&lt;1,H19,0))</f>
        <v>0</v>
      </c>
    </row>
    <row r="20" spans="1:13">
      <c r="A20" s="15">
        <v>40819</v>
      </c>
      <c r="B20" s="15">
        <v>41729</v>
      </c>
      <c r="C20" s="16" t="s">
        <v>124</v>
      </c>
      <c r="D20" s="16" t="s">
        <v>88</v>
      </c>
      <c r="E20" s="16">
        <f>VLOOKUP(D20,'Sch II'!$C$3:$D$143,2,FALSE)</f>
        <v>8</v>
      </c>
      <c r="F20" s="17">
        <f>DATEDIF(A20,B20,"d")</f>
        <v>910</v>
      </c>
      <c r="G20" s="16">
        <v>29484</v>
      </c>
      <c r="H20" s="46">
        <v>10403</v>
      </c>
      <c r="I20" s="17">
        <f>F20/365</f>
        <v>2.493150684931507</v>
      </c>
      <c r="J20" s="17">
        <f>ROUND(IF(E20-I20&gt;0,E20-I20,0),2)</f>
        <v>5.51</v>
      </c>
      <c r="K20" s="51">
        <f>G20*5%</f>
        <v>1474.2</v>
      </c>
      <c r="L20" s="23">
        <f>IF(AND(J20&gt;0,J20&lt;1),H20-K20,IF(AND(H20&gt;1,J20&gt;0),(H20-K20)/J20,0))</f>
        <v>1620.4718693284935</v>
      </c>
      <c r="M20" s="16">
        <f>IF(J20=0,H20-K20,IF(H20&lt;1,H20,0))</f>
        <v>0</v>
      </c>
    </row>
    <row r="21" spans="1:13">
      <c r="A21" s="15">
        <v>41034</v>
      </c>
      <c r="B21" s="15">
        <v>41729</v>
      </c>
      <c r="C21" s="16" t="s">
        <v>124</v>
      </c>
      <c r="D21" s="16" t="s">
        <v>88</v>
      </c>
      <c r="E21" s="16">
        <f>VLOOKUP(D21,'Sch II'!$C$3:$D$143,2,FALSE)</f>
        <v>8</v>
      </c>
      <c r="F21" s="17">
        <f>DATEDIF(A21,B21,"d")</f>
        <v>695</v>
      </c>
      <c r="G21" s="16">
        <v>1209150</v>
      </c>
      <c r="H21" s="46">
        <v>609235</v>
      </c>
      <c r="I21" s="17">
        <f>F21/365</f>
        <v>1.904109589041096</v>
      </c>
      <c r="J21" s="17">
        <f>ROUND(IF(E21-I21&gt;0,E21-I21,0),2)</f>
        <v>6.1</v>
      </c>
      <c r="K21" s="51">
        <f>G21*5%</f>
        <v>60457.5</v>
      </c>
      <c r="L21" s="23">
        <f>IF(AND(J21&gt;0,J21&lt;1),H21-K21,IF(AND(H21&gt;1,J21&gt;0),(H21-K21)/J21,0))</f>
        <v>89963.524590163943</v>
      </c>
      <c r="M21" s="16">
        <f>IF(J21=0,H21-K21,IF(H21&lt;1,H21,0))</f>
        <v>0</v>
      </c>
    </row>
    <row r="22" spans="1:13">
      <c r="A22" s="15">
        <v>41693</v>
      </c>
      <c r="B22" s="15">
        <v>41729</v>
      </c>
      <c r="C22" s="16" t="s">
        <v>124</v>
      </c>
      <c r="D22" s="16" t="s">
        <v>88</v>
      </c>
      <c r="E22" s="16">
        <f>VLOOKUP(D22,'Sch II'!$C$3:$D$143,2,FALSE)</f>
        <v>8</v>
      </c>
      <c r="F22" s="17">
        <f>DATEDIF(A22,B22,"d")</f>
        <v>36</v>
      </c>
      <c r="G22" s="16">
        <v>1854757</v>
      </c>
      <c r="H22" s="46">
        <v>1807008</v>
      </c>
      <c r="I22" s="17">
        <f>F22/365</f>
        <v>9.8630136986301367E-2</v>
      </c>
      <c r="J22" s="17">
        <f>ROUND(IF(E22-I22&gt;0,E22-I22,0),2)</f>
        <v>7.9</v>
      </c>
      <c r="K22" s="51">
        <f>G22*5%</f>
        <v>92737.85</v>
      </c>
      <c r="L22" s="23">
        <f>IF(AND(J22&gt;0,J22&lt;1),H22-K22,IF(AND(H22&gt;1,J22&gt;0),(H22-K22)/J22,0))</f>
        <v>216996.22151898732</v>
      </c>
      <c r="M22" s="16">
        <f>IF(J22=0,H22-K22,IF(H22&lt;1,H22,0))</f>
        <v>0</v>
      </c>
    </row>
    <row r="23" spans="1:13">
      <c r="A23" s="179" t="str">
        <f>"Dep on "&amp;A17</f>
        <v>Dep on Motor Car</v>
      </c>
      <c r="B23" s="180"/>
      <c r="C23" s="180"/>
      <c r="D23" s="180"/>
      <c r="E23" s="180"/>
      <c r="F23" s="65"/>
      <c r="G23" s="67">
        <f>SUM(G18:G22)</f>
        <v>3577512</v>
      </c>
      <c r="H23" s="68">
        <f>SUM(H18:H22)</f>
        <v>2497405</v>
      </c>
      <c r="I23" s="65"/>
      <c r="J23" s="65"/>
      <c r="K23" s="66"/>
      <c r="L23" s="59">
        <f>SUM(L18:L22)</f>
        <v>321051.12375697092</v>
      </c>
      <c r="M23" s="58">
        <f>SUM(M18:M22)</f>
        <v>0</v>
      </c>
    </row>
  </sheetData>
  <mergeCells count="3">
    <mergeCell ref="L2:M2"/>
    <mergeCell ref="A15:E15"/>
    <mergeCell ref="A23:E23"/>
  </mergeCells>
  <dataValidations count="2">
    <dataValidation type="list" allowBlank="1" showInputMessage="1" showErrorMessage="1" sqref="D1:D2 D18:D22 D6:D14">
      <formula1>INDIRECT(C1)</formula1>
    </dataValidation>
    <dataValidation type="list" allowBlank="1" showInputMessage="1" showErrorMessage="1" sqref="C1:C2 C18:C22 C6:C14">
      <formula1>asset</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sheetPr codeName="Sheet6">
    <tabColor rgb="FF3AEA4B"/>
  </sheetPr>
  <dimension ref="A1:P11"/>
  <sheetViews>
    <sheetView zoomScale="110" zoomScaleNormal="110" workbookViewId="0">
      <selection activeCell="D19" sqref="D19"/>
    </sheetView>
  </sheetViews>
  <sheetFormatPr defaultRowHeight="15"/>
  <cols>
    <col min="1" max="1" width="10.85546875" bestFit="1" customWidth="1"/>
    <col min="2" max="2" width="11.42578125" bestFit="1" customWidth="1"/>
    <col min="3" max="3" width="18" bestFit="1" customWidth="1"/>
    <col min="4" max="4" width="59.42578125" customWidth="1"/>
    <col min="5" max="5" width="11.5703125" bestFit="1" customWidth="1"/>
    <col min="6" max="6" width="26.85546875" hidden="1" customWidth="1"/>
    <col min="7" max="7" width="12.28515625" bestFit="1" customWidth="1"/>
    <col min="8" max="8" width="17" hidden="1" customWidth="1"/>
    <col min="9" max="9" width="18.42578125" bestFit="1" customWidth="1"/>
    <col min="10" max="10" width="15" bestFit="1" customWidth="1"/>
    <col min="11" max="11" width="12" bestFit="1" customWidth="1"/>
    <col min="12" max="12" width="17.5703125" style="39" bestFit="1" customWidth="1"/>
    <col min="13" max="13" width="22.85546875" style="40" bestFit="1" customWidth="1"/>
    <col min="15" max="15" width="10.5703125" bestFit="1" customWidth="1"/>
  </cols>
  <sheetData>
    <row r="1" spans="1:16" s="41" customFormat="1" ht="18.75">
      <c r="A1" s="42" t="s">
        <v>139</v>
      </c>
      <c r="F1" s="152"/>
      <c r="L1" s="155"/>
      <c r="M1" s="156"/>
    </row>
    <row r="2" spans="1:16" s="41" customFormat="1">
      <c r="L2" s="181" t="s">
        <v>136</v>
      </c>
      <c r="M2" s="181"/>
    </row>
    <row r="3" spans="1:16">
      <c r="A3" s="19" t="s">
        <v>0</v>
      </c>
      <c r="B3" s="20" t="s">
        <v>133</v>
      </c>
      <c r="C3" s="19" t="s">
        <v>3</v>
      </c>
      <c r="D3" s="19" t="s">
        <v>135</v>
      </c>
      <c r="E3" s="20" t="s">
        <v>117</v>
      </c>
      <c r="F3" s="20" t="s">
        <v>134</v>
      </c>
      <c r="G3" s="19" t="s">
        <v>114</v>
      </c>
      <c r="H3" s="19" t="s">
        <v>113</v>
      </c>
      <c r="I3" s="20" t="s">
        <v>141</v>
      </c>
      <c r="J3" s="20" t="s">
        <v>2</v>
      </c>
      <c r="K3" s="38" t="s">
        <v>1</v>
      </c>
      <c r="L3" s="50" t="s">
        <v>140</v>
      </c>
      <c r="M3" s="50" t="s">
        <v>168</v>
      </c>
    </row>
    <row r="4" spans="1:16">
      <c r="L4" s="52"/>
    </row>
    <row r="5" spans="1:16">
      <c r="A5" s="27" t="s">
        <v>161</v>
      </c>
    </row>
    <row r="6" spans="1:16">
      <c r="A6" s="15">
        <v>41951</v>
      </c>
      <c r="B6" s="15">
        <v>42094</v>
      </c>
      <c r="C6" s="16" t="s">
        <v>128</v>
      </c>
      <c r="D6" s="16" t="s">
        <v>128</v>
      </c>
      <c r="E6" s="16">
        <f>VLOOKUP(D6,'Sch II'!$C$3:$D$143,2,FALSE)</f>
        <v>5</v>
      </c>
      <c r="F6" s="17">
        <f>DATEDIF(A6,B6,"d")</f>
        <v>143</v>
      </c>
      <c r="G6" s="16">
        <v>10000</v>
      </c>
      <c r="H6" s="16">
        <v>10000</v>
      </c>
      <c r="I6" s="17">
        <f>F6/365</f>
        <v>0.39178082191780822</v>
      </c>
      <c r="J6" s="17">
        <f>ROUND(IF(E6-I6&gt;0,E6-I6,0),2)</f>
        <v>4.6100000000000003</v>
      </c>
      <c r="K6" s="51">
        <f>G6*5%</f>
        <v>500</v>
      </c>
      <c r="L6" s="71">
        <f>IF(AND(G6&gt;1,J6&gt;0),(G6-K6)*F6/(E6*365),0)</f>
        <v>744.38356164383561</v>
      </c>
      <c r="M6" s="16">
        <f>IF(J6=0,H6-K6,IF(H6&lt;1,H6,0))</f>
        <v>0</v>
      </c>
      <c r="N6" s="69"/>
      <c r="O6" s="70"/>
      <c r="P6" s="70"/>
    </row>
    <row r="7" spans="1:16">
      <c r="A7" s="179" t="str">
        <f>"Dep on "&amp;A5</f>
        <v>Dep on Building</v>
      </c>
      <c r="B7" s="180"/>
      <c r="C7" s="180"/>
      <c r="D7" s="180"/>
      <c r="E7" s="180"/>
      <c r="F7" s="65"/>
      <c r="G7" s="67">
        <f>SUM(G6:G6)</f>
        <v>10000</v>
      </c>
      <c r="H7" s="68">
        <f>SUM(H6:H6)</f>
        <v>10000</v>
      </c>
      <c r="I7" s="65"/>
      <c r="J7" s="65"/>
      <c r="K7" s="66"/>
      <c r="L7" s="57">
        <f>SUM(L6:L6)</f>
        <v>744.38356164383561</v>
      </c>
      <c r="M7" s="58">
        <f>SUM(M6:M6)</f>
        <v>0</v>
      </c>
      <c r="O7" s="70"/>
    </row>
    <row r="8" spans="1:16">
      <c r="O8" s="70"/>
    </row>
    <row r="9" spans="1:16">
      <c r="A9" s="27" t="s">
        <v>167</v>
      </c>
    </row>
    <row r="10" spans="1:16">
      <c r="A10" s="15">
        <v>41813</v>
      </c>
      <c r="B10" s="15">
        <v>42094</v>
      </c>
      <c r="C10" s="16" t="s">
        <v>124</v>
      </c>
      <c r="D10" s="16" t="s">
        <v>88</v>
      </c>
      <c r="E10" s="16">
        <f>VLOOKUP(D10,'Sch II'!$C$3:$D$143,2,FALSE)</f>
        <v>8</v>
      </c>
      <c r="F10" s="17">
        <f>DATEDIF(A10,B10,"d")</f>
        <v>281</v>
      </c>
      <c r="G10" s="16">
        <v>1854757</v>
      </c>
      <c r="H10" s="16">
        <v>1854757</v>
      </c>
      <c r="I10" s="17">
        <f>F10/365</f>
        <v>0.76986301369863008</v>
      </c>
      <c r="J10" s="17">
        <f>ROUND(IF(E10-I10&gt;0,E10-I10,0),2)</f>
        <v>7.23</v>
      </c>
      <c r="K10" s="51">
        <f>G10*5%</f>
        <v>92737.85</v>
      </c>
      <c r="L10" s="71">
        <f>IF(AND(G10&gt;1,J10&gt;0),(G10-K10)*F10/(E10*365),0)</f>
        <v>169564.17162671231</v>
      </c>
      <c r="M10" s="16">
        <f>IF(J10=0,H10-K10,IF(H10&lt;1,H10,0))</f>
        <v>0</v>
      </c>
    </row>
    <row r="11" spans="1:16">
      <c r="A11" s="179" t="str">
        <f>"Dep on "&amp;A9</f>
        <v>Dep on Motor Car</v>
      </c>
      <c r="B11" s="180"/>
      <c r="C11" s="180"/>
      <c r="D11" s="180"/>
      <c r="E11" s="180"/>
      <c r="F11" s="65"/>
      <c r="G11" s="67">
        <f>SUM(G10:G10)</f>
        <v>1854757</v>
      </c>
      <c r="H11" s="68">
        <f>SUM(H10:H10)</f>
        <v>1854757</v>
      </c>
      <c r="I11" s="65"/>
      <c r="J11" s="65"/>
      <c r="K11" s="66"/>
      <c r="L11" s="59">
        <f>SUM(L10:L10)</f>
        <v>169564.17162671231</v>
      </c>
      <c r="M11" s="58">
        <f>SUM(M10:M10)</f>
        <v>0</v>
      </c>
    </row>
  </sheetData>
  <mergeCells count="3">
    <mergeCell ref="L2:M2"/>
    <mergeCell ref="A7:E7"/>
    <mergeCell ref="A11:E11"/>
  </mergeCells>
  <dataValidations count="2">
    <dataValidation type="list" allowBlank="1" showInputMessage="1" showErrorMessage="1" sqref="D1:D2 D6 D10">
      <formula1>INDIRECT(C1)</formula1>
    </dataValidation>
    <dataValidation type="list" allowBlank="1" showInputMessage="1" showErrorMessage="1" sqref="C10 C1:C2 C6">
      <formula1>asset</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sheetPr codeName="Sheet8"/>
  <dimension ref="A1:H25"/>
  <sheetViews>
    <sheetView workbookViewId="0">
      <selection activeCell="G19" sqref="G19:G20"/>
    </sheetView>
  </sheetViews>
  <sheetFormatPr defaultRowHeight="15"/>
  <cols>
    <col min="2" max="2" width="29.28515625" bestFit="1" customWidth="1"/>
    <col min="3" max="3" width="15.140625" customWidth="1"/>
    <col min="4" max="4" width="17.140625" customWidth="1"/>
    <col min="5" max="5" width="1" customWidth="1"/>
    <col min="6" max="6" width="6.140625" bestFit="1" customWidth="1"/>
    <col min="7" max="7" width="32.5703125" customWidth="1"/>
    <col min="8" max="8" width="12.42578125" bestFit="1" customWidth="1"/>
  </cols>
  <sheetData>
    <row r="1" spans="1:8">
      <c r="A1" s="27" t="s">
        <v>169</v>
      </c>
    </row>
    <row r="3" spans="1:8">
      <c r="A3" s="27" t="s">
        <v>176</v>
      </c>
      <c r="F3" s="27" t="s">
        <v>175</v>
      </c>
    </row>
    <row r="4" spans="1:8">
      <c r="A4" s="188" t="s">
        <v>164</v>
      </c>
      <c r="B4" s="187" t="s">
        <v>162</v>
      </c>
      <c r="C4" s="182" t="s">
        <v>136</v>
      </c>
      <c r="D4" s="182"/>
      <c r="F4" s="183" t="s">
        <v>164</v>
      </c>
      <c r="G4" s="185" t="s">
        <v>162</v>
      </c>
      <c r="H4" s="124" t="s">
        <v>136</v>
      </c>
    </row>
    <row r="5" spans="1:8">
      <c r="A5" s="188"/>
      <c r="B5" s="187"/>
      <c r="C5" s="123" t="s">
        <v>165</v>
      </c>
      <c r="D5" s="123" t="s">
        <v>163</v>
      </c>
      <c r="F5" s="184"/>
      <c r="G5" s="186"/>
      <c r="H5" s="124" t="s">
        <v>165</v>
      </c>
    </row>
    <row r="6" spans="1:8">
      <c r="A6" s="47">
        <v>1</v>
      </c>
      <c r="B6" s="16" t="str">
        <f>WDV!A9</f>
        <v>Dep on Computer</v>
      </c>
      <c r="C6" s="48">
        <f>VLOOKUP(B6,WDV!$A$1:$N$293,13,0)</f>
        <v>6899.08</v>
      </c>
      <c r="D6" s="48">
        <f>VLOOKUP(B6,WDV!$A$1:$N$293,14,0)</f>
        <v>0</v>
      </c>
      <c r="F6" s="49">
        <v>1</v>
      </c>
      <c r="G6" s="16" t="str">
        <f>WDV_Additions!A9</f>
        <v>Dep on Fridge</v>
      </c>
      <c r="H6" s="48">
        <f>VLOOKUP(G6,WDV_Additions!A3:N139,13,0)</f>
        <v>1319.93</v>
      </c>
    </row>
    <row r="7" spans="1:8">
      <c r="A7" s="47">
        <v>2</v>
      </c>
      <c r="B7" s="16" t="str">
        <f>WDV!A14</f>
        <v>Dep on Plant &amp; Machinery</v>
      </c>
      <c r="C7" s="48">
        <f>VLOOKUP(B7,WDV!$A$1:$N$293,13,0)</f>
        <v>64330.049999999996</v>
      </c>
      <c r="D7" s="48">
        <f>VLOOKUP(B7,WDV!$A$1:$N$293,14,0)</f>
        <v>0</v>
      </c>
      <c r="F7" s="49">
        <v>2</v>
      </c>
      <c r="G7" s="16" t="str">
        <f>WDV_Additions!A14</f>
        <v>Dep on Plant &amp; Machinery</v>
      </c>
      <c r="H7" s="48">
        <f>VLOOKUP(G7,WDV_Additions!A4:N140,13,0)</f>
        <v>273867.17</v>
      </c>
    </row>
    <row r="8" spans="1:8">
      <c r="A8" s="49">
        <v>3</v>
      </c>
      <c r="B8" s="16" t="str">
        <f>WDV!A19</f>
        <v>Dep on Vehicles - Two Wheeler</v>
      </c>
      <c r="C8" s="48">
        <f>VLOOKUP(B8,WDV!$A$1:$N$293,13,0)</f>
        <v>15925.08</v>
      </c>
      <c r="D8" s="48">
        <f>VLOOKUP(B8,WDV!$A$1:$N$293,14,0)</f>
        <v>0</v>
      </c>
      <c r="F8" s="49">
        <v>3</v>
      </c>
      <c r="G8" s="16"/>
      <c r="H8" s="48"/>
    </row>
    <row r="9" spans="1:8">
      <c r="A9" s="49">
        <v>4</v>
      </c>
      <c r="B9" s="16"/>
      <c r="C9" s="48"/>
      <c r="D9" s="48"/>
      <c r="F9" s="49">
        <v>4</v>
      </c>
      <c r="G9" s="16"/>
      <c r="H9" s="48"/>
    </row>
    <row r="10" spans="1:8">
      <c r="A10" s="160" t="s">
        <v>166</v>
      </c>
      <c r="B10" s="160"/>
      <c r="C10" s="54">
        <f>SUM(C6:C9)</f>
        <v>87154.209999999992</v>
      </c>
      <c r="D10" s="54">
        <f>SUM(D6:D9)</f>
        <v>0</v>
      </c>
      <c r="F10" s="160" t="s">
        <v>166</v>
      </c>
      <c r="G10" s="160"/>
      <c r="H10" s="54">
        <f>SUM(H6:H9)</f>
        <v>275187.09999999998</v>
      </c>
    </row>
    <row r="16" spans="1:8">
      <c r="A16" s="27" t="s">
        <v>170</v>
      </c>
    </row>
    <row r="18" spans="1:8">
      <c r="A18" s="27" t="s">
        <v>176</v>
      </c>
      <c r="F18" s="27" t="s">
        <v>193</v>
      </c>
    </row>
    <row r="19" spans="1:8">
      <c r="A19" s="188" t="s">
        <v>164</v>
      </c>
      <c r="B19" s="187" t="s">
        <v>162</v>
      </c>
      <c r="C19" s="182" t="s">
        <v>136</v>
      </c>
      <c r="D19" s="182"/>
      <c r="F19" s="183" t="s">
        <v>164</v>
      </c>
      <c r="G19" s="185" t="s">
        <v>162</v>
      </c>
      <c r="H19" s="124" t="s">
        <v>136</v>
      </c>
    </row>
    <row r="20" spans="1:8">
      <c r="A20" s="188"/>
      <c r="B20" s="187"/>
      <c r="C20" s="123" t="s">
        <v>165</v>
      </c>
      <c r="D20" s="123" t="s">
        <v>163</v>
      </c>
      <c r="F20" s="184"/>
      <c r="G20" s="186"/>
      <c r="H20" s="124" t="s">
        <v>165</v>
      </c>
    </row>
    <row r="21" spans="1:8">
      <c r="A21" s="49">
        <v>1</v>
      </c>
      <c r="B21" s="16" t="str">
        <f>SLM!A15</f>
        <v>Dep on Building</v>
      </c>
      <c r="C21" s="48">
        <f>VLOOKUP(B21,SLM!A1:M95,12,0)</f>
        <v>132686.05519422883</v>
      </c>
      <c r="D21" s="48">
        <f>VLOOKUP(B21,SLM!A1:N95,13,0)</f>
        <v>0</v>
      </c>
      <c r="F21" s="49">
        <v>1</v>
      </c>
      <c r="G21" s="16" t="str">
        <f>SLM_Additions!A7</f>
        <v>Dep on Building</v>
      </c>
      <c r="H21" s="48">
        <f>VLOOKUP(Summary!G21,SLM_Additions!A1:M82,12,)</f>
        <v>744.38356164383561</v>
      </c>
    </row>
    <row r="22" spans="1:8">
      <c r="A22" s="49">
        <v>2</v>
      </c>
      <c r="B22" s="16" t="str">
        <f>SLM!A23</f>
        <v>Dep on Motor Car</v>
      </c>
      <c r="C22" s="48">
        <f>VLOOKUP(B22,SLM!A2:M96,12,0)</f>
        <v>321051.12375697092</v>
      </c>
      <c r="D22" s="48">
        <f>VLOOKUP(B22,SLM!A2:N96,13,0)</f>
        <v>0</v>
      </c>
      <c r="F22" s="49">
        <v>2</v>
      </c>
      <c r="G22" s="16" t="str">
        <f>SLM_Additions!A11</f>
        <v>Dep on Motor Car</v>
      </c>
      <c r="H22" s="48">
        <f>VLOOKUP(Summary!G22,SLM_Additions!A2:M83,12,)</f>
        <v>169564.17162671231</v>
      </c>
    </row>
    <row r="23" spans="1:8">
      <c r="A23" s="49">
        <v>3</v>
      </c>
      <c r="B23" s="16"/>
      <c r="C23" s="48"/>
      <c r="D23" s="48"/>
      <c r="F23" s="49">
        <v>3</v>
      </c>
      <c r="G23" s="16"/>
      <c r="H23" s="48"/>
    </row>
    <row r="24" spans="1:8">
      <c r="A24" s="49">
        <v>4</v>
      </c>
      <c r="B24" s="16"/>
      <c r="C24" s="48"/>
      <c r="D24" s="48"/>
      <c r="F24" s="49">
        <v>4</v>
      </c>
      <c r="G24" s="16"/>
      <c r="H24" s="48"/>
    </row>
    <row r="25" spans="1:8">
      <c r="A25" s="160" t="s">
        <v>166</v>
      </c>
      <c r="B25" s="160"/>
      <c r="C25" s="54">
        <f>SUM(C21:C24)</f>
        <v>453737.17895119975</v>
      </c>
      <c r="D25" s="54">
        <f>SUM(D21:D24)</f>
        <v>0</v>
      </c>
      <c r="F25" s="160" t="s">
        <v>166</v>
      </c>
      <c r="G25" s="160"/>
      <c r="H25" s="54">
        <f>SUM(H21:H24)</f>
        <v>170308.55518835614</v>
      </c>
    </row>
  </sheetData>
  <mergeCells count="14">
    <mergeCell ref="C19:D19"/>
    <mergeCell ref="F4:F5"/>
    <mergeCell ref="G4:G5"/>
    <mergeCell ref="F10:G10"/>
    <mergeCell ref="A25:B25"/>
    <mergeCell ref="C4:D4"/>
    <mergeCell ref="B4:B5"/>
    <mergeCell ref="A4:A5"/>
    <mergeCell ref="A10:B10"/>
    <mergeCell ref="A19:A20"/>
    <mergeCell ref="B19:B20"/>
    <mergeCell ref="F19:F20"/>
    <mergeCell ref="G19:G20"/>
    <mergeCell ref="F25:G25"/>
  </mergeCells>
  <pageMargins left="0.7" right="0.7" top="0.75" bottom="0.75" header="0.3" footer="0.3"/>
  <pageSetup orientation="portrait" verticalDpi="0" r:id="rId1"/>
</worksheet>
</file>

<file path=xl/worksheets/sheet7.xml><?xml version="1.0" encoding="utf-8"?>
<worksheet xmlns="http://schemas.openxmlformats.org/spreadsheetml/2006/main" xmlns:r="http://schemas.openxmlformats.org/officeDocument/2006/relationships">
  <sheetPr codeName="Sheet5"/>
  <dimension ref="A1:L58"/>
  <sheetViews>
    <sheetView workbookViewId="0">
      <selection activeCell="E30" sqref="E30"/>
    </sheetView>
  </sheetViews>
  <sheetFormatPr defaultRowHeight="15"/>
  <cols>
    <col min="1" max="1" width="35.140625" customWidth="1"/>
    <col min="2" max="2" width="30.85546875" customWidth="1"/>
    <col min="3" max="3" width="17.140625" hidden="1" customWidth="1"/>
    <col min="4" max="4" width="16.140625" customWidth="1"/>
    <col min="5" max="5" width="17.140625" customWidth="1"/>
    <col min="6" max="6" width="29.140625" customWidth="1"/>
    <col min="7" max="7" width="9" hidden="1" customWidth="1"/>
    <col min="8" max="8" width="11.7109375" hidden="1" customWidth="1"/>
    <col min="9" max="9" width="11.5703125" hidden="1" customWidth="1"/>
    <col min="10" max="10" width="11.28515625" hidden="1" customWidth="1"/>
    <col min="11" max="11" width="12.5703125" hidden="1" customWidth="1"/>
    <col min="12" max="12" width="0" hidden="1" customWidth="1"/>
  </cols>
  <sheetData>
    <row r="1" spans="1:12" s="135" customFormat="1" ht="18.75">
      <c r="A1" s="133" t="s">
        <v>143</v>
      </c>
      <c r="B1" s="133"/>
      <c r="C1" s="134"/>
    </row>
    <row r="2" spans="1:12" s="135" customFormat="1" ht="18.75">
      <c r="A2" s="136" t="s">
        <v>199</v>
      </c>
      <c r="B2" s="133"/>
      <c r="C2" s="134"/>
    </row>
    <row r="3" spans="1:12" s="135" customFormat="1" ht="18.75">
      <c r="A3" s="136" t="s">
        <v>200</v>
      </c>
      <c r="B3" s="133"/>
      <c r="C3" s="134"/>
    </row>
    <row r="4" spans="1:12" s="135" customFormat="1" ht="18.75">
      <c r="A4" s="136"/>
      <c r="B4" s="133"/>
      <c r="C4" s="134"/>
      <c r="D4" s="189" t="s">
        <v>203</v>
      </c>
      <c r="E4" s="189"/>
    </row>
    <row r="5" spans="1:12" s="135" customFormat="1" ht="18.75">
      <c r="A5" s="136"/>
      <c r="B5" s="133"/>
      <c r="C5" s="134"/>
      <c r="D5" s="137"/>
    </row>
    <row r="6" spans="1:12" s="135" customFormat="1" ht="18.75">
      <c r="A6" s="136"/>
      <c r="B6" s="133"/>
      <c r="C6" s="134"/>
    </row>
    <row r="7" spans="1:12" s="135" customFormat="1" ht="18.75">
      <c r="A7" s="136"/>
      <c r="B7" s="138" t="s">
        <v>209</v>
      </c>
      <c r="C7" s="134"/>
      <c r="D7" s="139" t="s">
        <v>205</v>
      </c>
      <c r="E7" s="140" t="s">
        <v>206</v>
      </c>
    </row>
    <row r="8" spans="1:12" s="135" customFormat="1" ht="18.75">
      <c r="A8" s="136"/>
      <c r="B8" s="141" t="s">
        <v>146</v>
      </c>
      <c r="C8" s="134">
        <v>40119</v>
      </c>
      <c r="D8" s="142" t="s">
        <v>204</v>
      </c>
      <c r="E8" s="143" t="s">
        <v>210</v>
      </c>
    </row>
    <row r="9" spans="1:12" s="135" customFormat="1" ht="18.75">
      <c r="A9" s="136"/>
      <c r="B9" s="141" t="s">
        <v>133</v>
      </c>
      <c r="C9" s="134">
        <v>41729</v>
      </c>
      <c r="D9" s="144">
        <v>41729</v>
      </c>
      <c r="E9" s="145">
        <v>41729</v>
      </c>
    </row>
    <row r="10" spans="1:12" s="135" customFormat="1" ht="18.75">
      <c r="A10" s="136"/>
      <c r="B10" s="141" t="s">
        <v>142</v>
      </c>
      <c r="C10" s="134">
        <v>0.1</v>
      </c>
      <c r="D10" s="142" t="s">
        <v>204</v>
      </c>
      <c r="E10" s="143" t="s">
        <v>201</v>
      </c>
    </row>
    <row r="11" spans="1:12" s="135" customFormat="1" ht="18.75">
      <c r="A11" s="136"/>
      <c r="B11" s="141" t="s">
        <v>207</v>
      </c>
      <c r="C11" s="134">
        <v>10000</v>
      </c>
      <c r="D11" s="142" t="s">
        <v>204</v>
      </c>
      <c r="E11" s="143" t="s">
        <v>201</v>
      </c>
    </row>
    <row r="12" spans="1:12" s="135" customFormat="1" ht="18.75">
      <c r="A12" s="136"/>
      <c r="B12" s="141" t="s">
        <v>160</v>
      </c>
      <c r="C12" s="134"/>
      <c r="D12" s="142" t="s">
        <v>202</v>
      </c>
      <c r="E12" s="143" t="s">
        <v>201</v>
      </c>
    </row>
    <row r="13" spans="1:12" s="135" customFormat="1" ht="18.75">
      <c r="A13" s="136" t="s">
        <v>208</v>
      </c>
      <c r="B13" s="146"/>
      <c r="C13" s="134"/>
      <c r="D13" s="147"/>
      <c r="E13" s="147"/>
    </row>
    <row r="14" spans="1:12">
      <c r="C14" s="24"/>
      <c r="J14" s="13">
        <v>40634</v>
      </c>
      <c r="K14" s="13">
        <v>40878</v>
      </c>
    </row>
    <row r="15" spans="1:12">
      <c r="A15" s="30" t="s">
        <v>146</v>
      </c>
      <c r="B15" s="15">
        <v>41183</v>
      </c>
      <c r="E15" s="10"/>
      <c r="F15" s="13"/>
      <c r="H15" s="13">
        <f>DATE(YEAR(B15),3,31)</f>
        <v>40999</v>
      </c>
      <c r="I15">
        <f>H15-B15-1</f>
        <v>-185</v>
      </c>
      <c r="L15" s="28"/>
    </row>
    <row r="16" spans="1:12">
      <c r="A16" s="30" t="s">
        <v>133</v>
      </c>
      <c r="B16" s="15">
        <v>41729</v>
      </c>
      <c r="H16" s="13">
        <f>DATE(IF(AND(MONTH($B$15)&gt;=MONTH($J$14),MONTH($B$15)&lt;=MONTH($K$14)),YEAR($B$15)+ 1,YEAR($B$15)),3,31)</f>
        <v>41364</v>
      </c>
      <c r="I16">
        <f>H16-B15</f>
        <v>181</v>
      </c>
    </row>
    <row r="17" spans="1:9">
      <c r="A17" s="30" t="s">
        <v>142</v>
      </c>
      <c r="B17" s="31">
        <v>0.1391</v>
      </c>
    </row>
    <row r="18" spans="1:9">
      <c r="A18" s="30" t="s">
        <v>147</v>
      </c>
      <c r="B18" s="16">
        <v>100</v>
      </c>
    </row>
    <row r="19" spans="1:9">
      <c r="A19" s="30" t="s">
        <v>160</v>
      </c>
      <c r="B19" s="16"/>
    </row>
    <row r="22" spans="1:9" ht="18.75">
      <c r="A22" s="131" t="s">
        <v>157</v>
      </c>
      <c r="B22" s="44"/>
    </row>
    <row r="23" spans="1:9" ht="17.25" customHeight="1">
      <c r="A23" s="25"/>
      <c r="B23" s="25"/>
    </row>
    <row r="24" spans="1:9" ht="15.75" customHeight="1">
      <c r="A24" s="132" t="s">
        <v>148</v>
      </c>
      <c r="B24" s="22"/>
      <c r="C24" s="24"/>
    </row>
    <row r="25" spans="1:9" ht="18.75">
      <c r="A25" s="29" t="s">
        <v>149</v>
      </c>
      <c r="B25" s="22"/>
      <c r="C25" s="24"/>
    </row>
    <row r="26" spans="1:9" hidden="1">
      <c r="A26" s="21" t="s">
        <v>145</v>
      </c>
      <c r="B26" s="21"/>
      <c r="C26" s="21" t="s">
        <v>2</v>
      </c>
      <c r="D26" s="21" t="s">
        <v>142</v>
      </c>
      <c r="E26" s="21" t="s">
        <v>144</v>
      </c>
      <c r="I26">
        <f>ROUND((B19/(B18*B17)*365),0)</f>
        <v>0</v>
      </c>
    </row>
    <row r="27" spans="1:9" hidden="1">
      <c r="A27" s="16">
        <f>IF($B$19&gt;=0,$B$18-$B$19,$B$18-$B$18*$B$17*(#REF!/12))</f>
        <v>100</v>
      </c>
      <c r="B27" s="16">
        <f>(DATEDIF($B$15,$B$16,"Y")+$B$19/($B$18*$B$17))</f>
        <v>1</v>
      </c>
      <c r="C27" s="16">
        <f>DATEDIF($B$15,$B$16,"y")</f>
        <v>1</v>
      </c>
      <c r="D27" s="26">
        <f>+$B$17</f>
        <v>0.1391</v>
      </c>
      <c r="E27" s="16">
        <f>(1- $D$27)^$C$27</f>
        <v>0.8609</v>
      </c>
    </row>
    <row r="28" spans="1:9">
      <c r="A28" s="21" t="s">
        <v>138</v>
      </c>
      <c r="B28" s="129" t="s">
        <v>152</v>
      </c>
    </row>
    <row r="29" spans="1:9">
      <c r="A29" s="17">
        <f>+E27*A27</f>
        <v>86.09</v>
      </c>
      <c r="B29" s="128">
        <f>$H$16-$I$26+1</f>
        <v>41365</v>
      </c>
    </row>
    <row r="30" spans="1:9">
      <c r="A30" s="120"/>
      <c r="B30" s="121"/>
    </row>
    <row r="31" spans="1:9">
      <c r="A31" s="120"/>
      <c r="B31" s="121"/>
    </row>
    <row r="32" spans="1:9">
      <c r="A32" s="132" t="s">
        <v>151</v>
      </c>
    </row>
    <row r="33" spans="1:6" ht="19.5" customHeight="1">
      <c r="A33" s="29" t="s">
        <v>150</v>
      </c>
    </row>
    <row r="34" spans="1:6" ht="15.75" hidden="1" customHeight="1">
      <c r="A34" s="21" t="s">
        <v>145</v>
      </c>
      <c r="B34" s="21"/>
      <c r="C34" s="21" t="s">
        <v>2</v>
      </c>
      <c r="D34" s="21" t="s">
        <v>142</v>
      </c>
      <c r="E34" s="21" t="s">
        <v>144</v>
      </c>
    </row>
    <row r="35" spans="1:6" hidden="1">
      <c r="A35" s="16">
        <f>ROUND($B$18-($B$18*$B$17*$I$16/365),2)</f>
        <v>93.1</v>
      </c>
      <c r="B35" s="16">
        <f>(DATEDIF($B$15,$B$16,"Y")+$B$19/($B$18*$B$17))</f>
        <v>1</v>
      </c>
      <c r="C35" s="16">
        <f>DATEDIF($B$15,$B$16,"y")</f>
        <v>1</v>
      </c>
      <c r="D35" s="26">
        <f>+$B$17</f>
        <v>0.1391</v>
      </c>
      <c r="E35" s="16">
        <f>(1- D35)^C35</f>
        <v>0.8609</v>
      </c>
    </row>
    <row r="36" spans="1:6">
      <c r="A36" s="21" t="s">
        <v>138</v>
      </c>
    </row>
    <row r="37" spans="1:6">
      <c r="A37" s="17">
        <f>ROUND(+E35*A35,2)</f>
        <v>80.150000000000006</v>
      </c>
    </row>
    <row r="38" spans="1:6">
      <c r="A38" s="127"/>
    </row>
    <row r="39" spans="1:6">
      <c r="A39" s="127"/>
    </row>
    <row r="40" spans="1:6">
      <c r="A40" s="127"/>
    </row>
    <row r="41" spans="1:6" ht="18.75">
      <c r="A41" s="131" t="s">
        <v>156</v>
      </c>
    </row>
    <row r="43" spans="1:6">
      <c r="A43" s="132" t="s">
        <v>153</v>
      </c>
    </row>
    <row r="44" spans="1:6">
      <c r="A44" s="29" t="s">
        <v>149</v>
      </c>
    </row>
    <row r="45" spans="1:6" hidden="1">
      <c r="A45" s="21" t="s">
        <v>145</v>
      </c>
      <c r="B45" s="21"/>
      <c r="C45" s="21" t="s">
        <v>2</v>
      </c>
      <c r="D45" s="21" t="s">
        <v>142</v>
      </c>
      <c r="E45" s="21" t="s">
        <v>155</v>
      </c>
    </row>
    <row r="46" spans="1:6" hidden="1">
      <c r="A46" s="16">
        <f>$B$18-$B$19</f>
        <v>100</v>
      </c>
      <c r="B46" s="16">
        <f>(DATEDIF($B$15,$B$16,"Y")+$B$19/($B$18*$B$17))</f>
        <v>1</v>
      </c>
      <c r="C46" s="16">
        <f>DATEDIF($B$15,$B$16,"y")</f>
        <v>1</v>
      </c>
      <c r="D46" s="26">
        <f>+$B$17</f>
        <v>0.1391</v>
      </c>
      <c r="E46" s="16">
        <f>$B$18*$B$17*C46+$B$19</f>
        <v>13.91</v>
      </c>
    </row>
    <row r="47" spans="1:6">
      <c r="A47" s="21" t="s">
        <v>154</v>
      </c>
      <c r="B47" s="130" t="s">
        <v>158</v>
      </c>
    </row>
    <row r="48" spans="1:6">
      <c r="A48" s="17">
        <f>$B$18-E46</f>
        <v>86.09</v>
      </c>
      <c r="B48" s="128">
        <f>$H$16-$I$26+1</f>
        <v>41365</v>
      </c>
      <c r="F48" s="13"/>
    </row>
    <row r="49" spans="1:9">
      <c r="A49" s="127"/>
      <c r="B49" s="121"/>
      <c r="F49" s="13"/>
    </row>
    <row r="50" spans="1:9">
      <c r="A50" s="127"/>
      <c r="B50" s="121"/>
      <c r="F50" s="13"/>
    </row>
    <row r="51" spans="1:9">
      <c r="A51" s="132" t="s">
        <v>159</v>
      </c>
    </row>
    <row r="52" spans="1:9">
      <c r="A52" s="29" t="s">
        <v>150</v>
      </c>
    </row>
    <row r="53" spans="1:9" hidden="1">
      <c r="A53" s="21" t="s">
        <v>145</v>
      </c>
      <c r="B53" s="21"/>
      <c r="C53" s="21" t="s">
        <v>2</v>
      </c>
      <c r="D53" s="21" t="s">
        <v>142</v>
      </c>
      <c r="E53" s="21" t="s">
        <v>155</v>
      </c>
      <c r="I53" s="13">
        <f>DATE(IF(AND(MONTH($B$15)&gt;=MONTH($J$14),MONTH($B$15)&lt;=MONTH($K$14)),YEAR($B$15)+ 1,YEAR($B$15)),3,31)</f>
        <v>41364</v>
      </c>
    </row>
    <row r="54" spans="1:9" hidden="1">
      <c r="A54" s="16">
        <f>$B$18-ROUND($B$18*$B$17*($I$54/365),0)</f>
        <v>93</v>
      </c>
      <c r="B54" s="16">
        <f>(DATEDIF($B$15,$B$16,"Y")+$B$19/($B$18*$B$17))</f>
        <v>1</v>
      </c>
      <c r="C54" s="16">
        <f>DATEDIF($B$15,$B$16,"y")</f>
        <v>1</v>
      </c>
      <c r="D54" s="26">
        <f>+$B$17</f>
        <v>0.1391</v>
      </c>
      <c r="E54" s="16">
        <f>ROUND($B$18*$B$17*($I$54/365)+$B$18*C54*$B$17,0)</f>
        <v>21</v>
      </c>
      <c r="I54">
        <f>I53-B15</f>
        <v>181</v>
      </c>
    </row>
    <row r="55" spans="1:9">
      <c r="A55" s="21" t="s">
        <v>154</v>
      </c>
    </row>
    <row r="56" spans="1:9">
      <c r="A56" s="17">
        <f>$B$18-E54</f>
        <v>79</v>
      </c>
    </row>
    <row r="58" spans="1:9">
      <c r="A58" s="27" t="s">
        <v>214</v>
      </c>
    </row>
  </sheetData>
  <mergeCells count="1">
    <mergeCell ref="D4:E4"/>
  </mergeCells>
  <pageMargins left="0.7" right="0.7" top="0.75" bottom="0.75" header="0.3" footer="0.3"/>
  <pageSetup paperSize="9" orientation="portrait" r:id="rId1"/>
  <drawing r:id="rId2"/>
  <legacyDrawing r:id="rId3"/>
  <controls>
    <control shapeId="1025" r:id="rId4" name="CommandButton1"/>
  </controls>
</worksheet>
</file>

<file path=xl/worksheets/sheet8.xml><?xml version="1.0" encoding="utf-8"?>
<worksheet xmlns="http://schemas.openxmlformats.org/spreadsheetml/2006/main" xmlns:r="http://schemas.openxmlformats.org/officeDocument/2006/relationships">
  <sheetPr codeName="Sheet4"/>
  <dimension ref="A2:D143"/>
  <sheetViews>
    <sheetView zoomScale="80" zoomScaleNormal="80" workbookViewId="0">
      <selection activeCell="A45" sqref="A45"/>
    </sheetView>
  </sheetViews>
  <sheetFormatPr defaultRowHeight="15"/>
  <cols>
    <col min="1" max="1" width="110.5703125" bestFit="1" customWidth="1"/>
    <col min="3" max="3" width="69.85546875" customWidth="1"/>
  </cols>
  <sheetData>
    <row r="2" spans="1:4">
      <c r="A2" s="12" t="s">
        <v>115</v>
      </c>
    </row>
    <row r="3" spans="1:4" ht="15.75">
      <c r="A3" s="1" t="s">
        <v>116</v>
      </c>
      <c r="C3" s="3" t="s">
        <v>5</v>
      </c>
      <c r="D3" s="3">
        <v>60</v>
      </c>
    </row>
    <row r="4" spans="1:4" ht="15.75">
      <c r="A4" s="9" t="s">
        <v>122</v>
      </c>
      <c r="C4" s="3" t="s">
        <v>6</v>
      </c>
      <c r="D4" s="3">
        <v>30</v>
      </c>
    </row>
    <row r="5" spans="1:4" ht="15.75">
      <c r="A5" s="11" t="s">
        <v>118</v>
      </c>
      <c r="C5" s="3" t="s">
        <v>7</v>
      </c>
      <c r="D5" s="3">
        <v>30</v>
      </c>
    </row>
    <row r="6" spans="1:4" ht="15.75">
      <c r="A6" s="11" t="s">
        <v>121</v>
      </c>
      <c r="C6" s="3" t="s">
        <v>8</v>
      </c>
      <c r="D6" s="3">
        <v>5</v>
      </c>
    </row>
    <row r="7" spans="1:4" ht="15.75">
      <c r="A7" s="11" t="s">
        <v>123</v>
      </c>
      <c r="C7" s="3" t="s">
        <v>9</v>
      </c>
      <c r="D7" s="3">
        <v>3</v>
      </c>
    </row>
    <row r="8" spans="1:4" ht="15.75">
      <c r="A8" s="11" t="s">
        <v>124</v>
      </c>
      <c r="C8" s="3"/>
      <c r="D8" s="3"/>
    </row>
    <row r="9" spans="1:4" ht="15.75">
      <c r="A9" s="11" t="s">
        <v>120</v>
      </c>
      <c r="C9" s="9" t="s">
        <v>119</v>
      </c>
      <c r="D9" s="3">
        <v>30</v>
      </c>
    </row>
    <row r="10" spans="1:4" ht="15.75">
      <c r="A10" s="9" t="s">
        <v>125</v>
      </c>
      <c r="C10" s="9"/>
      <c r="D10" s="3"/>
    </row>
    <row r="11" spans="1:4" ht="15.75">
      <c r="A11" s="9" t="s">
        <v>126</v>
      </c>
      <c r="C11" s="1" t="s">
        <v>10</v>
      </c>
      <c r="D11" s="1">
        <v>10</v>
      </c>
    </row>
    <row r="12" spans="1:4" ht="15.75">
      <c r="A12" s="9" t="s">
        <v>127</v>
      </c>
      <c r="C12" s="1" t="s">
        <v>11</v>
      </c>
      <c r="D12" s="1">
        <v>5</v>
      </c>
    </row>
    <row r="13" spans="1:4" ht="15.75">
      <c r="A13" s="9" t="s">
        <v>128</v>
      </c>
      <c r="C13" s="1" t="s">
        <v>12</v>
      </c>
      <c r="D13" s="1">
        <v>3</v>
      </c>
    </row>
    <row r="14" spans="1:4" ht="15.75">
      <c r="A14" s="9" t="s">
        <v>131</v>
      </c>
      <c r="C14" s="1"/>
      <c r="D14" s="1"/>
    </row>
    <row r="15" spans="1:4" ht="31.5">
      <c r="A15" s="9" t="s">
        <v>129</v>
      </c>
      <c r="C15" s="5" t="s">
        <v>13</v>
      </c>
      <c r="D15" s="1"/>
    </row>
    <row r="16" spans="1:4" ht="31.5">
      <c r="A16" s="9" t="s">
        <v>130</v>
      </c>
      <c r="C16" s="4" t="s">
        <v>14</v>
      </c>
      <c r="D16" s="1">
        <v>15</v>
      </c>
    </row>
    <row r="17" spans="1:4" ht="31.5">
      <c r="A17" s="9" t="s">
        <v>132</v>
      </c>
      <c r="C17" s="4" t="s">
        <v>15</v>
      </c>
      <c r="D17" s="1">
        <v>8</v>
      </c>
    </row>
    <row r="18" spans="1:4" ht="15.75">
      <c r="C18" s="1"/>
      <c r="D18" s="1"/>
    </row>
    <row r="19" spans="1:4" ht="15.75">
      <c r="C19" s="2" t="s">
        <v>16</v>
      </c>
      <c r="D19" s="1"/>
    </row>
    <row r="20" spans="1:4" ht="31.5">
      <c r="C20" s="5" t="s">
        <v>17</v>
      </c>
      <c r="D20" s="1"/>
    </row>
    <row r="21" spans="1:4" ht="63">
      <c r="C21" s="4" t="s">
        <v>18</v>
      </c>
      <c r="D21" s="1">
        <v>13</v>
      </c>
    </row>
    <row r="22" spans="1:4" ht="15.75">
      <c r="C22" s="1" t="s">
        <v>19</v>
      </c>
      <c r="D22" s="1">
        <v>13</v>
      </c>
    </row>
    <row r="23" spans="1:4" ht="15.75">
      <c r="C23" s="2" t="s">
        <v>20</v>
      </c>
      <c r="D23" s="1"/>
    </row>
    <row r="24" spans="1:4" ht="31.5">
      <c r="C24" s="4" t="s">
        <v>21</v>
      </c>
      <c r="D24" s="1">
        <v>13</v>
      </c>
    </row>
    <row r="25" spans="1:4" ht="31.5">
      <c r="C25" s="4" t="s">
        <v>22</v>
      </c>
      <c r="D25" s="1">
        <v>8</v>
      </c>
    </row>
    <row r="26" spans="1:4" ht="15.75">
      <c r="C26" s="4" t="s">
        <v>23</v>
      </c>
      <c r="D26" s="1">
        <v>10</v>
      </c>
    </row>
    <row r="27" spans="1:4" ht="47.25">
      <c r="C27" s="4" t="s">
        <v>24</v>
      </c>
      <c r="D27" s="1">
        <v>8</v>
      </c>
    </row>
    <row r="28" spans="1:4" ht="15.75">
      <c r="C28" s="4"/>
      <c r="D28" s="1"/>
    </row>
    <row r="29" spans="1:4" ht="31.5">
      <c r="C29" s="5" t="s">
        <v>25</v>
      </c>
      <c r="D29" s="1"/>
    </row>
    <row r="30" spans="1:4" ht="15.75">
      <c r="C30" s="4" t="s">
        <v>26</v>
      </c>
      <c r="D30" s="1">
        <v>18</v>
      </c>
    </row>
    <row r="31" spans="1:4" ht="31.5">
      <c r="C31" s="4" t="s">
        <v>27</v>
      </c>
      <c r="D31" s="1">
        <v>13</v>
      </c>
    </row>
    <row r="32" spans="1:4" ht="15.75">
      <c r="C32" s="4" t="s">
        <v>28</v>
      </c>
      <c r="D32" s="1">
        <v>18</v>
      </c>
    </row>
    <row r="33" spans="3:4" ht="15.75">
      <c r="C33" s="4" t="s">
        <v>29</v>
      </c>
      <c r="D33" s="1">
        <v>18</v>
      </c>
    </row>
    <row r="34" spans="3:4" ht="15.75">
      <c r="C34" s="4"/>
      <c r="D34" s="1"/>
    </row>
    <row r="35" spans="3:4" ht="31.5">
      <c r="C35" s="5" t="s">
        <v>30</v>
      </c>
      <c r="D35" s="1"/>
    </row>
    <row r="36" spans="3:4" ht="15.75">
      <c r="C36" s="4" t="s">
        <v>31</v>
      </c>
      <c r="D36" s="1">
        <v>25</v>
      </c>
    </row>
    <row r="37" spans="3:4" ht="31.5">
      <c r="C37" s="4" t="s">
        <v>32</v>
      </c>
      <c r="D37" s="1">
        <v>25</v>
      </c>
    </row>
    <row r="38" spans="3:4" ht="15.75">
      <c r="C38" s="4" t="s">
        <v>33</v>
      </c>
      <c r="D38" s="1">
        <v>25</v>
      </c>
    </row>
    <row r="39" spans="3:4" ht="15.75">
      <c r="C39" s="4" t="s">
        <v>34</v>
      </c>
      <c r="D39" s="1">
        <v>25</v>
      </c>
    </row>
    <row r="40" spans="3:4" ht="15.75">
      <c r="C40" s="4" t="s">
        <v>35</v>
      </c>
      <c r="D40" s="1">
        <v>30</v>
      </c>
    </row>
    <row r="41" spans="3:4" ht="15.75">
      <c r="C41" s="4" t="s">
        <v>36</v>
      </c>
      <c r="D41" s="1">
        <v>30</v>
      </c>
    </row>
    <row r="42" spans="3:4" ht="31.5">
      <c r="C42" s="4" t="s">
        <v>37</v>
      </c>
      <c r="D42" s="1">
        <v>8</v>
      </c>
    </row>
    <row r="43" spans="3:4" ht="15.75">
      <c r="C43" s="4" t="s">
        <v>38</v>
      </c>
      <c r="D43" s="1">
        <v>8</v>
      </c>
    </row>
    <row r="44" spans="3:4" ht="15.75">
      <c r="C44" s="4"/>
      <c r="D44" s="1"/>
    </row>
    <row r="45" spans="3:4" ht="31.5">
      <c r="C45" s="5" t="s">
        <v>39</v>
      </c>
      <c r="D45" s="1"/>
    </row>
    <row r="46" spans="3:4" ht="15.75">
      <c r="C46" s="4" t="s">
        <v>40</v>
      </c>
      <c r="D46" s="1">
        <v>40</v>
      </c>
    </row>
    <row r="47" spans="3:4" ht="15.75">
      <c r="C47" s="4" t="s">
        <v>41</v>
      </c>
      <c r="D47" s="1">
        <v>40</v>
      </c>
    </row>
    <row r="48" spans="3:4" ht="15.75">
      <c r="C48" s="4" t="s">
        <v>42</v>
      </c>
      <c r="D48" s="1">
        <v>40</v>
      </c>
    </row>
    <row r="49" spans="3:4" ht="15.75">
      <c r="C49" s="4" t="s">
        <v>43</v>
      </c>
      <c r="D49" s="1">
        <v>40</v>
      </c>
    </row>
    <row r="50" spans="3:4" ht="15.75">
      <c r="C50" s="4" t="s">
        <v>44</v>
      </c>
      <c r="D50" s="1">
        <v>22</v>
      </c>
    </row>
    <row r="51" spans="3:4" ht="15.75">
      <c r="C51" s="4" t="s">
        <v>45</v>
      </c>
      <c r="D51" s="1">
        <v>35</v>
      </c>
    </row>
    <row r="52" spans="3:4" ht="15.75">
      <c r="C52" s="4" t="s">
        <v>46</v>
      </c>
      <c r="D52" s="1">
        <v>30</v>
      </c>
    </row>
    <row r="53" spans="3:4" ht="15.75">
      <c r="C53" s="4" t="s">
        <v>47</v>
      </c>
      <c r="D53" s="1">
        <v>30</v>
      </c>
    </row>
    <row r="54" spans="3:4" ht="15.75">
      <c r="C54" s="4"/>
      <c r="D54" s="1"/>
    </row>
    <row r="55" spans="3:4" ht="31.5">
      <c r="C55" s="5" t="s">
        <v>39</v>
      </c>
      <c r="D55" s="1"/>
    </row>
    <row r="56" spans="3:4" ht="15.75">
      <c r="C56" s="4" t="s">
        <v>48</v>
      </c>
      <c r="D56" s="1">
        <v>20</v>
      </c>
    </row>
    <row r="57" spans="3:4" ht="15.75">
      <c r="C57" s="4" t="s">
        <v>49</v>
      </c>
      <c r="D57" s="1">
        <v>20</v>
      </c>
    </row>
    <row r="58" spans="3:4" ht="15.75">
      <c r="C58" s="4" t="s">
        <v>50</v>
      </c>
      <c r="D58" s="1">
        <v>20</v>
      </c>
    </row>
    <row r="59" spans="3:4" ht="15.75">
      <c r="C59" s="4" t="s">
        <v>51</v>
      </c>
      <c r="D59" s="1">
        <v>20</v>
      </c>
    </row>
    <row r="60" spans="3:4" ht="15.75">
      <c r="C60" s="4" t="s">
        <v>52</v>
      </c>
      <c r="D60" s="1">
        <v>25</v>
      </c>
    </row>
    <row r="61" spans="3:4" ht="15.75">
      <c r="C61" s="4"/>
      <c r="D61" s="1"/>
    </row>
    <row r="62" spans="3:4" ht="31.5">
      <c r="C62" s="5" t="s">
        <v>53</v>
      </c>
      <c r="D62" s="1"/>
    </row>
    <row r="63" spans="3:4" ht="15.75">
      <c r="C63" s="4" t="s">
        <v>54</v>
      </c>
      <c r="D63" s="1">
        <v>40</v>
      </c>
    </row>
    <row r="64" spans="3:4" ht="15.75">
      <c r="C64" s="4" t="s">
        <v>55</v>
      </c>
      <c r="D64" s="1">
        <v>40</v>
      </c>
    </row>
    <row r="65" spans="3:4" ht="15.75">
      <c r="C65" s="4" t="s">
        <v>56</v>
      </c>
      <c r="D65" s="1">
        <v>40</v>
      </c>
    </row>
    <row r="66" spans="3:4" ht="15.75">
      <c r="C66" s="4" t="s">
        <v>57</v>
      </c>
      <c r="D66" s="1">
        <v>40</v>
      </c>
    </row>
    <row r="67" spans="3:4" ht="15.75">
      <c r="C67" s="4" t="s">
        <v>58</v>
      </c>
      <c r="D67" s="1">
        <v>40</v>
      </c>
    </row>
    <row r="68" spans="3:4" ht="15.75">
      <c r="C68" s="4" t="s">
        <v>59</v>
      </c>
      <c r="D68" s="1">
        <v>40</v>
      </c>
    </row>
    <row r="69" spans="3:4" ht="15.75">
      <c r="C69" s="4" t="s">
        <v>60</v>
      </c>
      <c r="D69" s="1">
        <v>40</v>
      </c>
    </row>
    <row r="70" spans="3:4" ht="15.75">
      <c r="C70" s="4" t="s">
        <v>61</v>
      </c>
      <c r="D70" s="1">
        <v>30</v>
      </c>
    </row>
    <row r="71" spans="3:4" ht="15.75">
      <c r="C71" s="4" t="s">
        <v>62</v>
      </c>
      <c r="D71" s="1">
        <v>30</v>
      </c>
    </row>
    <row r="72" spans="3:4" ht="15.75">
      <c r="C72" s="4" t="s">
        <v>63</v>
      </c>
      <c r="D72" s="1">
        <v>30</v>
      </c>
    </row>
    <row r="73" spans="3:4" ht="15.75">
      <c r="C73" s="4" t="s">
        <v>64</v>
      </c>
      <c r="D73" s="1">
        <v>30</v>
      </c>
    </row>
    <row r="74" spans="3:4" ht="15.75">
      <c r="C74" s="4" t="s">
        <v>65</v>
      </c>
      <c r="D74" s="1">
        <v>25</v>
      </c>
    </row>
    <row r="75" spans="3:4" ht="15.75">
      <c r="C75" s="4" t="s">
        <v>66</v>
      </c>
      <c r="D75" s="1">
        <v>25</v>
      </c>
    </row>
    <row r="76" spans="3:4" ht="15.75">
      <c r="C76" s="4"/>
      <c r="D76" s="1"/>
    </row>
    <row r="77" spans="3:4" ht="31.5">
      <c r="C77" s="5" t="s">
        <v>67</v>
      </c>
      <c r="D77" s="1"/>
    </row>
    <row r="78" spans="3:4" ht="47.25">
      <c r="C78" s="4" t="s">
        <v>68</v>
      </c>
      <c r="D78" s="1">
        <v>13</v>
      </c>
    </row>
    <row r="79" spans="3:4" ht="15.75">
      <c r="C79" s="4" t="s">
        <v>69</v>
      </c>
      <c r="D79" s="1">
        <v>15</v>
      </c>
    </row>
    <row r="80" spans="3:4" ht="15.75">
      <c r="C80" s="4"/>
      <c r="D80" s="1"/>
    </row>
    <row r="81" spans="3:4" ht="31.5">
      <c r="C81" s="5" t="s">
        <v>70</v>
      </c>
      <c r="D81" s="1"/>
    </row>
    <row r="82" spans="3:4" ht="15.75">
      <c r="C82" s="4" t="s">
        <v>71</v>
      </c>
      <c r="D82" s="1">
        <v>20</v>
      </c>
    </row>
    <row r="83" spans="3:4" ht="15.75">
      <c r="C83" s="4" t="s">
        <v>72</v>
      </c>
      <c r="D83" s="1">
        <v>20</v>
      </c>
    </row>
    <row r="84" spans="3:4" ht="15.75">
      <c r="C84" s="4" t="s">
        <v>73</v>
      </c>
      <c r="D84" s="1">
        <v>20</v>
      </c>
    </row>
    <row r="85" spans="3:4" ht="15.75">
      <c r="C85" s="4" t="s">
        <v>74</v>
      </c>
      <c r="D85" s="1">
        <v>20</v>
      </c>
    </row>
    <row r="86" spans="3:4" ht="15.75">
      <c r="C86" s="4"/>
      <c r="D86" s="1"/>
    </row>
    <row r="87" spans="3:4" ht="15.75">
      <c r="C87" s="5" t="s">
        <v>75</v>
      </c>
      <c r="D87" s="1"/>
    </row>
    <row r="88" spans="3:4" ht="31.5">
      <c r="C88" s="4" t="s">
        <v>76</v>
      </c>
      <c r="D88" s="1">
        <v>12</v>
      </c>
    </row>
    <row r="89" spans="3:4" ht="15.75">
      <c r="C89" s="4" t="s">
        <v>77</v>
      </c>
      <c r="D89" s="1"/>
    </row>
    <row r="90" spans="3:4" ht="15.75">
      <c r="C90" s="4" t="s">
        <v>78</v>
      </c>
      <c r="D90" s="1">
        <v>20</v>
      </c>
    </row>
    <row r="91" spans="3:4" ht="15.75">
      <c r="C91" s="4" t="s">
        <v>79</v>
      </c>
      <c r="D91" s="1">
        <v>15</v>
      </c>
    </row>
    <row r="92" spans="3:4" ht="15.75">
      <c r="C92" s="4" t="s">
        <v>80</v>
      </c>
      <c r="D92" s="1">
        <v>10</v>
      </c>
    </row>
    <row r="93" spans="3:4" ht="15.75">
      <c r="C93" s="4" t="s">
        <v>81</v>
      </c>
      <c r="D93" s="1">
        <v>9</v>
      </c>
    </row>
    <row r="94" spans="3:4" ht="31.5">
      <c r="C94" s="4" t="s">
        <v>82</v>
      </c>
      <c r="D94" s="1">
        <v>12</v>
      </c>
    </row>
    <row r="95" spans="3:4" ht="15.75">
      <c r="C95" s="4"/>
      <c r="D95" s="1"/>
    </row>
    <row r="96" spans="3:4" ht="15.75">
      <c r="C96" s="5" t="s">
        <v>83</v>
      </c>
      <c r="D96" s="1">
        <v>15</v>
      </c>
    </row>
    <row r="98" spans="3:4" ht="15.75">
      <c r="C98" s="4" t="s">
        <v>84</v>
      </c>
      <c r="D98" s="1">
        <v>10</v>
      </c>
    </row>
    <row r="99" spans="3:4" ht="78.75">
      <c r="C99" s="6" t="s">
        <v>85</v>
      </c>
      <c r="D99" s="1">
        <v>8</v>
      </c>
    </row>
    <row r="100" spans="3:4" ht="15.75">
      <c r="C100" s="6"/>
      <c r="D100" s="1"/>
    </row>
    <row r="101" spans="3:4" ht="15.75">
      <c r="C101" s="4" t="s">
        <v>86</v>
      </c>
      <c r="D101" s="1">
        <v>10</v>
      </c>
    </row>
    <row r="102" spans="3:4" ht="31.5">
      <c r="C102" s="4" t="s">
        <v>87</v>
      </c>
      <c r="D102" s="1">
        <v>6</v>
      </c>
    </row>
    <row r="103" spans="3:4" ht="31.5">
      <c r="C103" s="4" t="s">
        <v>88</v>
      </c>
      <c r="D103" s="1">
        <v>8</v>
      </c>
    </row>
    <row r="104" spans="3:4" ht="15.75">
      <c r="C104" s="4" t="s">
        <v>89</v>
      </c>
      <c r="D104" s="1">
        <v>8</v>
      </c>
    </row>
    <row r="105" spans="3:4" ht="31.5">
      <c r="C105" s="4" t="s">
        <v>90</v>
      </c>
      <c r="D105" s="1">
        <v>8</v>
      </c>
    </row>
    <row r="107" spans="3:4" ht="15.75">
      <c r="C107" s="5" t="s">
        <v>91</v>
      </c>
      <c r="D107" s="1"/>
    </row>
    <row r="108" spans="3:4" ht="15.75">
      <c r="C108" s="4" t="s">
        <v>92</v>
      </c>
      <c r="D108" s="1">
        <v>25</v>
      </c>
    </row>
    <row r="109" spans="3:4" ht="31.5">
      <c r="C109" s="7" t="s">
        <v>93</v>
      </c>
      <c r="D109" s="1">
        <v>20</v>
      </c>
    </row>
    <row r="110" spans="3:4" ht="15.75">
      <c r="C110" s="4" t="s">
        <v>94</v>
      </c>
      <c r="D110" s="1"/>
    </row>
    <row r="111" spans="3:4" ht="15.75">
      <c r="C111" s="4" t="s">
        <v>95</v>
      </c>
      <c r="D111" s="1">
        <v>25</v>
      </c>
    </row>
    <row r="112" spans="3:4" ht="15.75">
      <c r="C112" s="4" t="s">
        <v>96</v>
      </c>
      <c r="D112" s="1">
        <v>20</v>
      </c>
    </row>
    <row r="113" spans="3:4" ht="15.75">
      <c r="C113" s="4" t="s">
        <v>97</v>
      </c>
      <c r="D113" s="1">
        <v>30</v>
      </c>
    </row>
    <row r="114" spans="3:4" ht="31.5">
      <c r="C114" s="4" t="s">
        <v>98</v>
      </c>
      <c r="D114" s="1">
        <v>30</v>
      </c>
    </row>
    <row r="115" spans="3:4" ht="15.75">
      <c r="C115" s="4" t="s">
        <v>99</v>
      </c>
      <c r="D115" s="1">
        <v>30</v>
      </c>
    </row>
    <row r="116" spans="3:4" ht="15.75">
      <c r="C116" s="4" t="s">
        <v>100</v>
      </c>
      <c r="D116" s="1">
        <v>20</v>
      </c>
    </row>
    <row r="117" spans="3:4" ht="15.75">
      <c r="C117" s="3" t="s">
        <v>101</v>
      </c>
      <c r="D117" s="1">
        <v>20</v>
      </c>
    </row>
    <row r="118" spans="3:4" ht="15.75">
      <c r="C118" s="4" t="s">
        <v>102</v>
      </c>
      <c r="D118" s="1">
        <v>25</v>
      </c>
    </row>
    <row r="119" spans="3:4" ht="15.75">
      <c r="C119" s="4" t="s">
        <v>103</v>
      </c>
      <c r="D119" s="1">
        <v>15</v>
      </c>
    </row>
    <row r="120" spans="3:4" ht="15.75">
      <c r="C120" s="4" t="s">
        <v>104</v>
      </c>
      <c r="D120" s="1">
        <v>10</v>
      </c>
    </row>
    <row r="121" spans="3:4" ht="31.5">
      <c r="C121" s="4" t="s">
        <v>105</v>
      </c>
      <c r="D121" s="1">
        <v>14</v>
      </c>
    </row>
    <row r="122" spans="3:4" ht="15.75">
      <c r="C122" s="5" t="s">
        <v>106</v>
      </c>
      <c r="D122" s="1"/>
    </row>
    <row r="123" spans="3:4" ht="15.75">
      <c r="C123" s="4" t="s">
        <v>107</v>
      </c>
      <c r="D123" s="1">
        <v>13</v>
      </c>
    </row>
    <row r="124" spans="3:4" ht="15.75">
      <c r="C124" s="4" t="s">
        <v>108</v>
      </c>
      <c r="D124" s="1">
        <v>28</v>
      </c>
    </row>
    <row r="127" spans="3:4" ht="15.75">
      <c r="C127" s="8" t="s">
        <v>109</v>
      </c>
      <c r="D127" s="1">
        <v>6</v>
      </c>
    </row>
    <row r="128" spans="3:4" ht="15.75">
      <c r="C128" s="8" t="s">
        <v>110</v>
      </c>
      <c r="D128" s="1">
        <v>3</v>
      </c>
    </row>
    <row r="130" spans="3:4" ht="15.75">
      <c r="C130" s="8" t="s">
        <v>111</v>
      </c>
      <c r="D130" s="1">
        <v>10</v>
      </c>
    </row>
    <row r="131" spans="3:4" ht="15.75">
      <c r="C131" s="9" t="s">
        <v>112</v>
      </c>
      <c r="D131" s="1">
        <v>5</v>
      </c>
    </row>
    <row r="133" spans="3:4" ht="15.75">
      <c r="C133" s="9" t="s">
        <v>130</v>
      </c>
      <c r="D133" s="1">
        <v>10</v>
      </c>
    </row>
    <row r="134" spans="3:4" ht="15.75">
      <c r="C134" s="9"/>
      <c r="D134" s="1"/>
    </row>
    <row r="135" spans="3:4" ht="15.75">
      <c r="C135" s="9" t="s">
        <v>132</v>
      </c>
      <c r="D135" s="1">
        <v>15</v>
      </c>
    </row>
    <row r="137" spans="3:4" ht="15.75">
      <c r="C137" s="9" t="s">
        <v>125</v>
      </c>
      <c r="D137" s="1">
        <v>20</v>
      </c>
    </row>
    <row r="138" spans="3:4" ht="15.75">
      <c r="D138" s="1"/>
    </row>
    <row r="139" spans="3:4" ht="15.75">
      <c r="C139" s="9" t="s">
        <v>126</v>
      </c>
      <c r="D139" s="1">
        <v>15</v>
      </c>
    </row>
    <row r="140" spans="3:4" ht="15.75">
      <c r="D140" s="1"/>
    </row>
    <row r="141" spans="3:4" ht="15.75">
      <c r="C141" s="9" t="s">
        <v>127</v>
      </c>
      <c r="D141" s="1">
        <v>15</v>
      </c>
    </row>
    <row r="142" spans="3:4" ht="15.75">
      <c r="D142" s="1"/>
    </row>
    <row r="143" spans="3:4" ht="15.75">
      <c r="C143" s="9" t="s">
        <v>128</v>
      </c>
      <c r="D143" s="1">
        <v>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17</vt:i4>
      </vt:variant>
    </vt:vector>
  </HeadingPairs>
  <TitlesOfParts>
    <vt:vector size="25" baseType="lpstr">
      <vt:lpstr>Sheet1</vt:lpstr>
      <vt:lpstr>WDV</vt:lpstr>
      <vt:lpstr>WDV_Additions</vt:lpstr>
      <vt:lpstr>SLM</vt:lpstr>
      <vt:lpstr>SLM_Additions</vt:lpstr>
      <vt:lpstr>Summary</vt:lpstr>
      <vt:lpstr>Direct WDV</vt:lpstr>
      <vt:lpstr>Sch II</vt:lpstr>
      <vt:lpstr>Aircrafts.Helicopters</vt:lpstr>
      <vt:lpstr>asset</vt:lpstr>
      <vt:lpstr>Bridges.culverts.bunkers</vt:lpstr>
      <vt:lpstr>Buildings</vt:lpstr>
      <vt:lpstr>Computers.data.processing.units</vt:lpstr>
      <vt:lpstr>ElectricalInstallations.Equipment</vt:lpstr>
      <vt:lpstr>Furniture.fittings</vt:lpstr>
      <vt:lpstr>Hydraulicwoks.pipelines.sluices</vt:lpstr>
      <vt:lpstr>Laboratory.equipment</vt:lpstr>
      <vt:lpstr>Motor.Vehicles</vt:lpstr>
      <vt:lpstr>Office.equipments</vt:lpstr>
      <vt:lpstr>Plant.Machinery</vt:lpstr>
      <vt:lpstr>Railway.siding</vt:lpstr>
      <vt:lpstr>Roads</vt:lpstr>
      <vt:lpstr>Ropeway.structures</vt:lpstr>
      <vt:lpstr>Ships</vt:lpstr>
      <vt:lpstr>WDV</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Jain</dc:creator>
  <cp:lastModifiedBy>garima</cp:lastModifiedBy>
  <cp:lastPrinted>2015-06-30T06:27:13Z</cp:lastPrinted>
  <dcterms:created xsi:type="dcterms:W3CDTF">2015-06-27T18:53:27Z</dcterms:created>
  <dcterms:modified xsi:type="dcterms:W3CDTF">2015-09-21T10:30:40Z</dcterms:modified>
</cp:coreProperties>
</file>