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2120" windowHeight="8130" tabRatio="847" firstSheet="2" activeTab="2"/>
  </bookViews>
  <sheets>
    <sheet name="Long term provisions" sheetId="1" state="hidden" r:id="rId1"/>
    <sheet name="FIXEd ASSETS" sheetId="2" state="hidden" r:id="rId2"/>
    <sheet name="F. A" sheetId="3" r:id="rId3"/>
    <sheet name="List T R" sheetId="4" state="hidden" r:id="rId4"/>
    <sheet name="R&amp;P &amp; Tele Exp" sheetId="5" state="hidden" r:id="rId5"/>
    <sheet name="DTA" sheetId="6" state="hidden" r:id="rId6"/>
    <sheet name="Compu" sheetId="7" state="hidden" r:id="rId7"/>
    <sheet name="Sheet1" sheetId="8" state="hidden" r:id="rId8"/>
    <sheet name="Sheet2" sheetId="9" state="hidden" r:id="rId9"/>
  </sheets>
  <definedNames>
    <definedName name="a" comment="gfagfagfj" localSheetId="7">Sheet1!$D$14</definedName>
    <definedName name="METHOD">Sheet2!$A$4:$A$5</definedName>
    <definedName name="_xlnm.Print_Area" localSheetId="6">Compu!$A$2:$C$34</definedName>
    <definedName name="_xlnm.Print_Area" localSheetId="5">DTA!$A$1:$B$17</definedName>
    <definedName name="_xlnm.Print_Area" localSheetId="2">'F. A'!$A$1:$AB$53</definedName>
    <definedName name="_xlnm.Print_Area" localSheetId="1">'FIXEd ASSETS'!$C$1:$N$62</definedName>
    <definedName name="_xlnm.Print_Area" localSheetId="3">'List T R'!$A$1:$E$161</definedName>
    <definedName name="_xlnm.Print_Area" localSheetId="0">'Long term provisions'!$A$1:$E$13</definedName>
    <definedName name="_xlnm.Print_Area" localSheetId="4">'R&amp;P &amp; Tele Exp'!$A$1:$F$54</definedName>
    <definedName name="_xlnm.Print_Area" localSheetId="7">Sheet1!$A$1:$C$18</definedName>
    <definedName name="_xlnm.Print_Titles" localSheetId="3">'List T R'!$3:$4</definedName>
    <definedName name="scheduleii">Sheet1!$A$4:$A$18</definedName>
    <definedName name="sfhsafha">Sheet1!$A$12</definedName>
    <definedName name="vehicle" localSheetId="7">Sheet1!$A$12</definedName>
    <definedName name="vivek">Sheet1!$A$12:$A$15</definedName>
    <definedName name="Z_87824C19_B10C_495C_99E6_C6D53A8CE673_.wvu.Cols" localSheetId="2" hidden="1">'F. A'!$A:$B</definedName>
    <definedName name="Z_87824C19_B10C_495C_99E6_C6D53A8CE673_.wvu.Cols" localSheetId="1" hidden="1">'FIXEd ASSETS'!$A:$B</definedName>
    <definedName name="Z_87824C19_B10C_495C_99E6_C6D53A8CE673_.wvu.Cols" localSheetId="4" hidden="1">'R&amp;P &amp; Tele Exp'!$F:$F</definedName>
    <definedName name="Z_87824C19_B10C_495C_99E6_C6D53A8CE673_.wvu.PrintArea" localSheetId="6" hidden="1">Compu!$A$2:$C$34</definedName>
    <definedName name="Z_87824C19_B10C_495C_99E6_C6D53A8CE673_.wvu.PrintArea" localSheetId="5" hidden="1">DTA!$A$1:$B$17</definedName>
    <definedName name="Z_87824C19_B10C_495C_99E6_C6D53A8CE673_.wvu.PrintArea" localSheetId="2" hidden="1">'F. A'!$A$1:$AB$53</definedName>
    <definedName name="Z_87824C19_B10C_495C_99E6_C6D53A8CE673_.wvu.PrintArea" localSheetId="1" hidden="1">'FIXEd ASSETS'!$C$1:$N$62</definedName>
    <definedName name="Z_87824C19_B10C_495C_99E6_C6D53A8CE673_.wvu.PrintArea" localSheetId="3" hidden="1">'List T R'!$A$1:$E$161</definedName>
    <definedName name="Z_87824C19_B10C_495C_99E6_C6D53A8CE673_.wvu.PrintArea" localSheetId="0" hidden="1">'Long term provisions'!$A$1:$E$13</definedName>
    <definedName name="Z_87824C19_B10C_495C_99E6_C6D53A8CE673_.wvu.PrintArea" localSheetId="4" hidden="1">'R&amp;P &amp; Tele Exp'!$A$1:$F$54</definedName>
    <definedName name="Z_87824C19_B10C_495C_99E6_C6D53A8CE673_.wvu.PrintTitles" localSheetId="3" hidden="1">'List T R'!$3:$4</definedName>
  </definedNames>
  <calcPr calcId="124519"/>
  <customWorkbookViews>
    <customWorkbookView name="admin - Personal View" guid="{87824C19-B10C-495C-99E6-C6D53A8CE673}" mergeInterval="0" personalView="1" maximized="1" xWindow="1" yWindow="1" windowWidth="1366" windowHeight="538" tabRatio="847" activeSheetId="3"/>
  </customWorkbookViews>
</workbook>
</file>

<file path=xl/calcChain.xml><?xml version="1.0" encoding="utf-8"?>
<calcChain xmlns="http://schemas.openxmlformats.org/spreadsheetml/2006/main">
  <c r="V40" i="3"/>
  <c r="V20"/>
  <c r="V17"/>
  <c r="AA51" l="1"/>
  <c r="AA43"/>
  <c r="AA41"/>
  <c r="V23"/>
  <c r="E8"/>
  <c r="E9" s="1"/>
  <c r="E10" s="1"/>
  <c r="E11" s="1"/>
  <c r="E12" s="1"/>
  <c r="E13" s="1"/>
  <c r="E14" s="1"/>
  <c r="E18" s="1"/>
  <c r="E19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E37" s="1"/>
  <c r="E38" s="1"/>
  <c r="E39" s="1"/>
  <c r="F39" s="1"/>
  <c r="V39" s="1"/>
  <c r="J1"/>
  <c r="F9" l="1"/>
  <c r="F13"/>
  <c r="F24"/>
  <c r="V24" s="1"/>
  <c r="F28"/>
  <c r="V28" s="1"/>
  <c r="F32"/>
  <c r="V32" s="1"/>
  <c r="F36"/>
  <c r="V36" s="1"/>
  <c r="F10"/>
  <c r="F14"/>
  <c r="V14" s="1"/>
  <c r="F25"/>
  <c r="V25" s="1"/>
  <c r="F29"/>
  <c r="V29" s="1"/>
  <c r="F33"/>
  <c r="V33" s="1"/>
  <c r="F37"/>
  <c r="V37" s="1"/>
  <c r="F11"/>
  <c r="F18"/>
  <c r="V18" s="1"/>
  <c r="F26"/>
  <c r="V26" s="1"/>
  <c r="F30"/>
  <c r="V30" s="1"/>
  <c r="F34"/>
  <c r="V34" s="1"/>
  <c r="F38"/>
  <c r="V38" s="1"/>
  <c r="F8"/>
  <c r="F12"/>
  <c r="F19"/>
  <c r="V19" s="1"/>
  <c r="F27"/>
  <c r="V27" s="1"/>
  <c r="F31"/>
  <c r="V31" s="1"/>
  <c r="F35"/>
  <c r="V35" s="1"/>
  <c r="T12"/>
  <c r="M12"/>
  <c r="L12"/>
  <c r="K12"/>
  <c r="M39"/>
  <c r="M38"/>
  <c r="M37"/>
  <c r="M36"/>
  <c r="M35"/>
  <c r="M34"/>
  <c r="M33"/>
  <c r="M32"/>
  <c r="M31"/>
  <c r="M30"/>
  <c r="M29"/>
  <c r="M28"/>
  <c r="M27"/>
  <c r="M26"/>
  <c r="M25"/>
  <c r="M24"/>
  <c r="M19"/>
  <c r="M18"/>
  <c r="M14"/>
  <c r="M13"/>
  <c r="M11"/>
  <c r="M10"/>
  <c r="M9"/>
  <c r="M8"/>
  <c r="T24"/>
  <c r="L24"/>
  <c r="K24"/>
  <c r="T19"/>
  <c r="L19"/>
  <c r="K19"/>
  <c r="T18"/>
  <c r="L18"/>
  <c r="K18"/>
  <c r="L14"/>
  <c r="N20"/>
  <c r="L39"/>
  <c r="L38"/>
  <c r="L37"/>
  <c r="L36"/>
  <c r="L35"/>
  <c r="L34"/>
  <c r="L33"/>
  <c r="L32"/>
  <c r="L31"/>
  <c r="L30"/>
  <c r="L29"/>
  <c r="L28"/>
  <c r="L27"/>
  <c r="L26"/>
  <c r="L25"/>
  <c r="L11"/>
  <c r="L10"/>
  <c r="L9"/>
  <c r="L8"/>
  <c r="K39"/>
  <c r="K38"/>
  <c r="K37"/>
  <c r="K36"/>
  <c r="K35"/>
  <c r="K34"/>
  <c r="K33"/>
  <c r="K32"/>
  <c r="K31"/>
  <c r="K30"/>
  <c r="K29"/>
  <c r="K28"/>
  <c r="K27"/>
  <c r="K26"/>
  <c r="K25"/>
  <c r="K14"/>
  <c r="K11"/>
  <c r="K10"/>
  <c r="K9"/>
  <c r="K8"/>
  <c r="K13"/>
  <c r="L13"/>
  <c r="B69" i="7"/>
  <c r="F68" s="1"/>
  <c r="E68"/>
  <c r="D68"/>
  <c r="D67"/>
  <c r="F67" s="1"/>
  <c r="E67" s="1"/>
  <c r="D63"/>
  <c r="F63" s="1"/>
  <c r="E63" s="1"/>
  <c r="F62"/>
  <c r="E62" s="1"/>
  <c r="D62"/>
  <c r="D61"/>
  <c r="B60"/>
  <c r="F59" s="1"/>
  <c r="E59"/>
  <c r="D59"/>
  <c r="D58"/>
  <c r="F58" s="1"/>
  <c r="E58" s="1"/>
  <c r="B56"/>
  <c r="B64" s="1"/>
  <c r="F55"/>
  <c r="E55" s="1"/>
  <c r="D55"/>
  <c r="D54"/>
  <c r="F54" s="1"/>
  <c r="E54" s="1"/>
  <c r="F53"/>
  <c r="E53" s="1"/>
  <c r="D53"/>
  <c r="V41" i="3" l="1"/>
  <c r="N24"/>
  <c r="N19"/>
  <c r="N18"/>
  <c r="N12"/>
  <c r="P12"/>
  <c r="P32"/>
  <c r="P30"/>
  <c r="P34"/>
  <c r="P26"/>
  <c r="P28"/>
  <c r="P38"/>
  <c r="P36"/>
  <c r="P19"/>
  <c r="D19" s="1"/>
  <c r="X19" s="1"/>
  <c r="Z19" s="1"/>
  <c r="P24"/>
  <c r="D24" s="1"/>
  <c r="P10"/>
  <c r="P27"/>
  <c r="P31"/>
  <c r="P35"/>
  <c r="P39"/>
  <c r="P25"/>
  <c r="P29"/>
  <c r="P33"/>
  <c r="P37"/>
  <c r="P18"/>
  <c r="D18" s="1"/>
  <c r="P14"/>
  <c r="P9"/>
  <c r="P8"/>
  <c r="E56" i="7"/>
  <c r="F60"/>
  <c r="F61"/>
  <c r="E61" s="1"/>
  <c r="F56"/>
  <c r="P13" i="3"/>
  <c r="C47" i="7"/>
  <c r="I44"/>
  <c r="H44" s="1"/>
  <c r="J44" s="1"/>
  <c r="F44"/>
  <c r="G43"/>
  <c r="I43" s="1"/>
  <c r="F43"/>
  <c r="D12" i="3" l="1"/>
  <c r="X18"/>
  <c r="Z18" s="1"/>
  <c r="X24"/>
  <c r="Z24" s="1"/>
  <c r="G47" i="7"/>
  <c r="H43"/>
  <c r="J43"/>
  <c r="E60"/>
  <c r="F64"/>
  <c r="B33"/>
  <c r="B31"/>
  <c r="B16"/>
  <c r="B13"/>
  <c r="B12"/>
  <c r="B11"/>
  <c r="B10"/>
  <c r="V12" i="3" l="1"/>
  <c r="X12" s="1"/>
  <c r="Z12" s="1"/>
  <c r="E64" i="7"/>
  <c r="D42"/>
  <c r="B8"/>
  <c r="E42" l="1"/>
  <c r="F42" s="1"/>
  <c r="H42" s="1"/>
  <c r="J42" s="1"/>
  <c r="I42"/>
  <c r="B6"/>
  <c r="C4" l="1"/>
  <c r="B25" i="6"/>
  <c r="B23"/>
  <c r="B15"/>
  <c r="B5"/>
  <c r="E51" i="5"/>
  <c r="E50"/>
  <c r="E53" s="1"/>
  <c r="E44"/>
  <c r="E15"/>
  <c r="B17" i="6" l="1"/>
  <c r="D160" i="4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C116"/>
  <c r="E116" s="1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A9"/>
  <c r="C8"/>
  <c r="E8" s="1"/>
  <c r="A8"/>
  <c r="E7"/>
  <c r="A7"/>
  <c r="E6"/>
  <c r="E160" s="1"/>
  <c r="C160" l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Q71" i="3"/>
  <c r="Q63"/>
  <c r="Y49"/>
  <c r="X49"/>
  <c r="W49"/>
  <c r="U49"/>
  <c r="S49"/>
  <c r="Q49"/>
  <c r="V47"/>
  <c r="T47"/>
  <c r="V49" l="1"/>
  <c r="T49"/>
  <c r="Y41"/>
  <c r="W41"/>
  <c r="U41"/>
  <c r="S41"/>
  <c r="R41"/>
  <c r="Q41"/>
  <c r="Z40"/>
  <c r="T39"/>
  <c r="T38"/>
  <c r="T37"/>
  <c r="T36"/>
  <c r="T35"/>
  <c r="T34"/>
  <c r="T33"/>
  <c r="T32"/>
  <c r="T31"/>
  <c r="T30"/>
  <c r="T29"/>
  <c r="T28"/>
  <c r="T27"/>
  <c r="T26"/>
  <c r="T25"/>
  <c r="Z23"/>
  <c r="Z22"/>
  <c r="Y21"/>
  <c r="W21"/>
  <c r="S21"/>
  <c r="R21"/>
  <c r="Q21"/>
  <c r="Z20"/>
  <c r="Z17"/>
  <c r="Z16"/>
  <c r="W15"/>
  <c r="U15"/>
  <c r="S15"/>
  <c r="R15"/>
  <c r="Q15"/>
  <c r="N28" l="1"/>
  <c r="N32"/>
  <c r="N36"/>
  <c r="N25"/>
  <c r="N29"/>
  <c r="N33"/>
  <c r="N37"/>
  <c r="N26"/>
  <c r="N30"/>
  <c r="N34"/>
  <c r="N38"/>
  <c r="N27"/>
  <c r="N31"/>
  <c r="N35"/>
  <c r="N39"/>
  <c r="T41"/>
  <c r="W51"/>
  <c r="U51"/>
  <c r="S51"/>
  <c r="Q51"/>
  <c r="T21"/>
  <c r="D26"/>
  <c r="D32"/>
  <c r="D33"/>
  <c r="D34"/>
  <c r="D35"/>
  <c r="D36"/>
  <c r="D37"/>
  <c r="D38"/>
  <c r="D39"/>
  <c r="R51"/>
  <c r="Q43"/>
  <c r="S43"/>
  <c r="W43"/>
  <c r="D25"/>
  <c r="D27"/>
  <c r="D28"/>
  <c r="D29"/>
  <c r="D30"/>
  <c r="D31"/>
  <c r="R43"/>
  <c r="T14"/>
  <c r="T13"/>
  <c r="T11"/>
  <c r="T10"/>
  <c r="N11" l="1"/>
  <c r="N14"/>
  <c r="N10"/>
  <c r="D10" s="1"/>
  <c r="V10" s="1"/>
  <c r="D13"/>
  <c r="N13"/>
  <c r="D14"/>
  <c r="X14" s="1"/>
  <c r="Z14" s="1"/>
  <c r="P11"/>
  <c r="T9"/>
  <c r="N9" s="1"/>
  <c r="T8"/>
  <c r="V13" l="1"/>
  <c r="X13" s="1"/>
  <c r="Z13" s="1"/>
  <c r="N8"/>
  <c r="AE10"/>
  <c r="D11"/>
  <c r="V11" s="1"/>
  <c r="T15"/>
  <c r="T51" s="1"/>
  <c r="D9"/>
  <c r="V9" s="1"/>
  <c r="D96" i="2"/>
  <c r="D85"/>
  <c r="G84"/>
  <c r="F84"/>
  <c r="G83"/>
  <c r="F83"/>
  <c r="G79"/>
  <c r="F79"/>
  <c r="G78"/>
  <c r="F78"/>
  <c r="F77"/>
  <c r="J76"/>
  <c r="J77" s="1"/>
  <c r="G77" s="1"/>
  <c r="D8" i="3" l="1"/>
  <c r="V8" s="1"/>
  <c r="D76" i="2"/>
  <c r="G75" s="1"/>
  <c r="F75"/>
  <c r="F74"/>
  <c r="D72"/>
  <c r="D80" s="1"/>
  <c r="G71"/>
  <c r="F71"/>
  <c r="G70" s="1"/>
  <c r="F70"/>
  <c r="G69"/>
  <c r="G72" s="1"/>
  <c r="F69"/>
  <c r="N60"/>
  <c r="G74" l="1"/>
  <c r="G76" s="1"/>
  <c r="G80" s="1"/>
  <c r="Q72" i="3"/>
  <c r="X9"/>
  <c r="Z9" s="1"/>
  <c r="L58" i="2"/>
  <c r="J58"/>
  <c r="G58"/>
  <c r="F58"/>
  <c r="K56"/>
  <c r="K58" s="1"/>
  <c r="G56"/>
  <c r="K55"/>
  <c r="G55"/>
  <c r="N51"/>
  <c r="L49"/>
  <c r="L60" l="1"/>
  <c r="J49"/>
  <c r="H49"/>
  <c r="F49"/>
  <c r="E49"/>
  <c r="K47"/>
  <c r="G47"/>
  <c r="K46"/>
  <c r="G46"/>
  <c r="K45"/>
  <c r="G45"/>
  <c r="K44"/>
  <c r="G44"/>
  <c r="K43"/>
  <c r="G43"/>
  <c r="K42"/>
  <c r="G42"/>
  <c r="K41"/>
  <c r="G41"/>
  <c r="I40"/>
  <c r="K40" s="1"/>
  <c r="G40"/>
  <c r="K39"/>
  <c r="G39"/>
  <c r="K38"/>
  <c r="G38"/>
  <c r="K37"/>
  <c r="G37"/>
  <c r="K36"/>
  <c r="G36"/>
  <c r="K35"/>
  <c r="G35"/>
  <c r="K34"/>
  <c r="G34"/>
  <c r="K32"/>
  <c r="G32"/>
  <c r="K31"/>
  <c r="G31"/>
  <c r="K30"/>
  <c r="I30"/>
  <c r="G30"/>
  <c r="I29"/>
  <c r="K29" s="1"/>
  <c r="G29"/>
  <c r="K28"/>
  <c r="I28"/>
  <c r="G28"/>
  <c r="K27"/>
  <c r="G27"/>
  <c r="K26"/>
  <c r="G26"/>
  <c r="K25"/>
  <c r="G25"/>
  <c r="K24"/>
  <c r="K49" s="1"/>
  <c r="G24"/>
  <c r="G49" s="1"/>
  <c r="L21"/>
  <c r="J21"/>
  <c r="G21"/>
  <c r="F21"/>
  <c r="E21"/>
  <c r="D21"/>
  <c r="K19"/>
  <c r="I19"/>
  <c r="G19"/>
  <c r="I18"/>
  <c r="K18" s="1"/>
  <c r="K21" s="1"/>
  <c r="G18"/>
  <c r="L15"/>
  <c r="E15"/>
  <c r="K13"/>
  <c r="G13"/>
  <c r="I12"/>
  <c r="K12" s="1"/>
  <c r="G12"/>
  <c r="K11"/>
  <c r="I11"/>
  <c r="G11"/>
  <c r="J10"/>
  <c r="G10" s="1"/>
  <c r="G15" s="1"/>
  <c r="F10"/>
  <c r="K9"/>
  <c r="G9"/>
  <c r="K8"/>
  <c r="I8"/>
  <c r="G8"/>
  <c r="D13" i="1"/>
  <c r="C13"/>
  <c r="K15" i="2" l="1"/>
  <c r="J15" s="1"/>
  <c r="G51"/>
  <c r="K10"/>
  <c r="D60"/>
  <c r="D51"/>
  <c r="M49" s="1"/>
  <c r="M51" s="1"/>
  <c r="I21"/>
  <c r="H51"/>
  <c r="H60"/>
  <c r="G60" s="1"/>
  <c r="E51"/>
  <c r="J60"/>
  <c r="M9"/>
  <c r="F15"/>
  <c r="F60" s="1"/>
  <c r="E60" s="1"/>
  <c r="L51"/>
  <c r="K51" s="1"/>
  <c r="J51" s="1"/>
  <c r="F51"/>
  <c r="X8" i="3"/>
  <c r="Z8" s="1"/>
  <c r="Q73"/>
  <c r="Q76" s="1"/>
  <c r="Y15" s="1"/>
  <c r="X29"/>
  <c r="Z29" s="1"/>
  <c r="X25"/>
  <c r="Z25" s="1"/>
  <c r="U43"/>
  <c r="T43"/>
  <c r="X26"/>
  <c r="Z26" s="1"/>
  <c r="X36"/>
  <c r="Z36" s="1"/>
  <c r="X34"/>
  <c r="Z34" s="1"/>
  <c r="X32"/>
  <c r="Z32" s="1"/>
  <c r="X11"/>
  <c r="Z11" s="1"/>
  <c r="X31"/>
  <c r="Z31" s="1"/>
  <c r="X37"/>
  <c r="Z37" s="1"/>
  <c r="X38"/>
  <c r="Z38" s="1"/>
  <c r="X35"/>
  <c r="Z35" s="1"/>
  <c r="X33"/>
  <c r="Z33" s="1"/>
  <c r="X27"/>
  <c r="Z27" s="1"/>
  <c r="X28"/>
  <c r="Z28" s="1"/>
  <c r="X30"/>
  <c r="Z30" s="1"/>
  <c r="X39"/>
  <c r="Z39" s="1"/>
  <c r="I60" i="2" l="1"/>
  <c r="I51"/>
  <c r="K60"/>
  <c r="Z41" i="3"/>
  <c r="X41"/>
  <c r="X21"/>
  <c r="Z21" s="1"/>
  <c r="V21"/>
  <c r="X10"/>
  <c r="Z10" s="1"/>
  <c r="V15"/>
  <c r="Y51"/>
  <c r="Y43"/>
  <c r="V43" l="1"/>
  <c r="V51" s="1"/>
  <c r="Z15"/>
  <c r="X15"/>
  <c r="Z43" l="1"/>
  <c r="Z51"/>
  <c r="X43"/>
  <c r="X51"/>
  <c r="D41" i="7"/>
  <c r="E41"/>
  <c r="F41"/>
  <c r="H41"/>
  <c r="I41"/>
  <c r="J41"/>
  <c r="F69"/>
  <c r="D45"/>
  <c r="E69"/>
  <c r="E45"/>
  <c r="F45"/>
  <c r="H45"/>
  <c r="I45"/>
  <c r="J45"/>
  <c r="J47"/>
  <c r="B6" i="6"/>
  <c r="B8"/>
  <c r="B10" s="1"/>
  <c r="G85" i="2"/>
  <c r="G87"/>
  <c r="D87"/>
  <c r="D97"/>
  <c r="D98"/>
  <c r="E71" i="7"/>
  <c r="B71"/>
  <c r="F71"/>
  <c r="C19"/>
  <c r="C21"/>
  <c r="C22"/>
  <c r="B28"/>
  <c r="B29"/>
  <c r="B30"/>
  <c r="B25"/>
  <c r="B26"/>
  <c r="I47"/>
  <c r="B17"/>
  <c r="B32"/>
  <c r="H47"/>
  <c r="D47"/>
  <c r="B34"/>
  <c r="F47"/>
  <c r="E47"/>
</calcChain>
</file>

<file path=xl/sharedStrings.xml><?xml version="1.0" encoding="utf-8"?>
<sst xmlns="http://schemas.openxmlformats.org/spreadsheetml/2006/main" count="488" uniqueCount="381">
  <si>
    <t>Gross Block</t>
  </si>
  <si>
    <t>Accumulated Depreciation</t>
  </si>
  <si>
    <t>Net Block</t>
  </si>
  <si>
    <t>On disposals</t>
  </si>
  <si>
    <t>`</t>
  </si>
  <si>
    <t>Vehicles</t>
  </si>
  <si>
    <t>Particulars</t>
  </si>
  <si>
    <t>Total</t>
  </si>
  <si>
    <t>(a) Provision for employee benefits</t>
  </si>
  <si>
    <t>Superannuation (unfunded)</t>
  </si>
  <si>
    <t>Gratuity (unfunded)</t>
  </si>
  <si>
    <t>Leave Encashment (unfunded)</t>
  </si>
  <si>
    <t>ESOP / ESOS</t>
  </si>
  <si>
    <t>As at 31 March 2011</t>
  </si>
  <si>
    <t>(d) Others (Specify nature)</t>
  </si>
  <si>
    <t>Others</t>
  </si>
  <si>
    <t>As at 31 March 2012</t>
  </si>
  <si>
    <t>Grand Total</t>
  </si>
  <si>
    <t>Depreciation for the year</t>
  </si>
  <si>
    <t>Note 2.5</t>
  </si>
  <si>
    <t>Long Term Provision</t>
  </si>
  <si>
    <t>Figures as at the end of previous reporting period</t>
  </si>
  <si>
    <t>S.NO.</t>
  </si>
  <si>
    <t>ACER INDIA PVT LTD</t>
  </si>
  <si>
    <t>ALA COMPUTERS  &amp; TECHNICAL SERVICES SALES</t>
  </si>
  <si>
    <t>AMAN ELECTRONIC</t>
  </si>
  <si>
    <t>ARIHANT POWERTRONICS</t>
  </si>
  <si>
    <t>CITY TEC SOLUTION</t>
  </si>
  <si>
    <t>CLASSIC NETWORK &amp; COMPUTERS</t>
  </si>
  <si>
    <t>COMPUTER BROTHERS</t>
  </si>
  <si>
    <t>CREATIVE INFOCOM-SALE</t>
  </si>
  <si>
    <t>CRUX COMPUTRONIX PVT. LTD SALES</t>
  </si>
  <si>
    <t>DELVE TECHNOLOGIES PVT. LTD</t>
  </si>
  <si>
    <t>DIGITAL INFO SOLUTION</t>
  </si>
  <si>
    <t>DIGITRONICS INFOSOLUTIONS PVT LTD-SALES</t>
  </si>
  <si>
    <t>FAIRDEAL ELECTRONICS</t>
  </si>
  <si>
    <t>FOUR SQAURE COMPUTER</t>
  </si>
  <si>
    <t>GENERATION NXT COMPMART PVT LTD-SALES</t>
  </si>
  <si>
    <t>GLOBAL INFOMATIC-SALE</t>
  </si>
  <si>
    <t>HI TECH COMPUTER SYSTEMS</t>
  </si>
  <si>
    <t>INSPIRED TECHNOLOGES PVT. LTD</t>
  </si>
  <si>
    <t>KOCHAR INFORMATICS-SALES</t>
  </si>
  <si>
    <t>LAPCOM PERIPHERALS  PVT.LTD</t>
  </si>
  <si>
    <t>MICRONIX INFOSOLUTION  LTD.-SALE</t>
  </si>
  <si>
    <t>MITTAL AGENCIES</t>
  </si>
  <si>
    <t>P.G.INFOTRACK</t>
  </si>
  <si>
    <t>PLATINUM COMPUTERS</t>
  </si>
  <si>
    <t>PRASAD COMPUTER WORLD SALES</t>
  </si>
  <si>
    <t>REAL COMPUTERS</t>
  </si>
  <si>
    <t>R R INFOTECH</t>
  </si>
  <si>
    <t>SVS INTERNATIONAL-SALES</t>
  </si>
  <si>
    <t>VIVID IT SOLUTIONS PVT. LTD.-SALE</t>
  </si>
  <si>
    <t>VS ENTERPRISES</t>
  </si>
  <si>
    <t>Amount</t>
  </si>
  <si>
    <t>S.No.</t>
  </si>
  <si>
    <t>Car Honda City VMT DL-4C-03</t>
  </si>
  <si>
    <t>Car Maruti Van DL-1LM-2950</t>
  </si>
  <si>
    <t>Car Santro Sl-8CJ-5874</t>
  </si>
  <si>
    <t>Scooter DL-8SAL-8351</t>
  </si>
  <si>
    <t>Scooter DL-8SAX-0863</t>
  </si>
  <si>
    <t>Plant &amp; Machinery</t>
  </si>
  <si>
    <t>Invertor Microtek</t>
  </si>
  <si>
    <t>UPS 3KVA</t>
  </si>
  <si>
    <t xml:space="preserve">Office Equipment </t>
  </si>
  <si>
    <t>Air Conditioner</t>
  </si>
  <si>
    <t>Camera Security (With DVR)</t>
  </si>
  <si>
    <t>Computers</t>
  </si>
  <si>
    <t>Computers Software</t>
  </si>
  <si>
    <t>Chair</t>
  </si>
  <si>
    <t>Digital Camera Sony DSC-W2</t>
  </si>
  <si>
    <t>EPABX System</t>
  </si>
  <si>
    <t>Mobile Phone</t>
  </si>
  <si>
    <t>Printer XEROX 3117</t>
  </si>
  <si>
    <t>Printer SAMSUNG  4521</t>
  </si>
  <si>
    <t>Scanner</t>
  </si>
  <si>
    <t>Server IBMX3200M</t>
  </si>
  <si>
    <t>Telephone</t>
  </si>
  <si>
    <t>Computer Laptop</t>
  </si>
  <si>
    <t>Gratuity</t>
  </si>
  <si>
    <t>Total Amount</t>
  </si>
  <si>
    <t>Previous year's Figures</t>
  </si>
  <si>
    <t>TOTAL (A)</t>
  </si>
  <si>
    <t>TOTAL (B)</t>
  </si>
  <si>
    <t>TOTAL (C )</t>
  </si>
  <si>
    <t xml:space="preserve"> Amount Less than 180 Days</t>
  </si>
  <si>
    <t>Amount More than 180 Days</t>
  </si>
  <si>
    <t>Intangible Assets</t>
  </si>
  <si>
    <t>TOTAL (D )</t>
  </si>
  <si>
    <t>Sub Total (A)+(B)+(C )</t>
  </si>
  <si>
    <t xml:space="preserve">Total </t>
  </si>
  <si>
    <t>TDS Software</t>
  </si>
  <si>
    <t>Printer Canon</t>
  </si>
  <si>
    <t>Car Swift</t>
  </si>
  <si>
    <t>Short &amp; Excess</t>
  </si>
  <si>
    <t>MOBILE EXPS-REIMBURSEMENT TO STAFF</t>
  </si>
  <si>
    <t>POSTAGE</t>
  </si>
  <si>
    <t>TELEPHONE EXP-25542194 JP</t>
  </si>
  <si>
    <t>TELEPHONE EXP-27343966</t>
  </si>
  <si>
    <t>TELEPHONE EXP.- 27344963</t>
  </si>
  <si>
    <t>TELEPHONE EXP.-27344966</t>
  </si>
  <si>
    <t>TELEPHONE EXP.-27348754</t>
  </si>
  <si>
    <t>TELEPHONE EXP.-27348844</t>
  </si>
  <si>
    <t>TELEPHONE EXP-Airtel 46516117(N.P.)</t>
  </si>
  <si>
    <t>TELEPHONE EXP.-AIRTEL-47501713(HU-65)</t>
  </si>
  <si>
    <t>TELEPHONE EXP.-AIRTEL-60614176 (QU-111)</t>
  </si>
  <si>
    <t>TELEPHONE EXP.-AIRTEL-99586-65001</t>
  </si>
  <si>
    <t>TELEPHONE EXP.-AIRTEL-99588-10526</t>
  </si>
  <si>
    <t>TELEPHONE EXP.-AIRTEL-99588-10662</t>
  </si>
  <si>
    <t>TELEPHONE EXP.-AIRTEL-99588-58664</t>
  </si>
  <si>
    <t>TELEPHONE EXPENSES-USA MATRIX</t>
  </si>
  <si>
    <t>TELEPHONE EXP-NEHRU PLACE-INTERCOM *058</t>
  </si>
  <si>
    <t>TELEPHONE EXP.-NEHRU PLACE-INTERCOM- *184</t>
  </si>
  <si>
    <t>TELEPHONE EXP.-RELIANCE-93112-65003/5/6/8</t>
  </si>
  <si>
    <t>TELEPHONE EXP.RELIANCE-93112-65010</t>
  </si>
  <si>
    <t>TELEPHONE-EXP -Reliance -93500-74996-Boad Band</t>
  </si>
  <si>
    <t>TELEPHONE EXP-TIKONA WI-BRO</t>
  </si>
  <si>
    <t>CAR  MAINTENANCE SANTRO DL 8C J 5874</t>
  </si>
  <si>
    <t>CAR MAINTENANCE SWIFT DL9C-AD 1984</t>
  </si>
  <si>
    <t>CAR MAINTENECE CITY HONDA DL-4C AN 0317</t>
  </si>
  <si>
    <t>SCOOTER MAINTENANCE DL-8S AX 0863</t>
  </si>
  <si>
    <t>VAN MAINTENANCE DL1LM 2950</t>
  </si>
  <si>
    <t>CAR MAINTENANCE</t>
  </si>
  <si>
    <t>Fixed Assets.</t>
  </si>
  <si>
    <t>WDV as per Company Act</t>
  </si>
  <si>
    <t>WDV as per I.T Act</t>
  </si>
  <si>
    <t>Difference</t>
  </si>
  <si>
    <t>DTA</t>
  </si>
  <si>
    <t>Total Provision Balance</t>
  </si>
  <si>
    <t>LEGEND COMPUTRONIX</t>
  </si>
  <si>
    <t>GAYATRI COMPUTERS</t>
  </si>
  <si>
    <t>UNIVERSAL COMPUTERS</t>
  </si>
  <si>
    <t>ADOBE INFOTECH</t>
  </si>
  <si>
    <t>COMPUTER VILLA</t>
  </si>
  <si>
    <t>DYNAMIC TECHNOLOGIES</t>
  </si>
  <si>
    <t>IT VISION</t>
  </si>
  <si>
    <t>SAI COMNET</t>
  </si>
  <si>
    <t>SHARDA COMPUTERS-SALE</t>
  </si>
  <si>
    <t>THE C2K COMPUTERS</t>
  </si>
  <si>
    <t>DEEPAK GUPTA</t>
  </si>
  <si>
    <t>ASHOKA COMPUTECH PVT. LTD</t>
  </si>
  <si>
    <t>DIGITECH INFOSYS</t>
  </si>
  <si>
    <t>ESAR INFO INTERNATIONAL</t>
  </si>
  <si>
    <t>INFRA NETWORK SOLUTIONS</t>
  </si>
  <si>
    <t>MICROTECH COMPUTERS</t>
  </si>
  <si>
    <t>QUARD 360 DEGREES TECHNOLOGIES PVT LTD</t>
  </si>
  <si>
    <t>RISHI COMPUTERS-SALE</t>
  </si>
  <si>
    <t>R.J. COMPUTERS</t>
  </si>
  <si>
    <t>SAN COMPUTECH PVT. LTD Np-Sale</t>
  </si>
  <si>
    <t>SILVER COMPUTERS</t>
  </si>
  <si>
    <t>SMART INFOWAYS P. LTD-SALE</t>
  </si>
  <si>
    <t>SRI SANCHIA COMPUTRONICS</t>
  </si>
  <si>
    <t>Tab Enterprise</t>
  </si>
  <si>
    <t>Ultimate Infotech Pvt. Ltd.</t>
  </si>
  <si>
    <t>WEBNET CONSULTANT PVT. LTD</t>
  </si>
  <si>
    <t>BETTER DEAL COMPUTERS</t>
  </si>
  <si>
    <t>HARI OM ELECTRONICS</t>
  </si>
  <si>
    <t>METRO MXXX TRADING COMPANY</t>
  </si>
  <si>
    <t>MICRO COMPUTERS-SALE</t>
  </si>
  <si>
    <t>SEAGUL INFOTECH</t>
  </si>
  <si>
    <t>UTKARSH INFOSOLUTIONS</t>
  </si>
  <si>
    <t>Group of Expenses Forming Part of Profit &amp; Loss Account as on 31.03.2013</t>
  </si>
  <si>
    <t>Group of Vehicle Running and Maintenance as on 31-03-2013</t>
  </si>
  <si>
    <t>Group of Miscellaneous Income as on 31-03-2013</t>
  </si>
  <si>
    <t>Maintenance Recd- Acer</t>
  </si>
  <si>
    <t>Figures as at the end of previous reporting period as at 31.03.2013</t>
  </si>
  <si>
    <t>Addition during the year 2013-14</t>
  </si>
  <si>
    <t>Tangible Assets</t>
  </si>
  <si>
    <t>Days</t>
  </si>
  <si>
    <t>Depreciation</t>
  </si>
  <si>
    <t>b. Booster KIT</t>
  </si>
  <si>
    <t>c. office fan</t>
  </si>
  <si>
    <t>a. MS online exchange</t>
  </si>
  <si>
    <t>Total Tangible Assets</t>
  </si>
  <si>
    <t>Total Intangible Assets</t>
  </si>
  <si>
    <t>Disposal During the year</t>
  </si>
  <si>
    <t>Name of Fixed assets sold</t>
  </si>
  <si>
    <t>CAR Santro DL 8CJ 5874</t>
  </si>
  <si>
    <t>Amount of sale</t>
  </si>
  <si>
    <t>WDV as at 01/04/2013</t>
  </si>
  <si>
    <t>Date of disposal</t>
  </si>
  <si>
    <t xml:space="preserve">Days </t>
  </si>
  <si>
    <t>Dep during 2013-14</t>
  </si>
  <si>
    <t>Profit/(loss) on sale</t>
  </si>
  <si>
    <t>Profit/(Loss) on sale of asset</t>
  </si>
  <si>
    <t>Booster KIT Mobile</t>
  </si>
  <si>
    <t>Office Fan</t>
  </si>
  <si>
    <t>Printer HP</t>
  </si>
  <si>
    <t>TVS Scanner</t>
  </si>
  <si>
    <t>Water Motor Pump</t>
  </si>
  <si>
    <t>Computer</t>
  </si>
  <si>
    <t>a. printer canon LBP2900</t>
  </si>
  <si>
    <t>b. Printer HP</t>
  </si>
  <si>
    <t>c. TVS Scanner</t>
  </si>
  <si>
    <t>d. Water Pump</t>
  </si>
  <si>
    <t>Note no.- 2.9- Fixed Assets</t>
  </si>
  <si>
    <t>WDV as on sale</t>
  </si>
  <si>
    <t>A3A INFOTECH PRIVATE LIMITED</t>
  </si>
  <si>
    <t>ACCESSIONS-SALE</t>
  </si>
  <si>
    <t>ADITYA TECHNOLOGIES(ROHINI)</t>
  </si>
  <si>
    <t>ADVANCE COMPUTERS SERVICES</t>
  </si>
  <si>
    <t>ADVANCE COMPUTRONIX</t>
  </si>
  <si>
    <t>AGGARWAL COMPUTRONIX</t>
  </si>
  <si>
    <t>ALDUS COMPUTERS</t>
  </si>
  <si>
    <t>A ONE COMPUTER SERVICES</t>
  </si>
  <si>
    <t>ARROW INFORMATICS PVT LTD</t>
  </si>
  <si>
    <t>ARROW PC NETWORK PVT LTD</t>
  </si>
  <si>
    <t>AVOSYS TECHNOLOGIES</t>
  </si>
  <si>
    <t>BEST HAWK INFOSYSTEMS PVT LTD</t>
  </si>
  <si>
    <t>BEST PRICE COMPUTERS</t>
  </si>
  <si>
    <t>BHAGWATI COMPUTERS&amp; PERIPHERALS SALES</t>
  </si>
  <si>
    <t>B.I. COMPUTERS</t>
  </si>
  <si>
    <t>BK ELECTRONICS</t>
  </si>
  <si>
    <t>BMS COMPUTER MART</t>
  </si>
  <si>
    <t>BRAINY BYTE INFOSOLUTION</t>
  </si>
  <si>
    <t>BR COMPUTERS N</t>
  </si>
  <si>
    <t>BRISK INFOTECH SOLUTIONS</t>
  </si>
  <si>
    <t>BYTE INFOSYSTEMS PVT. LTD</t>
  </si>
  <si>
    <t>CCS COMPUTERS PVT. LTD.</t>
  </si>
  <si>
    <t>CHANNA ELECTRONICS</t>
  </si>
  <si>
    <t>COMNET VISION INDIA PVT LTD SALES</t>
  </si>
  <si>
    <t>COMPUTER BAZAR-SALE</t>
  </si>
  <si>
    <t>COMPUTER PLANET (S NAGAR)-SALE</t>
  </si>
  <si>
    <t>COMTRONICS INFORMATION SYSTEM</t>
  </si>
  <si>
    <t>CYBER TECH COMPUTERS</t>
  </si>
  <si>
    <t>DENCO ELECTRONICS</t>
  </si>
  <si>
    <t>DIVINE TECHNOLOGY</t>
  </si>
  <si>
    <t>DSN SOLUTIONS</t>
  </si>
  <si>
    <t>E-INFOSOFT(A DIV OF APY INFOSYS INDIA PVT. LTD)</t>
  </si>
  <si>
    <t>ENTEL TECHNOLOGIES</t>
  </si>
  <si>
    <t>ESSCON ENGINEERS P LTD</t>
  </si>
  <si>
    <t>FORETECH COMPUTER SYSTEMS PVT LTD</t>
  </si>
  <si>
    <t>HERITAGE COMPUTERS (P) LTD</t>
  </si>
  <si>
    <t>Hindustan Business Machines</t>
  </si>
  <si>
    <t>INTEGRAL COMPUTERS LTD</t>
  </si>
  <si>
    <t>JAINEEX COMPUTERS PVT LTD-SALES</t>
  </si>
  <si>
    <t>JEET ELECTRONICS</t>
  </si>
  <si>
    <t>JOHAN INFOTECH PVT. LTD</t>
  </si>
  <si>
    <t>JROP HEALTH CARE</t>
  </si>
  <si>
    <t>JT INFOTECH PVT. LTD (SALE)</t>
  </si>
  <si>
    <t>KADAM MARKETING LIMITED-SALES</t>
  </si>
  <si>
    <t>KAPISH INFOLINKS (P) LTD</t>
  </si>
  <si>
    <t>KARISHMA COMPUTER P LTD</t>
  </si>
  <si>
    <t>K B M ELECTRONICS</t>
  </si>
  <si>
    <t>K.G. SOFTECH PVT.LTD</t>
  </si>
  <si>
    <t>KOSMIX</t>
  </si>
  <si>
    <t>K.S.COMPUTECH</t>
  </si>
  <si>
    <t>LAPIE SHOPIE(UNIT OF S J COMMUNICATIONS)</t>
  </si>
  <si>
    <t>NAVRANG COMPUTERS</t>
  </si>
  <si>
    <t>NETFUSION SOLUTIONS</t>
  </si>
  <si>
    <t>NET MART SYSTEM-SALE</t>
  </si>
  <si>
    <t>NETSYS TECHNOLOGIES</t>
  </si>
  <si>
    <t>NETWORLD IT SOLUTIONS</t>
  </si>
  <si>
    <t>NEW AGE COMPUTER</t>
  </si>
  <si>
    <t>NEW BERCO ELECTRONICS (REGD)</t>
  </si>
  <si>
    <t>NEW TECH COMPUTER SERVICES</t>
  </si>
  <si>
    <t>ORIENT TECHNOLOGIES PVT LTD</t>
  </si>
  <si>
    <t>OUR BUSINESS MACHINE</t>
  </si>
  <si>
    <t>PERFECT MAC SOLUTIONS PVT LTD</t>
  </si>
  <si>
    <t>R.A.INFOTECH</t>
  </si>
  <si>
    <t>RAP INFOSOLUTIONS PVT. LTD</t>
  </si>
  <si>
    <t>REALTECH INFOSOLUTIONS PVT. LTD</t>
  </si>
  <si>
    <t>SAGE INFOTECH PVT. LTD</t>
  </si>
  <si>
    <t>SAN INFOTECH</t>
  </si>
  <si>
    <t>SHIWESH KUMAR TIWARI</t>
  </si>
  <si>
    <t>SIDH BALI COMPUTERS</t>
  </si>
  <si>
    <t>SIDHSHREE COMPUTRONICS PVT. LTD</t>
  </si>
  <si>
    <t>SIMPLE TECHNOLOGY PVT. LTD.</t>
  </si>
  <si>
    <t>SJ INTERNATIONAL</t>
  </si>
  <si>
    <t>SKG COMPUTERS</t>
  </si>
  <si>
    <t>SKOPE-SALE</t>
  </si>
  <si>
    <t>SMART COMPUTER</t>
  </si>
  <si>
    <t>SMC INTERNATIONAL SALES</t>
  </si>
  <si>
    <t>SMR INFORMATICS PVT LTD</t>
  </si>
  <si>
    <t>SNEHA COMPUTERS</t>
  </si>
  <si>
    <t>SPARC INFOTECH PVT. LTD</t>
  </si>
  <si>
    <t>SPARKNET INFOTECH INC</t>
  </si>
  <si>
    <t>SUNRISE COMPUTERS N-SALE</t>
  </si>
  <si>
    <t>TAB ENTERPRISES(WP)</t>
  </si>
  <si>
    <t>THE COMPUNET SERVICES-SALES</t>
  </si>
  <si>
    <t>TRANSTEK INFOWAYS PVT LTD</t>
  </si>
  <si>
    <t>TRANSVISION COMPUTER &amp; SECURITIES SYSTEMS</t>
  </si>
  <si>
    <t>TRIANGLE SYSCOM PVT LTD</t>
  </si>
  <si>
    <t>UNIVERSAL TECHNOLOGIES PVT LTD</t>
  </si>
  <si>
    <t>VELOCIS SYSTEMS PVT LTD NOIDA</t>
  </si>
  <si>
    <t>VIDYA ELECTRONICS</t>
  </si>
  <si>
    <t>VIJAY COMPUTERS &amp; COMMUNICATIONS</t>
  </si>
  <si>
    <t>WIZTEL INFOSOL</t>
  </si>
  <si>
    <t>Date of Addition</t>
  </si>
  <si>
    <t>1. Office Equipment</t>
  </si>
  <si>
    <t>a. Attendance Machine</t>
  </si>
  <si>
    <t>b. TDS software</t>
  </si>
  <si>
    <t>Attendance Machine</t>
  </si>
  <si>
    <t>Table</t>
  </si>
  <si>
    <t>Water Dispenser</t>
  </si>
  <si>
    <t>Scooter Maintenance 8351</t>
  </si>
  <si>
    <t>Group of Postage &amp; Courier &amp; Telephone Expenses as on 31-03-2013</t>
  </si>
  <si>
    <t>List of Trade Receivables as on 31-03-2014</t>
  </si>
  <si>
    <t>Deferred Tax Credit Calculation For F.Y-2013-14</t>
  </si>
  <si>
    <t>Income from Business or Profession (Chapter IV D)</t>
  </si>
  <si>
    <t>Profit as per Profit &amp; Loss a/c</t>
  </si>
  <si>
    <t>Add:</t>
  </si>
  <si>
    <t>Depreciation as debited in P&amp;L a/c</t>
  </si>
  <si>
    <t>Less:</t>
  </si>
  <si>
    <t>Gratuity provision w/off</t>
  </si>
  <si>
    <t>Interest on TDS</t>
  </si>
  <si>
    <t>Penalty on VAT</t>
  </si>
  <si>
    <t>Income Tax Demand</t>
  </si>
  <si>
    <t>Loss on sale of Vehicle</t>
  </si>
  <si>
    <t>Depreciation as per IT act</t>
  </si>
  <si>
    <t>Details of Depreciation</t>
  </si>
  <si>
    <t>Rate</t>
  </si>
  <si>
    <t>Opening</t>
  </si>
  <si>
    <t>More than 180 Days</t>
  </si>
  <si>
    <t>Less Than 180 Days</t>
  </si>
  <si>
    <t>Sales</t>
  </si>
  <si>
    <t>Balance</t>
  </si>
  <si>
    <t>WDV Closing</t>
  </si>
  <si>
    <t>Office Equipment</t>
  </si>
  <si>
    <t>Vehicle</t>
  </si>
  <si>
    <t>Furniture &amp; Fitting</t>
  </si>
  <si>
    <t>Copyright</t>
  </si>
  <si>
    <t>Less than 180 days</t>
  </si>
  <si>
    <t>More than 180 days</t>
  </si>
  <si>
    <t>Depreciation  ( Short Gain)</t>
  </si>
  <si>
    <t>Gross Total Income</t>
  </si>
  <si>
    <t>Total Income</t>
  </si>
  <si>
    <t>Round off u/s 288A</t>
  </si>
  <si>
    <t>Calculation for MAT</t>
  </si>
  <si>
    <t>Profit as per II&amp;III of schedule VI</t>
  </si>
  <si>
    <t xml:space="preserve">Tax calculated @18.5% on book profit is Rs. </t>
  </si>
  <si>
    <t>Tax due</t>
  </si>
  <si>
    <t>Education Cess</t>
  </si>
  <si>
    <t>TDS</t>
  </si>
  <si>
    <t>Advance Tax</t>
  </si>
  <si>
    <t>Balance Tax Payable</t>
  </si>
  <si>
    <t>Computation of Total Income for AY 2014-15</t>
  </si>
  <si>
    <t>Travelling Exp (Personal)</t>
  </si>
  <si>
    <t>Additions during year</t>
  </si>
  <si>
    <t>Disposals during the year</t>
  </si>
  <si>
    <t xml:space="preserve">Figures as at the end of current reporting period </t>
  </si>
  <si>
    <t>Remaning Useful Life</t>
  </si>
  <si>
    <t>VAN EECO DL1(6659)</t>
  </si>
  <si>
    <t>17.05.2014</t>
  </si>
  <si>
    <t>addition during the year</t>
  </si>
  <si>
    <t>Sale during the year</t>
  </si>
  <si>
    <t>wdv</t>
  </si>
  <si>
    <t>Dep for the year</t>
  </si>
  <si>
    <t>net</t>
  </si>
  <si>
    <t>sale</t>
  </si>
  <si>
    <t>loss</t>
  </si>
  <si>
    <t>Residual Value</t>
  </si>
  <si>
    <t>WDV Rate</t>
  </si>
  <si>
    <t>Date of purchase</t>
  </si>
  <si>
    <t>Used life</t>
  </si>
  <si>
    <t>Total useful life</t>
  </si>
  <si>
    <t>sale date</t>
  </si>
  <si>
    <t>up to date of sale</t>
  </si>
  <si>
    <t>Figures as at the end of previous reporting period as at 31.03.2014</t>
  </si>
  <si>
    <t>closing date</t>
  </si>
  <si>
    <t>vehicle</t>
  </si>
  <si>
    <t>vivek</t>
  </si>
  <si>
    <t xml:space="preserve">Building without RCC frame </t>
  </si>
  <si>
    <t>Building with RCC frame</t>
  </si>
  <si>
    <t xml:space="preserve">Factory Building </t>
  </si>
  <si>
    <t>fences,wells,tube wells</t>
  </si>
  <si>
    <t>temporory structure</t>
  </si>
  <si>
    <t>plants&amp; machine-genral</t>
  </si>
  <si>
    <t>Furniture &amp; fitting-genral</t>
  </si>
  <si>
    <t>Furniture &amp; fitting-other</t>
  </si>
  <si>
    <t>Moter cycle,scooters</t>
  </si>
  <si>
    <t>buses,lorries, cars,taxies-use in hire</t>
  </si>
  <si>
    <t>buses,lorries, cars,taxies-other</t>
  </si>
  <si>
    <t>office equipments</t>
  </si>
  <si>
    <t>computers</t>
  </si>
  <si>
    <t>electrical installation&amp; equipment</t>
  </si>
  <si>
    <t>Group as per schedule II</t>
  </si>
  <si>
    <t>WDV</t>
  </si>
  <si>
    <t>SLM</t>
  </si>
  <si>
    <t>Land</t>
  </si>
  <si>
    <t>WDV/SLM</t>
  </si>
  <si>
    <t>CODE</t>
  </si>
</sst>
</file>

<file path=xl/styles.xml><?xml version="1.0" encoding="utf-8"?>
<styleSheet xmlns="http://schemas.openxmlformats.org/spreadsheetml/2006/main">
  <numFmts count="10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0.0"/>
    <numFmt numFmtId="167" formatCode="&quot;&quot;0.00"/>
    <numFmt numFmtId="168" formatCode="#,##0.00;[Red]#,##0.00"/>
    <numFmt numFmtId="169" formatCode="[$-409]d\-mmm\-yy;@"/>
    <numFmt numFmtId="170" formatCode="&quot;&quot;0.00&quot; Cr&quot;"/>
  </numFmts>
  <fonts count="40">
    <font>
      <sz val="10"/>
      <color theme="1"/>
      <name val="Arial"/>
      <family val="2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color indexed="8"/>
      <name val="Trebuchet MS"/>
      <family val="2"/>
    </font>
    <font>
      <b/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name val="Rupee Foradian"/>
      <family val="2"/>
    </font>
    <font>
      <sz val="12"/>
      <name val="Trebuchet MS"/>
      <family val="2"/>
    </font>
    <font>
      <b/>
      <sz val="11"/>
      <name val="Rupee Foradian"/>
      <family val="2"/>
    </font>
    <font>
      <sz val="11"/>
      <name val="Rupee Foradian"/>
      <family val="2"/>
    </font>
    <font>
      <b/>
      <u/>
      <sz val="11"/>
      <name val="Rupee Foradian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Rupee Foradian"/>
      <family val="2"/>
    </font>
    <font>
      <b/>
      <sz val="12"/>
      <color theme="1"/>
      <name val="Rupee Foradian"/>
      <family val="2"/>
    </font>
    <font>
      <b/>
      <sz val="11"/>
      <color theme="1"/>
      <name val="Rupee Foradian"/>
      <family val="2"/>
    </font>
    <font>
      <b/>
      <u/>
      <sz val="10"/>
      <color theme="1"/>
      <name val="Arial"/>
      <family val="2"/>
    </font>
    <font>
      <b/>
      <u/>
      <sz val="12"/>
      <color theme="1"/>
      <name val="Rupee Foradian"/>
      <family val="2"/>
    </font>
    <font>
      <sz val="11"/>
      <color theme="1"/>
      <name val="Rupee Foradian"/>
      <family val="2"/>
    </font>
    <font>
      <b/>
      <u/>
      <sz val="11"/>
      <color theme="1"/>
      <name val="Arial"/>
      <family val="2"/>
    </font>
    <font>
      <b/>
      <u val="singleAccounting"/>
      <sz val="11"/>
      <name val="Rupee Foradian"/>
      <family val="2"/>
    </font>
    <font>
      <u val="singleAccounting"/>
      <sz val="11"/>
      <name val="Rupee Foradian"/>
      <family val="2"/>
    </font>
    <font>
      <b/>
      <sz val="11"/>
      <name val="Rupee Foradian"/>
    </font>
    <font>
      <u/>
      <sz val="10"/>
      <color theme="1"/>
      <name val="Arial"/>
      <family val="2"/>
    </font>
    <font>
      <b/>
      <sz val="12"/>
      <color theme="1"/>
      <name val="Arial Black"/>
      <family val="2"/>
    </font>
    <font>
      <sz val="11"/>
      <color theme="1"/>
      <name val="Arial"/>
      <family val="2"/>
    </font>
    <font>
      <b/>
      <sz val="11"/>
      <color indexed="8"/>
      <name val="Rupee Foradian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 val="singleAccounting"/>
      <sz val="10"/>
      <name val="Arial"/>
      <family val="2"/>
    </font>
    <font>
      <u val="singleAccounting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5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0" fontId="7" fillId="0" borderId="0" applyFont="0" applyFill="0" applyBorder="0" applyAlignment="0" applyProtection="0"/>
  </cellStyleXfs>
  <cellXfs count="336">
    <xf numFmtId="0" fontId="0" fillId="0" borderId="0" xfId="0"/>
    <xf numFmtId="0" fontId="10" fillId="0" borderId="0" xfId="0" applyFont="1" applyFill="1" applyAlignment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/>
    <xf numFmtId="0" fontId="14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1" fillId="0" borderId="0" xfId="0" applyFont="1" applyFill="1" applyAlignment="1">
      <alignment vertical="top" wrapText="1"/>
    </xf>
    <xf numFmtId="0" fontId="10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1" fillId="0" borderId="2" xfId="0" applyFont="1" applyFill="1" applyBorder="1" applyAlignment="1">
      <alignment horizontal="center" vertical="top" wrapText="1"/>
    </xf>
    <xf numFmtId="43" fontId="13" fillId="0" borderId="2" xfId="2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/>
    </xf>
    <xf numFmtId="43" fontId="14" fillId="0" borderId="3" xfId="2" applyNumberFormat="1" applyFont="1" applyFill="1" applyBorder="1"/>
    <xf numFmtId="43" fontId="14" fillId="0" borderId="4" xfId="2" applyNumberFormat="1" applyFont="1" applyFill="1" applyBorder="1"/>
    <xf numFmtId="43" fontId="12" fillId="0" borderId="2" xfId="2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43" fontId="12" fillId="0" borderId="0" xfId="2" applyNumberFormat="1" applyFont="1" applyFill="1" applyBorder="1" applyAlignment="1">
      <alignment horizontal="center"/>
    </xf>
    <xf numFmtId="43" fontId="13" fillId="0" borderId="0" xfId="2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center"/>
    </xf>
    <xf numFmtId="43" fontId="16" fillId="0" borderId="0" xfId="1" applyFont="1" applyFill="1" applyBorder="1"/>
    <xf numFmtId="43" fontId="15" fillId="0" borderId="0" xfId="1" applyFont="1" applyFill="1" applyBorder="1"/>
    <xf numFmtId="43" fontId="17" fillId="0" borderId="0" xfId="1" applyFont="1" applyFill="1" applyBorder="1" applyAlignment="1">
      <alignment vertical="center"/>
    </xf>
    <xf numFmtId="43" fontId="15" fillId="0" borderId="0" xfId="1" applyFont="1" applyFill="1" applyBorder="1" applyAlignment="1">
      <alignment vertical="center" wrapText="1"/>
    </xf>
    <xf numFmtId="0" fontId="21" fillId="0" borderId="0" xfId="0" applyFont="1" applyBorder="1"/>
    <xf numFmtId="0" fontId="24" fillId="0" borderId="0" xfId="0" applyFont="1"/>
    <xf numFmtId="165" fontId="0" fillId="0" borderId="0" xfId="0" applyNumberFormat="1"/>
    <xf numFmtId="0" fontId="25" fillId="0" borderId="0" xfId="0" applyFont="1" applyAlignment="1"/>
    <xf numFmtId="49" fontId="21" fillId="0" borderId="0" xfId="0" applyNumberFormat="1" applyFont="1" applyBorder="1" applyAlignment="1">
      <alignment vertical="top"/>
    </xf>
    <xf numFmtId="0" fontId="21" fillId="0" borderId="0" xfId="0" applyFont="1"/>
    <xf numFmtId="0" fontId="25" fillId="0" borderId="0" xfId="0" applyFont="1" applyAlignment="1">
      <alignment horizontal="center"/>
    </xf>
    <xf numFmtId="0" fontId="20" fillId="0" borderId="0" xfId="0" applyFont="1"/>
    <xf numFmtId="165" fontId="20" fillId="0" borderId="0" xfId="0" applyNumberFormat="1" applyFont="1"/>
    <xf numFmtId="0" fontId="21" fillId="0" borderId="0" xfId="0" applyFont="1"/>
    <xf numFmtId="43" fontId="17" fillId="0" borderId="3" xfId="1" applyFont="1" applyFill="1" applyBorder="1"/>
    <xf numFmtId="43" fontId="15" fillId="0" borderId="3" xfId="1" applyFont="1" applyFill="1" applyBorder="1" applyAlignment="1">
      <alignment horizontal="left" vertical="top"/>
    </xf>
    <xf numFmtId="43" fontId="16" fillId="0" borderId="3" xfId="1" applyFont="1" applyFill="1" applyBorder="1" applyAlignment="1">
      <alignment horizontal="center" vertical="top"/>
    </xf>
    <xf numFmtId="43" fontId="17" fillId="0" borderId="3" xfId="1" applyFont="1" applyFill="1" applyBorder="1" applyAlignment="1">
      <alignment horizontal="left" vertical="top"/>
    </xf>
    <xf numFmtId="43" fontId="15" fillId="0" borderId="3" xfId="1" applyFont="1" applyFill="1" applyBorder="1" applyAlignment="1">
      <alignment horizontal="left" vertical="top" wrapText="1"/>
    </xf>
    <xf numFmtId="43" fontId="15" fillId="0" borderId="3" xfId="1" applyFont="1" applyFill="1" applyBorder="1" applyAlignment="1">
      <alignment horizontal="left"/>
    </xf>
    <xf numFmtId="43" fontId="16" fillId="0" borderId="3" xfId="1" applyFont="1" applyFill="1" applyBorder="1" applyAlignment="1"/>
    <xf numFmtId="43" fontId="16" fillId="0" borderId="3" xfId="1" applyFont="1" applyFill="1" applyBorder="1" applyAlignment="1">
      <alignment vertical="top"/>
    </xf>
    <xf numFmtId="43" fontId="15" fillId="0" borderId="2" xfId="1" applyFont="1" applyFill="1" applyBorder="1" applyAlignment="1">
      <alignment horizontal="center"/>
    </xf>
    <xf numFmtId="43" fontId="16" fillId="0" borderId="3" xfId="1" applyFont="1" applyFill="1" applyBorder="1" applyAlignment="1">
      <alignment horizontal="center"/>
    </xf>
    <xf numFmtId="43" fontId="15" fillId="0" borderId="3" xfId="1" applyFont="1" applyFill="1" applyBorder="1" applyAlignment="1">
      <alignment horizontal="center" vertical="top"/>
    </xf>
    <xf numFmtId="43" fontId="15" fillId="0" borderId="2" xfId="1" applyFont="1" applyFill="1" applyBorder="1"/>
    <xf numFmtId="43" fontId="15" fillId="0" borderId="3" xfId="1" applyFont="1" applyFill="1" applyBorder="1"/>
    <xf numFmtId="43" fontId="16" fillId="0" borderId="3" xfId="1" applyFont="1" applyFill="1" applyBorder="1" applyAlignment="1">
      <alignment horizontal="left" vertical="top" wrapText="1"/>
    </xf>
    <xf numFmtId="43" fontId="16" fillId="0" borderId="1" xfId="1" applyFont="1" applyFill="1" applyBorder="1" applyAlignment="1"/>
    <xf numFmtId="43" fontId="16" fillId="0" borderId="1" xfId="1" applyFont="1" applyFill="1" applyBorder="1" applyAlignment="1">
      <alignment vertical="top"/>
    </xf>
    <xf numFmtId="43" fontId="15" fillId="0" borderId="15" xfId="1" applyFont="1" applyFill="1" applyBorder="1" applyAlignment="1">
      <alignment horizontal="center"/>
    </xf>
    <xf numFmtId="43" fontId="16" fillId="0" borderId="1" xfId="1" applyFont="1" applyFill="1" applyBorder="1" applyAlignment="1">
      <alignment horizontal="center" vertical="top"/>
    </xf>
    <xf numFmtId="43" fontId="15" fillId="0" borderId="1" xfId="1" applyFont="1" applyFill="1" applyBorder="1" applyAlignment="1">
      <alignment horizontal="center" vertical="top"/>
    </xf>
    <xf numFmtId="43" fontId="16" fillId="0" borderId="1" xfId="1" applyFont="1" applyFill="1" applyBorder="1" applyAlignment="1">
      <alignment horizontal="left" vertical="top" wrapText="1"/>
    </xf>
    <xf numFmtId="43" fontId="16" fillId="0" borderId="1" xfId="1" applyFont="1" applyFill="1" applyBorder="1"/>
    <xf numFmtId="43" fontId="15" fillId="0" borderId="1" xfId="1" applyFont="1" applyFill="1" applyBorder="1"/>
    <xf numFmtId="43" fontId="21" fillId="0" borderId="7" xfId="1" applyFont="1" applyBorder="1"/>
    <xf numFmtId="0" fontId="21" fillId="0" borderId="7" xfId="0" applyFont="1" applyBorder="1"/>
    <xf numFmtId="43" fontId="22" fillId="0" borderId="8" xfId="0" applyNumberFormat="1" applyFont="1" applyBorder="1"/>
    <xf numFmtId="0" fontId="22" fillId="0" borderId="8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8" xfId="0" applyFont="1" applyBorder="1"/>
    <xf numFmtId="49" fontId="13" fillId="0" borderId="6" xfId="0" applyNumberFormat="1" applyFont="1" applyBorder="1" applyAlignment="1">
      <alignment horizontal="left" vertical="top"/>
    </xf>
    <xf numFmtId="0" fontId="22" fillId="0" borderId="8" xfId="0" applyFont="1" applyBorder="1" applyAlignment="1">
      <alignment horizontal="right"/>
    </xf>
    <xf numFmtId="0" fontId="21" fillId="0" borderId="6" xfId="0" applyFont="1" applyBorder="1"/>
    <xf numFmtId="49" fontId="21" fillId="0" borderId="10" xfId="0" applyNumberFormat="1" applyFont="1" applyBorder="1" applyAlignment="1">
      <alignment vertical="top"/>
    </xf>
    <xf numFmtId="0" fontId="21" fillId="0" borderId="11" xfId="0" applyFont="1" applyBorder="1"/>
    <xf numFmtId="49" fontId="13" fillId="0" borderId="12" xfId="0" applyNumberFormat="1" applyFont="1" applyBorder="1" applyAlignment="1">
      <alignment horizontal="left" vertical="top"/>
    </xf>
    <xf numFmtId="0" fontId="21" fillId="0" borderId="16" xfId="0" applyFont="1" applyBorder="1"/>
    <xf numFmtId="167" fontId="21" fillId="0" borderId="7" xfId="0" applyNumberFormat="1" applyFont="1" applyBorder="1" applyAlignment="1">
      <alignment vertical="top"/>
    </xf>
    <xf numFmtId="43" fontId="21" fillId="0" borderId="8" xfId="1" applyFont="1" applyBorder="1"/>
    <xf numFmtId="0" fontId="21" fillId="0" borderId="17" xfId="0" applyFont="1" applyBorder="1"/>
    <xf numFmtId="0" fontId="21" fillId="0" borderId="9" xfId="0" applyFont="1" applyBorder="1"/>
    <xf numFmtId="167" fontId="21" fillId="0" borderId="7" xfId="0" applyNumberFormat="1" applyFont="1" applyBorder="1" applyAlignment="1">
      <alignment horizontal="right" vertical="top"/>
    </xf>
    <xf numFmtId="43" fontId="21" fillId="0" borderId="7" xfId="1" applyFont="1" applyBorder="1" applyAlignment="1">
      <alignment horizontal="right"/>
    </xf>
    <xf numFmtId="43" fontId="15" fillId="0" borderId="1" xfId="1" applyFont="1" applyFill="1" applyBorder="1" applyAlignment="1">
      <alignment horizontal="center"/>
    </xf>
    <xf numFmtId="169" fontId="16" fillId="0" borderId="0" xfId="1" applyNumberFormat="1" applyFont="1" applyFill="1" applyBorder="1"/>
    <xf numFmtId="43" fontId="28" fillId="0" borderId="0" xfId="1" applyFont="1" applyFill="1" applyBorder="1"/>
    <xf numFmtId="43" fontId="29" fillId="0" borderId="0" xfId="1" applyFont="1" applyFill="1" applyBorder="1"/>
    <xf numFmtId="43" fontId="16" fillId="0" borderId="0" xfId="1" applyFont="1" applyFill="1" applyBorder="1" applyAlignment="1">
      <alignment horizontal="left" indent="1"/>
    </xf>
    <xf numFmtId="0" fontId="16" fillId="0" borderId="0" xfId="1" applyNumberFormat="1" applyFont="1" applyFill="1" applyBorder="1"/>
    <xf numFmtId="39" fontId="16" fillId="0" borderId="0" xfId="1" applyNumberFormat="1" applyFont="1" applyFill="1" applyBorder="1"/>
    <xf numFmtId="169" fontId="30" fillId="0" borderId="0" xfId="1" applyNumberFormat="1" applyFont="1" applyFill="1" applyBorder="1"/>
    <xf numFmtId="43" fontId="30" fillId="0" borderId="0" xfId="1" applyFont="1" applyFill="1" applyBorder="1"/>
    <xf numFmtId="43" fontId="15" fillId="0" borderId="0" xfId="1" applyFont="1" applyFill="1" applyBorder="1" applyAlignment="1">
      <alignment vertical="center"/>
    </xf>
    <xf numFmtId="43" fontId="15" fillId="0" borderId="3" xfId="1" applyFont="1" applyFill="1" applyBorder="1" applyAlignment="1">
      <alignment horizontal="left" vertical="center" wrapText="1"/>
    </xf>
    <xf numFmtId="43" fontId="16" fillId="0" borderId="3" xfId="1" applyFont="1" applyFill="1" applyBorder="1"/>
    <xf numFmtId="43" fontId="15" fillId="0" borderId="2" xfId="1" applyFont="1" applyFill="1" applyBorder="1" applyAlignment="1">
      <alignment horizontal="center" vertical="top"/>
    </xf>
    <xf numFmtId="43" fontId="15" fillId="0" borderId="15" xfId="1" applyFont="1" applyFill="1" applyBorder="1" applyAlignment="1">
      <alignment horizontal="center" vertical="top"/>
    </xf>
    <xf numFmtId="43" fontId="15" fillId="0" borderId="2" xfId="1" applyFont="1" applyFill="1" applyBorder="1" applyAlignment="1">
      <alignment vertical="top"/>
    </xf>
    <xf numFmtId="39" fontId="15" fillId="0" borderId="0" xfId="1" applyNumberFormat="1" applyFont="1" applyFill="1" applyBorder="1"/>
    <xf numFmtId="0" fontId="15" fillId="0" borderId="0" xfId="1" applyNumberFormat="1" applyFont="1" applyFill="1" applyBorder="1"/>
    <xf numFmtId="169" fontId="15" fillId="0" borderId="0" xfId="1" applyNumberFormat="1" applyFont="1" applyFill="1" applyBorder="1"/>
    <xf numFmtId="43" fontId="15" fillId="0" borderId="3" xfId="1" applyFont="1" applyFill="1" applyBorder="1" applyAlignment="1">
      <alignment horizontal="left" vertical="top" indent="1"/>
    </xf>
    <xf numFmtId="43" fontId="15" fillId="0" borderId="3" xfId="1" applyFont="1" applyFill="1" applyBorder="1" applyAlignment="1">
      <alignment horizontal="left" vertical="top" wrapText="1" indent="1"/>
    </xf>
    <xf numFmtId="43" fontId="30" fillId="0" borderId="0" xfId="1" applyFont="1" applyFill="1" applyBorder="1" applyAlignment="1">
      <alignment horizontal="center"/>
    </xf>
    <xf numFmtId="43" fontId="30" fillId="0" borderId="0" xfId="1" applyFont="1" applyFill="1" applyBorder="1" applyAlignment="1">
      <alignment wrapText="1"/>
    </xf>
    <xf numFmtId="0" fontId="26" fillId="0" borderId="0" xfId="0" applyFont="1"/>
    <xf numFmtId="0" fontId="26" fillId="0" borderId="0" xfId="0" applyFont="1" applyBorder="1"/>
    <xf numFmtId="43" fontId="26" fillId="0" borderId="0" xfId="1" applyFont="1" applyBorder="1"/>
    <xf numFmtId="0" fontId="27" fillId="0" borderId="0" xfId="0" applyFont="1" applyAlignment="1"/>
    <xf numFmtId="0" fontId="20" fillId="0" borderId="0" xfId="0" applyFont="1" applyAlignment="1">
      <alignment wrapText="1"/>
    </xf>
    <xf numFmtId="4" fontId="0" fillId="0" borderId="0" xfId="0" applyNumberFormat="1"/>
    <xf numFmtId="0" fontId="20" fillId="0" borderId="18" xfId="0" applyFont="1" applyBorder="1"/>
    <xf numFmtId="9" fontId="0" fillId="0" borderId="0" xfId="0" applyNumberFormat="1"/>
    <xf numFmtId="0" fontId="32" fillId="0" borderId="0" xfId="0" applyFont="1"/>
    <xf numFmtId="0" fontId="20" fillId="0" borderId="18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4" fontId="20" fillId="0" borderId="18" xfId="0" applyNumberFormat="1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3" xfId="0" applyBorder="1"/>
    <xf numFmtId="43" fontId="0" fillId="0" borderId="3" xfId="0" applyNumberFormat="1" applyBorder="1"/>
    <xf numFmtId="43" fontId="0" fillId="0" borderId="14" xfId="0" applyNumberFormat="1" applyBorder="1"/>
    <xf numFmtId="43" fontId="0" fillId="0" borderId="13" xfId="0" applyNumberFormat="1" applyBorder="1"/>
    <xf numFmtId="4" fontId="0" fillId="0" borderId="3" xfId="0" applyNumberFormat="1" applyBorder="1"/>
    <xf numFmtId="4" fontId="0" fillId="0" borderId="14" xfId="0" applyNumberFormat="1" applyBorder="1"/>
    <xf numFmtId="0" fontId="20" fillId="0" borderId="21" xfId="0" applyFont="1" applyBorder="1"/>
    <xf numFmtId="0" fontId="0" fillId="0" borderId="14" xfId="0" applyBorder="1"/>
    <xf numFmtId="0" fontId="0" fillId="0" borderId="1" xfId="0" applyBorder="1"/>
    <xf numFmtId="0" fontId="31" fillId="0" borderId="1" xfId="0" applyFont="1" applyBorder="1"/>
    <xf numFmtId="0" fontId="20" fillId="0" borderId="1" xfId="0" applyFont="1" applyBorder="1"/>
    <xf numFmtId="0" fontId="20" fillId="0" borderId="5" xfId="0" applyFont="1" applyBorder="1"/>
    <xf numFmtId="4" fontId="0" fillId="0" borderId="2" xfId="0" applyNumberFormat="1" applyBorder="1"/>
    <xf numFmtId="0" fontId="0" fillId="0" borderId="13" xfId="0" applyBorder="1"/>
    <xf numFmtId="0" fontId="0" fillId="0" borderId="5" xfId="0" applyBorder="1"/>
    <xf numFmtId="0" fontId="0" fillId="0" borderId="20" xfId="0" applyBorder="1"/>
    <xf numFmtId="0" fontId="0" fillId="0" borderId="23" xfId="0" applyBorder="1"/>
    <xf numFmtId="43" fontId="26" fillId="0" borderId="0" xfId="0" applyNumberFormat="1" applyFont="1" applyBorder="1"/>
    <xf numFmtId="43" fontId="26" fillId="0" borderId="0" xfId="0" applyNumberFormat="1" applyFont="1"/>
    <xf numFmtId="43" fontId="26" fillId="0" borderId="0" xfId="1" applyNumberFormat="1" applyFont="1" applyBorder="1"/>
    <xf numFmtId="0" fontId="0" fillId="2" borderId="1" xfId="0" applyFill="1" applyBorder="1"/>
    <xf numFmtId="43" fontId="0" fillId="2" borderId="3" xfId="0" applyNumberFormat="1" applyFill="1" applyBorder="1"/>
    <xf numFmtId="0" fontId="35" fillId="0" borderId="0" xfId="0" applyFont="1"/>
    <xf numFmtId="4" fontId="35" fillId="0" borderId="0" xfId="0" applyNumberFormat="1" applyFont="1" applyAlignment="1">
      <alignment horizontal="right"/>
    </xf>
    <xf numFmtId="4" fontId="35" fillId="0" borderId="0" xfId="0" applyNumberFormat="1" applyFont="1"/>
    <xf numFmtId="43" fontId="36" fillId="0" borderId="0" xfId="1" applyFont="1" applyFill="1" applyBorder="1"/>
    <xf numFmtId="43" fontId="37" fillId="0" borderId="0" xfId="1" applyFont="1" applyFill="1" applyBorder="1"/>
    <xf numFmtId="169" fontId="36" fillId="0" borderId="0" xfId="1" applyNumberFormat="1" applyFont="1" applyFill="1" applyBorder="1"/>
    <xf numFmtId="43" fontId="38" fillId="0" borderId="0" xfId="1" applyFont="1" applyFill="1" applyBorder="1"/>
    <xf numFmtId="43" fontId="36" fillId="0" borderId="0" xfId="1" applyFont="1" applyFill="1" applyBorder="1" applyAlignment="1">
      <alignment wrapText="1"/>
    </xf>
    <xf numFmtId="43" fontId="36" fillId="0" borderId="0" xfId="1" applyFont="1" applyFill="1" applyBorder="1" applyAlignment="1">
      <alignment horizontal="center"/>
    </xf>
    <xf numFmtId="43" fontId="39" fillId="0" borderId="0" xfId="1" applyFont="1" applyFill="1" applyBorder="1"/>
    <xf numFmtId="43" fontId="37" fillId="0" borderId="0" xfId="1" applyFont="1" applyFill="1" applyBorder="1" applyAlignment="1">
      <alignment horizontal="left" indent="1"/>
    </xf>
    <xf numFmtId="169" fontId="37" fillId="0" borderId="0" xfId="1" applyNumberFormat="1" applyFont="1" applyFill="1" applyBorder="1"/>
    <xf numFmtId="0" fontId="37" fillId="0" borderId="0" xfId="1" applyNumberFormat="1" applyFont="1" applyFill="1" applyBorder="1"/>
    <xf numFmtId="4" fontId="36" fillId="0" borderId="0" xfId="1" applyNumberFormat="1" applyFont="1" applyFill="1" applyBorder="1"/>
    <xf numFmtId="39" fontId="36" fillId="0" borderId="0" xfId="1" applyNumberFormat="1" applyFont="1" applyFill="1" applyBorder="1"/>
    <xf numFmtId="0" fontId="36" fillId="0" borderId="0" xfId="1" applyNumberFormat="1" applyFont="1" applyFill="1" applyBorder="1"/>
    <xf numFmtId="43" fontId="15" fillId="0" borderId="0" xfId="1" applyFont="1" applyFill="1" applyBorder="1" applyAlignment="1">
      <alignment vertical="top" wrapText="1"/>
    </xf>
    <xf numFmtId="43" fontId="15" fillId="0" borderId="2" xfId="1" applyFont="1" applyFill="1" applyBorder="1" applyAlignment="1">
      <alignment horizontal="left" vertical="center" wrapText="1"/>
    </xf>
    <xf numFmtId="43" fontId="15" fillId="0" borderId="13" xfId="1" applyFont="1" applyFill="1" applyBorder="1" applyAlignment="1">
      <alignment horizontal="center" vertical="top"/>
    </xf>
    <xf numFmtId="43" fontId="17" fillId="0" borderId="2" xfId="1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center" vertical="center" wrapText="1"/>
    </xf>
    <xf numFmtId="43" fontId="15" fillId="0" borderId="2" xfId="1" applyFont="1" applyFill="1" applyBorder="1" applyAlignment="1">
      <alignment horizontal="center" vertical="center" wrapText="1"/>
    </xf>
    <xf numFmtId="43" fontId="15" fillId="0" borderId="5" xfId="1" applyFont="1" applyFill="1" applyBorder="1" applyAlignment="1">
      <alignment horizontal="center" vertical="top"/>
    </xf>
    <xf numFmtId="43" fontId="15" fillId="0" borderId="2" xfId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3" fillId="0" borderId="3" xfId="0" applyFont="1" applyBorder="1" applyAlignment="1">
      <alignment horizontal="center" vertical="top" wrapText="1"/>
    </xf>
    <xf numFmtId="41" fontId="26" fillId="0" borderId="3" xfId="0" applyNumberFormat="1" applyFont="1" applyFill="1" applyBorder="1"/>
    <xf numFmtId="41" fontId="26" fillId="0" borderId="3" xfId="0" applyNumberFormat="1" applyFont="1" applyBorder="1"/>
    <xf numFmtId="41" fontId="16" fillId="0" borderId="3" xfId="0" applyNumberFormat="1" applyFont="1" applyFill="1" applyBorder="1"/>
    <xf numFmtId="168" fontId="26" fillId="0" borderId="3" xfId="0" applyNumberFormat="1" applyFont="1" applyBorder="1"/>
    <xf numFmtId="0" fontId="34" fillId="0" borderId="3" xfId="0" applyFont="1" applyBorder="1" applyAlignment="1">
      <alignment horizontal="center" vertical="center" wrapText="1"/>
    </xf>
    <xf numFmtId="41" fontId="4" fillId="0" borderId="3" xfId="15" applyNumberFormat="1" applyFont="1" applyBorder="1"/>
    <xf numFmtId="168" fontId="16" fillId="0" borderId="3" xfId="1" applyNumberFormat="1" applyFont="1" applyBorder="1" applyAlignment="1">
      <alignment horizontal="right" vertical="top"/>
    </xf>
    <xf numFmtId="43" fontId="34" fillId="0" borderId="3" xfId="0" applyNumberFormat="1" applyFont="1" applyBorder="1" applyAlignment="1">
      <alignment horizontal="center" vertical="center" wrapText="1"/>
    </xf>
    <xf numFmtId="41" fontId="4" fillId="0" borderId="3" xfId="15" applyNumberFormat="1" applyFont="1" applyFill="1" applyBorder="1"/>
    <xf numFmtId="0" fontId="15" fillId="0" borderId="10" xfId="0" applyFont="1" applyBorder="1" applyAlignment="1">
      <alignment horizontal="center"/>
    </xf>
    <xf numFmtId="0" fontId="26" fillId="0" borderId="10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41" fontId="33" fillId="0" borderId="3" xfId="15" applyNumberFormat="1" applyFont="1" applyBorder="1" applyAlignment="1">
      <alignment vertical="top"/>
    </xf>
    <xf numFmtId="49" fontId="16" fillId="0" borderId="3" xfId="0" applyNumberFormat="1" applyFont="1" applyBorder="1" applyAlignment="1">
      <alignment vertical="top"/>
    </xf>
    <xf numFmtId="168" fontId="34" fillId="0" borderId="2" xfId="1" applyNumberFormat="1" applyFont="1" applyBorder="1" applyAlignment="1">
      <alignment horizontal="right" vertical="top"/>
    </xf>
    <xf numFmtId="14" fontId="16" fillId="0" borderId="0" xfId="1" applyNumberFormat="1" applyFont="1" applyFill="1" applyBorder="1"/>
    <xf numFmtId="43" fontId="15" fillId="0" borderId="15" xfId="1" applyFont="1" applyFill="1" applyBorder="1" applyAlignment="1">
      <alignment horizontal="left" vertical="center" wrapText="1"/>
    </xf>
    <xf numFmtId="43" fontId="15" fillId="0" borderId="13" xfId="1" applyFont="1" applyFill="1" applyBorder="1" applyAlignment="1">
      <alignment horizontal="left" vertical="center" wrapText="1"/>
    </xf>
    <xf numFmtId="166" fontId="15" fillId="0" borderId="3" xfId="1" applyNumberFormat="1" applyFont="1" applyFill="1" applyBorder="1" applyAlignment="1">
      <alignment horizontal="center" vertical="top"/>
    </xf>
    <xf numFmtId="166" fontId="16" fillId="0" borderId="3" xfId="1" applyNumberFormat="1" applyFont="1" applyFill="1" applyBorder="1"/>
    <xf numFmtId="166" fontId="15" fillId="0" borderId="2" xfId="1" applyNumberFormat="1" applyFont="1" applyFill="1" applyBorder="1" applyAlignment="1">
      <alignment horizontal="center"/>
    </xf>
    <xf numFmtId="166" fontId="16" fillId="0" borderId="3" xfId="1" applyNumberFormat="1" applyFont="1" applyFill="1" applyBorder="1" applyAlignment="1">
      <alignment horizontal="center" vertical="top"/>
    </xf>
    <xf numFmtId="166" fontId="17" fillId="0" borderId="3" xfId="1" applyNumberFormat="1" applyFont="1" applyFill="1" applyBorder="1" applyAlignment="1">
      <alignment horizontal="left" vertical="top"/>
    </xf>
    <xf numFmtId="166" fontId="15" fillId="0" borderId="3" xfId="1" applyNumberFormat="1" applyFont="1" applyFill="1" applyBorder="1" applyAlignment="1">
      <alignment horizontal="left" vertical="top" wrapText="1"/>
    </xf>
    <xf numFmtId="166" fontId="15" fillId="0" borderId="3" xfId="1" applyNumberFormat="1" applyFont="1" applyFill="1" applyBorder="1" applyAlignment="1">
      <alignment horizontal="left" vertical="top"/>
    </xf>
    <xf numFmtId="166" fontId="15" fillId="0" borderId="3" xfId="1" applyNumberFormat="1" applyFont="1" applyFill="1" applyBorder="1" applyAlignment="1">
      <alignment horizontal="left"/>
    </xf>
    <xf numFmtId="166" fontId="15" fillId="0" borderId="3" xfId="1" applyNumberFormat="1" applyFont="1" applyFill="1" applyBorder="1" applyAlignment="1">
      <alignment horizontal="left" vertical="top" indent="1"/>
    </xf>
    <xf numFmtId="43" fontId="15" fillId="0" borderId="15" xfId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top" indent="1"/>
    </xf>
    <xf numFmtId="14" fontId="15" fillId="0" borderId="3" xfId="1" applyNumberFormat="1" applyFont="1" applyFill="1" applyBorder="1" applyAlignment="1">
      <alignment horizontal="left" vertical="top" indent="1"/>
    </xf>
    <xf numFmtId="2" fontId="15" fillId="0" borderId="3" xfId="1" applyNumberFormat="1" applyFont="1" applyFill="1" applyBorder="1" applyAlignment="1">
      <alignment horizontal="left" vertical="top" indent="1"/>
    </xf>
    <xf numFmtId="2" fontId="15" fillId="0" borderId="3" xfId="1" applyNumberFormat="1" applyFont="1" applyFill="1" applyBorder="1" applyAlignment="1">
      <alignment horizontal="center" vertical="top"/>
    </xf>
    <xf numFmtId="43" fontId="15" fillId="0" borderId="15" xfId="1" applyFont="1" applyFill="1" applyBorder="1" applyAlignment="1">
      <alignment horizontal="left" vertical="center" wrapText="1"/>
    </xf>
    <xf numFmtId="43" fontId="15" fillId="0" borderId="15" xfId="1" applyFont="1" applyFill="1" applyBorder="1" applyAlignment="1">
      <alignment horizontal="left" vertical="center" wrapText="1"/>
    </xf>
    <xf numFmtId="43" fontId="15" fillId="0" borderId="0" xfId="1" applyFont="1" applyFill="1" applyBorder="1" applyAlignment="1" applyProtection="1">
      <alignment vertical="top" wrapText="1"/>
      <protection locked="0"/>
    </xf>
    <xf numFmtId="43" fontId="15" fillId="0" borderId="15" xfId="1" applyFont="1" applyFill="1" applyBorder="1" applyAlignment="1" applyProtection="1">
      <alignment horizontal="left" vertical="center" wrapText="1"/>
      <protection locked="0"/>
    </xf>
    <xf numFmtId="43" fontId="15" fillId="0" borderId="13" xfId="1" applyFont="1" applyFill="1" applyBorder="1" applyAlignment="1" applyProtection="1">
      <alignment horizontal="left" vertical="center" wrapText="1"/>
      <protection locked="0"/>
    </xf>
    <xf numFmtId="43" fontId="15" fillId="0" borderId="3" xfId="1" applyFont="1" applyFill="1" applyBorder="1" applyAlignment="1" applyProtection="1">
      <alignment horizontal="left" vertical="center" wrapText="1"/>
      <protection locked="0"/>
    </xf>
    <xf numFmtId="43" fontId="17" fillId="0" borderId="3" xfId="1" applyFont="1" applyFill="1" applyBorder="1" applyProtection="1">
      <protection locked="0"/>
    </xf>
    <xf numFmtId="43" fontId="15" fillId="0" borderId="3" xfId="1" applyFont="1" applyFill="1" applyBorder="1" applyAlignment="1" applyProtection="1">
      <alignment horizontal="left" vertical="top" indent="1"/>
      <protection locked="0"/>
    </xf>
    <xf numFmtId="43" fontId="15" fillId="0" borderId="2" xfId="1" applyFont="1" applyFill="1" applyBorder="1" applyAlignment="1" applyProtection="1">
      <alignment horizontal="center"/>
      <protection locked="0"/>
    </xf>
    <xf numFmtId="43" fontId="16" fillId="0" borderId="3" xfId="1" applyFont="1" applyFill="1" applyBorder="1" applyAlignment="1" applyProtection="1">
      <alignment horizontal="center" vertical="top"/>
      <protection locked="0"/>
    </xf>
    <xf numFmtId="43" fontId="17" fillId="0" borderId="3" xfId="1" applyFont="1" applyFill="1" applyBorder="1" applyAlignment="1" applyProtection="1">
      <alignment horizontal="left" vertical="top"/>
      <protection locked="0"/>
    </xf>
    <xf numFmtId="43" fontId="15" fillId="0" borderId="3" xfId="1" applyFont="1" applyFill="1" applyBorder="1" applyAlignment="1" applyProtection="1">
      <alignment horizontal="left" vertical="top" wrapText="1"/>
      <protection locked="0"/>
    </xf>
    <xf numFmtId="43" fontId="15" fillId="0" borderId="3" xfId="1" applyFont="1" applyFill="1" applyBorder="1" applyAlignment="1" applyProtection="1">
      <alignment horizontal="left" vertical="top"/>
      <protection locked="0"/>
    </xf>
    <xf numFmtId="43" fontId="16" fillId="0" borderId="3" xfId="1" applyFont="1" applyFill="1" applyBorder="1" applyProtection="1">
      <protection locked="0"/>
    </xf>
    <xf numFmtId="43" fontId="15" fillId="0" borderId="3" xfId="1" applyFont="1" applyFill="1" applyBorder="1" applyAlignment="1" applyProtection="1">
      <alignment horizontal="left"/>
      <protection locked="0"/>
    </xf>
    <xf numFmtId="43" fontId="15" fillId="0" borderId="2" xfId="1" applyFont="1" applyFill="1" applyBorder="1" applyAlignment="1" applyProtection="1">
      <alignment horizontal="center" vertical="center"/>
      <protection locked="0"/>
    </xf>
    <xf numFmtId="43" fontId="16" fillId="0" borderId="0" xfId="1" applyFont="1" applyFill="1" applyBorder="1" applyProtection="1">
      <protection locked="0"/>
    </xf>
    <xf numFmtId="43" fontId="15" fillId="0" borderId="0" xfId="1" applyFont="1" applyFill="1" applyBorder="1" applyProtection="1">
      <protection locked="0"/>
    </xf>
    <xf numFmtId="43" fontId="15" fillId="0" borderId="0" xfId="1" applyFont="1" applyFill="1" applyBorder="1" applyAlignment="1" applyProtection="1">
      <alignment horizontal="left" vertical="top" indent="1"/>
      <protection locked="0"/>
    </xf>
    <xf numFmtId="43" fontId="15" fillId="0" borderId="0" xfId="1" applyFont="1" applyFill="1" applyBorder="1" applyAlignment="1" applyProtection="1">
      <alignment vertical="top" wrapText="1"/>
    </xf>
    <xf numFmtId="43" fontId="15" fillId="0" borderId="15" xfId="1" applyFont="1" applyFill="1" applyBorder="1" applyAlignment="1" applyProtection="1">
      <alignment horizontal="left" vertical="center" wrapText="1"/>
    </xf>
    <xf numFmtId="43" fontId="15" fillId="0" borderId="13" xfId="1" applyFont="1" applyFill="1" applyBorder="1" applyAlignment="1" applyProtection="1">
      <alignment horizontal="left" vertical="center" wrapText="1"/>
    </xf>
    <xf numFmtId="43" fontId="15" fillId="0" borderId="3" xfId="1" applyFont="1" applyFill="1" applyBorder="1" applyAlignment="1" applyProtection="1">
      <alignment horizontal="left" vertical="center" wrapText="1"/>
    </xf>
    <xf numFmtId="43" fontId="17" fillId="0" borderId="3" xfId="1" applyFont="1" applyFill="1" applyBorder="1" applyProtection="1"/>
    <xf numFmtId="43" fontId="15" fillId="0" borderId="3" xfId="1" applyFont="1" applyFill="1" applyBorder="1" applyAlignment="1" applyProtection="1">
      <alignment horizontal="left" vertical="top" indent="1"/>
    </xf>
    <xf numFmtId="43" fontId="15" fillId="0" borderId="2" xfId="1" applyFont="1" applyFill="1" applyBorder="1" applyAlignment="1" applyProtection="1">
      <alignment horizontal="center"/>
    </xf>
    <xf numFmtId="43" fontId="16" fillId="0" borderId="3" xfId="1" applyFont="1" applyFill="1" applyBorder="1" applyAlignment="1" applyProtection="1">
      <alignment horizontal="center" vertical="top"/>
    </xf>
    <xf numFmtId="43" fontId="17" fillId="0" borderId="3" xfId="1" applyFont="1" applyFill="1" applyBorder="1" applyAlignment="1" applyProtection="1">
      <alignment horizontal="left" vertical="top"/>
    </xf>
    <xf numFmtId="43" fontId="15" fillId="0" borderId="3" xfId="1" applyFont="1" applyFill="1" applyBorder="1" applyAlignment="1" applyProtection="1">
      <alignment horizontal="left" vertical="top" wrapText="1"/>
    </xf>
    <xf numFmtId="43" fontId="15" fillId="0" borderId="3" xfId="1" applyFont="1" applyFill="1" applyBorder="1" applyAlignment="1" applyProtection="1">
      <alignment horizontal="left" vertical="top"/>
    </xf>
    <xf numFmtId="43" fontId="16" fillId="0" borderId="3" xfId="1" applyFont="1" applyFill="1" applyBorder="1" applyProtection="1"/>
    <xf numFmtId="43" fontId="15" fillId="0" borderId="3" xfId="1" applyFont="1" applyFill="1" applyBorder="1" applyAlignment="1" applyProtection="1">
      <alignment horizontal="left"/>
    </xf>
    <xf numFmtId="43" fontId="15" fillId="0" borderId="2" xfId="1" applyFont="1" applyFill="1" applyBorder="1" applyAlignment="1" applyProtection="1">
      <alignment horizontal="center" vertical="center"/>
    </xf>
    <xf numFmtId="2" fontId="15" fillId="0" borderId="3" xfId="1" applyNumberFormat="1" applyFont="1" applyFill="1" applyBorder="1" applyAlignment="1" applyProtection="1">
      <alignment horizontal="center" vertical="top"/>
    </xf>
    <xf numFmtId="43" fontId="16" fillId="0" borderId="0" xfId="1" applyFont="1" applyFill="1" applyBorder="1" applyProtection="1"/>
    <xf numFmtId="43" fontId="15" fillId="0" borderId="0" xfId="1" applyFont="1" applyFill="1" applyBorder="1" applyProtection="1"/>
    <xf numFmtId="43" fontId="15" fillId="0" borderId="0" xfId="1" applyFont="1" applyFill="1" applyBorder="1" applyAlignment="1" applyProtection="1">
      <alignment horizontal="left" vertical="top" indent="1"/>
    </xf>
    <xf numFmtId="14" fontId="15" fillId="0" borderId="3" xfId="1" applyNumberFormat="1" applyFont="1" applyFill="1" applyBorder="1" applyAlignment="1" applyProtection="1">
      <alignment horizontal="left" vertical="top" inden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43" fontId="15" fillId="0" borderId="2" xfId="1" applyFont="1" applyFill="1" applyBorder="1" applyAlignment="1" applyProtection="1">
      <alignment horizontal="center" vertical="center" wrapText="1"/>
      <protection locked="0"/>
    </xf>
    <xf numFmtId="43" fontId="15" fillId="0" borderId="13" xfId="1" applyFont="1" applyFill="1" applyBorder="1" applyAlignment="1" applyProtection="1">
      <alignment horizontal="center" vertical="top"/>
      <protection locked="0"/>
    </xf>
    <xf numFmtId="43" fontId="15" fillId="0" borderId="5" xfId="1" applyFont="1" applyFill="1" applyBorder="1" applyAlignment="1" applyProtection="1">
      <alignment horizontal="center" vertical="top"/>
      <protection locked="0"/>
    </xf>
    <xf numFmtId="43" fontId="15" fillId="0" borderId="3" xfId="1" applyFont="1" applyFill="1" applyBorder="1" applyAlignment="1" applyProtection="1">
      <alignment horizontal="center" vertical="top"/>
      <protection locked="0"/>
    </xf>
    <xf numFmtId="43" fontId="15" fillId="0" borderId="1" xfId="1" applyFont="1" applyFill="1" applyBorder="1" applyAlignment="1" applyProtection="1">
      <alignment horizontal="center" vertical="top"/>
      <protection locked="0"/>
    </xf>
    <xf numFmtId="43" fontId="16" fillId="0" borderId="3" xfId="1" applyFont="1" applyFill="1" applyBorder="1" applyAlignment="1" applyProtection="1">
      <protection locked="0"/>
    </xf>
    <xf numFmtId="43" fontId="16" fillId="0" borderId="1" xfId="1" applyFont="1" applyFill="1" applyBorder="1" applyAlignment="1" applyProtection="1">
      <protection locked="0"/>
    </xf>
    <xf numFmtId="43" fontId="16" fillId="0" borderId="3" xfId="1" applyFont="1" applyFill="1" applyBorder="1" applyAlignment="1" applyProtection="1">
      <alignment horizontal="center"/>
      <protection locked="0"/>
    </xf>
    <xf numFmtId="43" fontId="16" fillId="0" borderId="3" xfId="1" applyFont="1" applyFill="1" applyBorder="1" applyAlignment="1" applyProtection="1">
      <alignment vertical="top"/>
      <protection locked="0"/>
    </xf>
    <xf numFmtId="43" fontId="16" fillId="0" borderId="1" xfId="1" applyFont="1" applyFill="1" applyBorder="1" applyAlignment="1" applyProtection="1">
      <alignment vertical="top"/>
      <protection locked="0"/>
    </xf>
    <xf numFmtId="41" fontId="16" fillId="0" borderId="3" xfId="1" applyNumberFormat="1" applyFont="1" applyFill="1" applyBorder="1" applyAlignment="1" applyProtection="1">
      <alignment horizontal="center" vertical="top"/>
      <protection locked="0"/>
    </xf>
    <xf numFmtId="43" fontId="16" fillId="0" borderId="1" xfId="1" applyFont="1" applyFill="1" applyBorder="1" applyProtection="1">
      <protection locked="0"/>
    </xf>
    <xf numFmtId="43" fontId="15" fillId="0" borderId="15" xfId="1" applyFont="1" applyFill="1" applyBorder="1" applyAlignment="1" applyProtection="1">
      <alignment horizontal="center"/>
      <protection locked="0"/>
    </xf>
    <xf numFmtId="43" fontId="16" fillId="0" borderId="1" xfId="1" applyFont="1" applyFill="1" applyBorder="1" applyAlignment="1" applyProtection="1">
      <alignment horizontal="center" vertical="top"/>
      <protection locked="0"/>
    </xf>
    <xf numFmtId="43" fontId="16" fillId="0" borderId="1" xfId="1" applyFont="1" applyFill="1" applyBorder="1" applyAlignment="1" applyProtection="1">
      <alignment horizontal="left" vertical="top" wrapText="1"/>
      <protection locked="0"/>
    </xf>
    <xf numFmtId="43" fontId="16" fillId="0" borderId="3" xfId="1" applyFont="1" applyFill="1" applyBorder="1" applyAlignment="1" applyProtection="1">
      <alignment horizontal="left" vertical="top" wrapText="1"/>
      <protection locked="0"/>
    </xf>
    <xf numFmtId="43" fontId="15" fillId="0" borderId="2" xfId="1" applyFont="1" applyFill="1" applyBorder="1" applyProtection="1">
      <protection locked="0"/>
    </xf>
    <xf numFmtId="43" fontId="15" fillId="0" borderId="3" xfId="1" applyFont="1" applyFill="1" applyBorder="1" applyProtection="1">
      <protection locked="0"/>
    </xf>
    <xf numFmtId="43" fontId="15" fillId="0" borderId="1" xfId="1" applyFont="1" applyFill="1" applyBorder="1" applyProtection="1">
      <protection locked="0"/>
    </xf>
    <xf numFmtId="43" fontId="15" fillId="0" borderId="2" xfId="1" applyFont="1" applyFill="1" applyBorder="1" applyAlignment="1" applyProtection="1">
      <alignment horizontal="center" vertical="top"/>
      <protection locked="0"/>
    </xf>
    <xf numFmtId="43" fontId="15" fillId="0" borderId="15" xfId="1" applyFont="1" applyFill="1" applyBorder="1" applyAlignment="1" applyProtection="1">
      <alignment horizontal="center" vertical="top"/>
      <protection locked="0"/>
    </xf>
    <xf numFmtId="43" fontId="15" fillId="0" borderId="2" xfId="1" applyFont="1" applyFill="1" applyBorder="1" applyAlignment="1" applyProtection="1">
      <alignment vertical="top"/>
      <protection locked="0"/>
    </xf>
    <xf numFmtId="43" fontId="17" fillId="0" borderId="2" xfId="1" applyFont="1" applyFill="1" applyBorder="1" applyAlignment="1" applyProtection="1">
      <alignment vertical="center"/>
      <protection locked="0"/>
    </xf>
    <xf numFmtId="43" fontId="17" fillId="0" borderId="2" xfId="1" applyFont="1" applyFill="1" applyBorder="1" applyAlignment="1" applyProtection="1">
      <alignment horizontal="center" vertical="center" wrapText="1"/>
      <protection locked="0"/>
    </xf>
    <xf numFmtId="43" fontId="15" fillId="0" borderId="3" xfId="1" applyNumberFormat="1" applyFont="1" applyFill="1" applyBorder="1" applyAlignment="1" applyProtection="1">
      <alignment horizontal="left" vertical="top" indent="1"/>
    </xf>
    <xf numFmtId="14" fontId="15" fillId="0" borderId="3" xfId="1" applyNumberFormat="1" applyFont="1" applyFill="1" applyBorder="1" applyAlignment="1" applyProtection="1">
      <alignment horizontal="left" vertical="top" indent="1"/>
    </xf>
    <xf numFmtId="43" fontId="15" fillId="0" borderId="15" xfId="1" applyFont="1" applyFill="1" applyBorder="1" applyAlignment="1" applyProtection="1">
      <alignment horizontal="left" vertical="center" wrapText="1"/>
      <protection locked="0"/>
    </xf>
    <xf numFmtId="43" fontId="15" fillId="0" borderId="2" xfId="1" applyFont="1" applyFill="1" applyBorder="1" applyAlignment="1" applyProtection="1">
      <alignment horizontal="left" vertical="center" wrapText="1"/>
      <protection locked="0"/>
    </xf>
    <xf numFmtId="43" fontId="15" fillId="0" borderId="3" xfId="1" applyFont="1" applyFill="1" applyBorder="1" applyAlignment="1" applyProtection="1">
      <alignment horizontal="left" vertical="top" wrapText="1" indent="1"/>
      <protection locked="0"/>
    </xf>
    <xf numFmtId="0" fontId="15" fillId="0" borderId="2" xfId="0" applyFont="1" applyFill="1" applyBorder="1" applyAlignment="1" applyProtection="1">
      <alignment horizontal="center" vertical="center" wrapText="1"/>
    </xf>
    <xf numFmtId="43" fontId="15" fillId="0" borderId="13" xfId="1" applyFont="1" applyFill="1" applyBorder="1" applyAlignment="1" applyProtection="1">
      <alignment horizontal="center" vertical="top"/>
    </xf>
    <xf numFmtId="43" fontId="15" fillId="0" borderId="3" xfId="1" applyFont="1" applyFill="1" applyBorder="1" applyAlignment="1" applyProtection="1">
      <alignment horizontal="center" vertical="top"/>
    </xf>
    <xf numFmtId="43" fontId="16" fillId="0" borderId="3" xfId="1" applyFont="1" applyFill="1" applyBorder="1" applyAlignment="1" applyProtection="1">
      <alignment horizontal="center"/>
    </xf>
    <xf numFmtId="43" fontId="16" fillId="0" borderId="3" xfId="1" applyFont="1" applyFill="1" applyBorder="1" applyAlignment="1" applyProtection="1">
      <alignment vertical="top"/>
    </xf>
    <xf numFmtId="43" fontId="16" fillId="0" borderId="3" xfId="1" applyFont="1" applyFill="1" applyBorder="1" applyAlignment="1" applyProtection="1">
      <alignment horizontal="left" vertical="top" wrapText="1"/>
    </xf>
    <xf numFmtId="43" fontId="15" fillId="0" borderId="2" xfId="1" applyFont="1" applyFill="1" applyBorder="1" applyProtection="1"/>
    <xf numFmtId="43" fontId="15" fillId="0" borderId="3" xfId="1" applyFont="1" applyFill="1" applyBorder="1" applyProtection="1"/>
    <xf numFmtId="43" fontId="15" fillId="0" borderId="2" xfId="1" applyFont="1" applyFill="1" applyBorder="1" applyAlignment="1" applyProtection="1">
      <alignment vertical="top"/>
    </xf>
    <xf numFmtId="43" fontId="15" fillId="0" borderId="2" xfId="1" applyFont="1" applyFill="1" applyBorder="1" applyAlignment="1" applyProtection="1">
      <alignment horizontal="center" vertical="top"/>
    </xf>
    <xf numFmtId="2" fontId="15" fillId="0" borderId="3" xfId="1" applyNumberFormat="1" applyFont="1" applyFill="1" applyBorder="1" applyAlignment="1" applyProtection="1">
      <alignment horizontal="center" vertical="top"/>
      <protection locked="0"/>
    </xf>
    <xf numFmtId="43" fontId="15" fillId="0" borderId="0" xfId="1" applyFont="1" applyFill="1" applyBorder="1" applyAlignment="1" applyProtection="1">
      <alignment vertical="top" wrapText="1"/>
      <protection hidden="1"/>
    </xf>
    <xf numFmtId="43" fontId="15" fillId="0" borderId="15" xfId="1" applyFont="1" applyFill="1" applyBorder="1" applyAlignment="1" applyProtection="1">
      <alignment horizontal="left" vertical="center" wrapText="1"/>
      <protection hidden="1"/>
    </xf>
    <xf numFmtId="43" fontId="15" fillId="0" borderId="13" xfId="1" applyFont="1" applyFill="1" applyBorder="1" applyAlignment="1" applyProtection="1">
      <alignment horizontal="left" vertical="center" wrapText="1"/>
      <protection hidden="1"/>
    </xf>
    <xf numFmtId="43" fontId="15" fillId="0" borderId="3" xfId="1" applyFont="1" applyFill="1" applyBorder="1" applyAlignment="1" applyProtection="1">
      <alignment horizontal="left" vertical="center" wrapText="1"/>
      <protection hidden="1"/>
    </xf>
    <xf numFmtId="43" fontId="17" fillId="0" borderId="3" xfId="1" applyFont="1" applyFill="1" applyBorder="1" applyProtection="1">
      <protection hidden="1"/>
    </xf>
    <xf numFmtId="2" fontId="15" fillId="0" borderId="3" xfId="1" applyNumberFormat="1" applyFont="1" applyFill="1" applyBorder="1" applyAlignment="1" applyProtection="1">
      <alignment horizontal="left" vertical="top" indent="1"/>
      <protection hidden="1"/>
    </xf>
    <xf numFmtId="43" fontId="15" fillId="0" borderId="2" xfId="1" applyFont="1" applyFill="1" applyBorder="1" applyAlignment="1" applyProtection="1">
      <alignment horizontal="center"/>
      <protection hidden="1"/>
    </xf>
    <xf numFmtId="43" fontId="16" fillId="0" borderId="3" xfId="1" applyFont="1" applyFill="1" applyBorder="1" applyAlignment="1" applyProtection="1">
      <alignment horizontal="center" vertical="top"/>
      <protection hidden="1"/>
    </xf>
    <xf numFmtId="43" fontId="17" fillId="0" borderId="3" xfId="1" applyFont="1" applyFill="1" applyBorder="1" applyAlignment="1" applyProtection="1">
      <alignment horizontal="left" vertical="top"/>
      <protection hidden="1"/>
    </xf>
    <xf numFmtId="43" fontId="15" fillId="0" borderId="3" xfId="1" applyFont="1" applyFill="1" applyBorder="1" applyAlignment="1" applyProtection="1">
      <alignment horizontal="left" vertical="top" wrapText="1"/>
      <protection hidden="1"/>
    </xf>
    <xf numFmtId="43" fontId="15" fillId="0" borderId="3" xfId="1" applyFont="1" applyFill="1" applyBorder="1" applyAlignment="1" applyProtection="1">
      <alignment horizontal="left" vertical="top"/>
      <protection hidden="1"/>
    </xf>
    <xf numFmtId="43" fontId="16" fillId="0" borderId="3" xfId="1" applyFont="1" applyFill="1" applyBorder="1" applyProtection="1">
      <protection hidden="1"/>
    </xf>
    <xf numFmtId="43" fontId="15" fillId="0" borderId="3" xfId="1" applyFont="1" applyFill="1" applyBorder="1" applyAlignment="1" applyProtection="1">
      <alignment horizontal="left"/>
      <protection hidden="1"/>
    </xf>
    <xf numFmtId="43" fontId="15" fillId="0" borderId="3" xfId="1" applyFont="1" applyFill="1" applyBorder="1" applyAlignment="1" applyProtection="1">
      <alignment horizontal="left" vertical="top" indent="1"/>
      <protection hidden="1"/>
    </xf>
    <xf numFmtId="43" fontId="15" fillId="0" borderId="2" xfId="1" applyFont="1" applyFill="1" applyBorder="1" applyAlignment="1" applyProtection="1">
      <alignment horizontal="center" vertical="center"/>
      <protection hidden="1"/>
    </xf>
    <xf numFmtId="43" fontId="16" fillId="0" borderId="0" xfId="1" applyFont="1" applyFill="1" applyBorder="1" applyProtection="1">
      <protection hidden="1"/>
    </xf>
    <xf numFmtId="43" fontId="15" fillId="0" borderId="0" xfId="1" applyFont="1" applyFill="1" applyBorder="1" applyProtection="1">
      <protection hidden="1"/>
    </xf>
    <xf numFmtId="43" fontId="15" fillId="0" borderId="0" xfId="1" applyFont="1" applyFill="1" applyBorder="1" applyAlignment="1" applyProtection="1">
      <alignment horizontal="left" vertical="top" indent="1"/>
      <protection hidden="1"/>
    </xf>
    <xf numFmtId="43" fontId="15" fillId="0" borderId="2" xfId="1" applyFont="1" applyFill="1" applyBorder="1" applyAlignment="1" applyProtection="1">
      <alignment horizontal="center" vertical="center" wrapText="1"/>
      <protection hidden="1"/>
    </xf>
    <xf numFmtId="43" fontId="15" fillId="0" borderId="13" xfId="1" applyFont="1" applyFill="1" applyBorder="1" applyAlignment="1" applyProtection="1">
      <alignment horizontal="center" vertical="top"/>
      <protection hidden="1"/>
    </xf>
    <xf numFmtId="43" fontId="15" fillId="0" borderId="3" xfId="1" applyFont="1" applyFill="1" applyBorder="1" applyAlignment="1" applyProtection="1">
      <alignment horizontal="center" vertical="top"/>
      <protection hidden="1"/>
    </xf>
    <xf numFmtId="43" fontId="16" fillId="0" borderId="3" xfId="1" applyFont="1" applyFill="1" applyBorder="1" applyAlignment="1" applyProtection="1">
      <alignment horizontal="center"/>
      <protection hidden="1"/>
    </xf>
    <xf numFmtId="43" fontId="15" fillId="0" borderId="2" xfId="1" applyFont="1" applyFill="1" applyBorder="1" applyProtection="1">
      <protection hidden="1"/>
    </xf>
    <xf numFmtId="43" fontId="15" fillId="0" borderId="3" xfId="1" applyFont="1" applyFill="1" applyBorder="1" applyProtection="1">
      <protection hidden="1"/>
    </xf>
    <xf numFmtId="43" fontId="15" fillId="0" borderId="2" xfId="1" applyFont="1" applyFill="1" applyBorder="1" applyAlignment="1" applyProtection="1">
      <alignment vertical="top"/>
      <protection hidden="1"/>
    </xf>
    <xf numFmtId="43" fontId="15" fillId="0" borderId="0" xfId="1" applyFont="1" applyFill="1" applyBorder="1" applyAlignment="1" applyProtection="1">
      <alignment vertical="top"/>
      <protection hidden="1"/>
    </xf>
    <xf numFmtId="43" fontId="16" fillId="2" borderId="3" xfId="1" applyFont="1" applyFill="1" applyBorder="1" applyProtection="1">
      <protection hidden="1"/>
    </xf>
    <xf numFmtId="43" fontId="15" fillId="2" borderId="0" xfId="1" applyFont="1" applyFill="1" applyBorder="1" applyAlignment="1" applyProtection="1">
      <alignment vertical="top" wrapText="1"/>
      <protection locked="0"/>
    </xf>
    <xf numFmtId="43" fontId="15" fillId="0" borderId="0" xfId="1" applyFont="1" applyFill="1" applyBorder="1" applyAlignment="1" applyProtection="1">
      <alignment vertical="top" wrapText="1"/>
      <protection locked="0" hidden="1"/>
    </xf>
    <xf numFmtId="0" fontId="12" fillId="0" borderId="14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43" fontId="15" fillId="0" borderId="15" xfId="1" applyFont="1" applyFill="1" applyBorder="1" applyAlignment="1">
      <alignment horizontal="left" vertical="center" wrapText="1"/>
    </xf>
    <xf numFmtId="43" fontId="17" fillId="0" borderId="2" xfId="1" applyFont="1" applyFill="1" applyBorder="1" applyAlignment="1">
      <alignment horizontal="center" vertical="center" wrapText="1"/>
    </xf>
    <xf numFmtId="43" fontId="15" fillId="0" borderId="15" xfId="1" applyFont="1" applyFill="1" applyBorder="1" applyAlignment="1" applyProtection="1">
      <alignment horizontal="left" vertical="center" wrapText="1"/>
      <protection locked="0"/>
    </xf>
    <xf numFmtId="43" fontId="17" fillId="0" borderId="15" xfId="1" applyFont="1" applyFill="1" applyBorder="1" applyAlignment="1" applyProtection="1">
      <alignment horizontal="center" vertical="center" wrapText="1"/>
      <protection locked="0"/>
    </xf>
    <xf numFmtId="43" fontId="17" fillId="0" borderId="18" xfId="1" applyFont="1" applyFill="1" applyBorder="1" applyAlignment="1" applyProtection="1">
      <alignment horizontal="center" vertical="center" wrapText="1"/>
      <protection locked="0"/>
    </xf>
    <xf numFmtId="43" fontId="17" fillId="0" borderId="24" xfId="1" applyFont="1" applyFill="1" applyBorder="1" applyAlignment="1" applyProtection="1">
      <alignment horizontal="center" vertical="center" wrapText="1"/>
      <protection locked="0"/>
    </xf>
    <xf numFmtId="43" fontId="17" fillId="0" borderId="15" xfId="1" applyFont="1" applyFill="1" applyBorder="1" applyAlignment="1" applyProtection="1">
      <alignment horizontal="center" vertical="center" wrapText="1"/>
    </xf>
    <xf numFmtId="43" fontId="17" fillId="0" borderId="24" xfId="1" applyFont="1" applyFill="1" applyBorder="1" applyAlignment="1" applyProtection="1">
      <alignment horizontal="center" vertical="center" wrapText="1"/>
    </xf>
    <xf numFmtId="49" fontId="34" fillId="0" borderId="15" xfId="4" applyNumberFormat="1" applyFont="1" applyBorder="1" applyAlignment="1">
      <alignment horizontal="center" vertical="top"/>
    </xf>
    <xf numFmtId="49" fontId="34" fillId="0" borderId="24" xfId="4" applyNumberFormat="1" applyFont="1" applyBorder="1" applyAlignment="1">
      <alignment horizontal="center" vertical="top"/>
    </xf>
    <xf numFmtId="43" fontId="34" fillId="0" borderId="14" xfId="0" applyNumberFormat="1" applyFont="1" applyBorder="1" applyAlignment="1">
      <alignment horizontal="center" vertical="center" wrapText="1"/>
    </xf>
    <xf numFmtId="43" fontId="34" fillId="0" borderId="13" xfId="0" applyNumberFormat="1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/>
    </xf>
    <xf numFmtId="0" fontId="15" fillId="0" borderId="2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34" fillId="0" borderId="14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22" fillId="0" borderId="6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22" fillId="0" borderId="12" xfId="0" applyFont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2" xfId="0" applyFont="1" applyBorder="1" applyAlignment="1">
      <alignment horizontal="center"/>
    </xf>
  </cellXfs>
  <cellStyles count="26">
    <cellStyle name="Comma" xfId="1" builtinId="3"/>
    <cellStyle name="Comma 2" xfId="2"/>
    <cellStyle name="Comma 2 2" xfId="25"/>
    <cellStyle name="Comma 6" xfId="16"/>
    <cellStyle name="Comma 7" xfId="17"/>
    <cellStyle name="Hyperlink 2" xfId="3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20"/>
    <cellStyle name="Normal 16" xfId="21"/>
    <cellStyle name="Normal 17" xfId="22"/>
    <cellStyle name="Normal 18" xfId="15"/>
    <cellStyle name="Normal 19" xfId="23"/>
    <cellStyle name="Normal 2" xfId="4"/>
    <cellStyle name="Normal 20" xfId="24"/>
    <cellStyle name="Normal 3" xfId="7"/>
    <cellStyle name="Normal 4" xfId="8"/>
    <cellStyle name="Normal 5" xfId="9"/>
    <cellStyle name="Normal 6" xfId="18"/>
    <cellStyle name="Normal 7" xfId="19"/>
    <cellStyle name="Normal 8" xfId="5"/>
    <cellStyle name="Normal 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zoomScale="95" zoomScaleNormal="95" workbookViewId="0">
      <selection activeCell="B17" sqref="B17"/>
    </sheetView>
  </sheetViews>
  <sheetFormatPr defaultRowHeight="18"/>
  <cols>
    <col min="1" max="1" width="10.7109375" style="3" bestFit="1" customWidth="1"/>
    <col min="2" max="2" width="49" style="3" bestFit="1" customWidth="1"/>
    <col min="3" max="3" width="28" style="3" bestFit="1" customWidth="1"/>
    <col min="4" max="4" width="27.140625" style="3" bestFit="1" customWidth="1"/>
    <col min="5" max="5" width="9.42578125" style="2" customWidth="1"/>
    <col min="6" max="6" width="20.28515625" style="1" customWidth="1"/>
    <col min="7" max="16384" width="9.140625" style="2"/>
  </cols>
  <sheetData>
    <row r="2" spans="1:10" s="5" customFormat="1">
      <c r="A2" s="4" t="s">
        <v>19</v>
      </c>
      <c r="B2" s="8" t="s">
        <v>20</v>
      </c>
      <c r="C2" s="8"/>
      <c r="D2" s="8"/>
      <c r="E2" s="14"/>
      <c r="F2" s="14"/>
      <c r="G2" s="14"/>
      <c r="H2" s="14"/>
      <c r="I2" s="14"/>
      <c r="J2" s="14"/>
    </row>
    <row r="3" spans="1:10" s="5" customFormat="1">
      <c r="A3" s="4"/>
      <c r="B3" s="305" t="s">
        <v>6</v>
      </c>
      <c r="C3" s="12" t="s">
        <v>16</v>
      </c>
      <c r="D3" s="12" t="s">
        <v>13</v>
      </c>
      <c r="E3" s="20"/>
      <c r="F3" s="20"/>
    </row>
    <row r="4" spans="1:10" s="5" customFormat="1">
      <c r="A4" s="4"/>
      <c r="B4" s="306"/>
      <c r="C4" s="13" t="s">
        <v>4</v>
      </c>
      <c r="D4" s="13" t="s">
        <v>4</v>
      </c>
      <c r="E4" s="20"/>
      <c r="F4" s="21"/>
    </row>
    <row r="5" spans="1:10">
      <c r="B5" s="6"/>
      <c r="C5" s="16"/>
      <c r="D5" s="17"/>
      <c r="E5" s="9"/>
      <c r="F5" s="11"/>
    </row>
    <row r="6" spans="1:10">
      <c r="B6" s="22" t="s">
        <v>8</v>
      </c>
      <c r="C6" s="16"/>
      <c r="D6" s="17"/>
      <c r="E6" s="9"/>
      <c r="F6" s="11"/>
    </row>
    <row r="7" spans="1:10">
      <c r="B7" s="15" t="s">
        <v>9</v>
      </c>
      <c r="C7" s="16"/>
      <c r="D7" s="17"/>
      <c r="E7" s="9"/>
      <c r="F7" s="11"/>
    </row>
    <row r="8" spans="1:10">
      <c r="B8" s="15" t="s">
        <v>10</v>
      </c>
      <c r="C8" s="16"/>
      <c r="D8" s="17"/>
      <c r="E8" s="9"/>
      <c r="F8" s="11"/>
    </row>
    <row r="9" spans="1:10">
      <c r="B9" s="15" t="s">
        <v>11</v>
      </c>
      <c r="C9" s="16"/>
      <c r="D9" s="17"/>
      <c r="E9" s="9"/>
      <c r="F9" s="11"/>
    </row>
    <row r="10" spans="1:10">
      <c r="B10" s="15" t="s">
        <v>12</v>
      </c>
      <c r="C10" s="16"/>
      <c r="D10" s="17"/>
      <c r="E10" s="9"/>
      <c r="F10" s="11"/>
    </row>
    <row r="11" spans="1:10">
      <c r="B11" s="7" t="s">
        <v>14</v>
      </c>
      <c r="C11" s="16"/>
      <c r="D11" s="17"/>
      <c r="E11" s="9"/>
      <c r="F11" s="11"/>
    </row>
    <row r="12" spans="1:10">
      <c r="B12" s="6"/>
      <c r="C12" s="16"/>
      <c r="D12" s="17"/>
      <c r="E12" s="9"/>
      <c r="F12" s="11"/>
    </row>
    <row r="13" spans="1:10" s="5" customFormat="1">
      <c r="A13" s="4"/>
      <c r="B13" s="23" t="s">
        <v>7</v>
      </c>
      <c r="C13" s="18">
        <f>SUM(C7:C11)</f>
        <v>0</v>
      </c>
      <c r="D13" s="18">
        <f>SUM(D7:D11)</f>
        <v>0</v>
      </c>
      <c r="E13" s="19"/>
      <c r="F13" s="10"/>
    </row>
  </sheetData>
  <customSheetViews>
    <customSheetView guid="{87824C19-B10C-495C-99E6-C6D53A8CE673}" scale="95" showPageBreaks="1" printArea="1" state="hidden">
      <selection activeCell="B17" sqref="B17"/>
      <pageMargins left="0.74" right="0.26" top="0.28000000000000003" bottom="0.28999999999999998" header="0.3" footer="0.3"/>
      <pageSetup scale="75" orientation="portrait" r:id="rId1"/>
    </customSheetView>
  </customSheetViews>
  <mergeCells count="1">
    <mergeCell ref="B3:B4"/>
  </mergeCells>
  <phoneticPr fontId="9" type="noConversion"/>
  <pageMargins left="0.74" right="0.26" top="0.28000000000000003" bottom="0.28999999999999998" header="0.3" footer="0.3"/>
  <pageSetup scale="7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8"/>
  <sheetViews>
    <sheetView view="pageBreakPreview" topLeftCell="C1" zoomScale="85" zoomScaleSheetLayoutView="85" workbookViewId="0">
      <pane ySplit="3" topLeftCell="A4" activePane="bottomLeft" state="frozen"/>
      <selection activeCell="C1" sqref="C1"/>
      <selection pane="bottomLeft" activeCell="C1" sqref="C1"/>
    </sheetView>
  </sheetViews>
  <sheetFormatPr defaultRowHeight="15"/>
  <cols>
    <col min="1" max="1" width="9" style="24" hidden="1" customWidth="1"/>
    <col min="2" max="2" width="9.140625" style="24" hidden="1" customWidth="1"/>
    <col min="3" max="3" width="38" style="24" customWidth="1"/>
    <col min="4" max="4" width="22.140625" style="24" bestFit="1" customWidth="1"/>
    <col min="5" max="5" width="16.28515625" style="24" customWidth="1"/>
    <col min="6" max="6" width="19.7109375" style="24" customWidth="1"/>
    <col min="7" max="7" width="21.42578125" style="24" bestFit="1" customWidth="1"/>
    <col min="8" max="8" width="22.140625" style="24" bestFit="1" customWidth="1"/>
    <col min="9" max="9" width="19" style="24" customWidth="1"/>
    <col min="10" max="10" width="19.42578125" style="24" customWidth="1"/>
    <col min="11" max="11" width="21.42578125" style="24" bestFit="1" customWidth="1"/>
    <col min="12" max="12" width="16.85546875" style="24" customWidth="1"/>
    <col min="13" max="13" width="21.42578125" style="24" bestFit="1" customWidth="1"/>
    <col min="14" max="14" width="21.42578125" style="24" customWidth="1"/>
    <col min="15" max="16" width="13.7109375" style="24" bestFit="1" customWidth="1"/>
    <col min="17" max="21" width="9.140625" style="24"/>
    <col min="22" max="31" width="13.42578125" style="24" customWidth="1"/>
    <col min="32" max="32" width="12" style="24" customWidth="1"/>
    <col min="33" max="16384" width="9.140625" style="24"/>
  </cols>
  <sheetData>
    <row r="1" spans="3:15" s="25" customFormat="1">
      <c r="C1" s="153" t="s">
        <v>194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3:15" s="26" customFormat="1" ht="26.25" customHeight="1">
      <c r="C2" s="307" t="s">
        <v>6</v>
      </c>
      <c r="D2" s="308" t="s">
        <v>0</v>
      </c>
      <c r="E2" s="308"/>
      <c r="F2" s="308"/>
      <c r="G2" s="308"/>
      <c r="H2" s="308" t="s">
        <v>1</v>
      </c>
      <c r="I2" s="308"/>
      <c r="J2" s="308"/>
      <c r="K2" s="308"/>
      <c r="L2" s="156"/>
      <c r="M2" s="308" t="s">
        <v>2</v>
      </c>
      <c r="N2" s="308"/>
    </row>
    <row r="3" spans="3:15" s="88" customFormat="1" ht="63" customHeight="1">
      <c r="C3" s="307"/>
      <c r="D3" s="157" t="s">
        <v>21</v>
      </c>
      <c r="E3" s="159" t="s">
        <v>337</v>
      </c>
      <c r="F3" s="159" t="s">
        <v>338</v>
      </c>
      <c r="G3" s="157" t="s">
        <v>339</v>
      </c>
      <c r="H3" s="157" t="s">
        <v>21</v>
      </c>
      <c r="I3" s="159" t="s">
        <v>18</v>
      </c>
      <c r="J3" s="159" t="s">
        <v>3</v>
      </c>
      <c r="K3" s="157" t="s">
        <v>339</v>
      </c>
      <c r="L3" s="158" t="s">
        <v>183</v>
      </c>
      <c r="M3" s="157" t="s">
        <v>21</v>
      </c>
      <c r="N3" s="157" t="s">
        <v>164</v>
      </c>
      <c r="O3" s="27"/>
    </row>
    <row r="4" spans="3:15" s="25" customFormat="1" ht="20.25" customHeight="1">
      <c r="C4" s="154"/>
      <c r="D4" s="155" t="s">
        <v>4</v>
      </c>
      <c r="E4" s="160" t="s">
        <v>4</v>
      </c>
      <c r="F4" s="155" t="s">
        <v>4</v>
      </c>
      <c r="G4" s="155" t="s">
        <v>4</v>
      </c>
      <c r="H4" s="91" t="s">
        <v>4</v>
      </c>
      <c r="I4" s="155" t="s">
        <v>4</v>
      </c>
      <c r="J4" s="155" t="s">
        <v>4</v>
      </c>
      <c r="K4" s="155" t="s">
        <v>4</v>
      </c>
      <c r="L4" s="155" t="s">
        <v>4</v>
      </c>
      <c r="M4" s="155" t="s">
        <v>4</v>
      </c>
      <c r="N4" s="155" t="s">
        <v>4</v>
      </c>
    </row>
    <row r="5" spans="3:15" s="25" customFormat="1" ht="16.5" customHeight="1">
      <c r="C5" s="89"/>
      <c r="D5" s="48"/>
      <c r="E5" s="56"/>
      <c r="F5" s="48"/>
      <c r="G5" s="48"/>
      <c r="H5" s="48"/>
      <c r="I5" s="48"/>
      <c r="J5" s="48"/>
      <c r="K5" s="48"/>
      <c r="L5" s="48"/>
      <c r="M5" s="48"/>
      <c r="N5" s="48"/>
    </row>
    <row r="6" spans="3:15" s="25" customFormat="1" ht="17.25" customHeight="1">
      <c r="C6" s="89" t="s">
        <v>166</v>
      </c>
      <c r="D6" s="48"/>
      <c r="E6" s="56"/>
      <c r="F6" s="48"/>
      <c r="G6" s="48"/>
      <c r="H6" s="48"/>
      <c r="I6" s="48"/>
      <c r="J6" s="48"/>
      <c r="K6" s="48"/>
      <c r="L6" s="48"/>
      <c r="M6" s="48"/>
      <c r="N6" s="48"/>
    </row>
    <row r="7" spans="3:15">
      <c r="C7" s="38" t="s">
        <v>5</v>
      </c>
      <c r="D7" s="44"/>
      <c r="E7" s="52"/>
      <c r="F7" s="44"/>
      <c r="G7" s="47"/>
      <c r="H7" s="47"/>
      <c r="I7" s="47"/>
      <c r="J7" s="47"/>
      <c r="K7" s="47"/>
      <c r="L7" s="47"/>
      <c r="M7" s="47"/>
      <c r="N7" s="47"/>
    </row>
    <row r="8" spans="3:15">
      <c r="C8" s="97" t="s">
        <v>55</v>
      </c>
      <c r="D8" s="45">
        <v>938829</v>
      </c>
      <c r="E8" s="53">
        <v>0</v>
      </c>
      <c r="F8" s="45">
        <v>0</v>
      </c>
      <c r="G8" s="45">
        <f t="shared" ref="G8:G13" si="0">SUM(D8:F8)</f>
        <v>938829</v>
      </c>
      <c r="H8" s="40">
        <v>689375.97</v>
      </c>
      <c r="I8" s="40">
        <f>(N8/4)+(N8/4)/4*2</f>
        <v>93544.88625000001</v>
      </c>
      <c r="J8" s="40">
        <v>0</v>
      </c>
      <c r="K8" s="40">
        <f t="shared" ref="K8:K13" si="1">SUM(H8:J8)</f>
        <v>782920.85624999995</v>
      </c>
      <c r="L8" s="40">
        <v>0</v>
      </c>
      <c r="M8" s="40"/>
      <c r="N8" s="40">
        <v>249453.03000000003</v>
      </c>
    </row>
    <row r="9" spans="3:15">
      <c r="C9" s="97" t="s">
        <v>56</v>
      </c>
      <c r="D9" s="40">
        <v>222872</v>
      </c>
      <c r="E9" s="53">
        <v>0</v>
      </c>
      <c r="F9" s="45">
        <v>0</v>
      </c>
      <c r="G9" s="45">
        <f t="shared" si="0"/>
        <v>222872</v>
      </c>
      <c r="H9" s="40">
        <v>159457.24</v>
      </c>
      <c r="I9" s="40"/>
      <c r="J9" s="40">
        <v>63414.76</v>
      </c>
      <c r="K9" s="40">
        <f>H9+I9+J9</f>
        <v>222872</v>
      </c>
      <c r="L9" s="40">
        <v>-11106.88</v>
      </c>
      <c r="M9" s="40">
        <f>G9-K9</f>
        <v>0</v>
      </c>
      <c r="N9" s="40">
        <v>63414.760000000009</v>
      </c>
    </row>
    <row r="10" spans="3:15">
      <c r="C10" s="97" t="s">
        <v>57</v>
      </c>
      <c r="D10" s="40">
        <v>0</v>
      </c>
      <c r="E10" s="53">
        <v>0</v>
      </c>
      <c r="F10" s="45">
        <f>-D10</f>
        <v>0</v>
      </c>
      <c r="G10" s="45">
        <f t="shared" si="0"/>
        <v>0</v>
      </c>
      <c r="H10" s="40">
        <v>0</v>
      </c>
      <c r="I10" s="40"/>
      <c r="J10" s="40">
        <f>-H10-I10</f>
        <v>0</v>
      </c>
      <c r="K10" s="40">
        <f t="shared" si="1"/>
        <v>0</v>
      </c>
      <c r="L10" s="40"/>
      <c r="M10" s="40"/>
      <c r="N10" s="40">
        <v>0</v>
      </c>
    </row>
    <row r="11" spans="3:15">
      <c r="C11" s="97" t="s">
        <v>58</v>
      </c>
      <c r="D11" s="40">
        <v>42900</v>
      </c>
      <c r="E11" s="53">
        <v>0</v>
      </c>
      <c r="F11" s="45">
        <v>0</v>
      </c>
      <c r="G11" s="45">
        <f t="shared" si="0"/>
        <v>42900</v>
      </c>
      <c r="H11" s="40">
        <v>27592.75</v>
      </c>
      <c r="I11" s="40">
        <f>(N11/7)+(N11/7)/4*2</f>
        <v>3280.125</v>
      </c>
      <c r="J11" s="40">
        <v>0</v>
      </c>
      <c r="K11" s="40">
        <f t="shared" si="1"/>
        <v>30872.875</v>
      </c>
      <c r="L11" s="40">
        <v>0</v>
      </c>
      <c r="M11" s="40"/>
      <c r="N11" s="40">
        <v>15307.25</v>
      </c>
    </row>
    <row r="12" spans="3:15">
      <c r="C12" s="97" t="s">
        <v>59</v>
      </c>
      <c r="D12" s="40">
        <v>42900</v>
      </c>
      <c r="E12" s="53">
        <v>0</v>
      </c>
      <c r="F12" s="45">
        <v>0</v>
      </c>
      <c r="G12" s="45">
        <f t="shared" si="0"/>
        <v>42900</v>
      </c>
      <c r="H12" s="40">
        <v>26528.33</v>
      </c>
      <c r="I12" s="40">
        <f>(N12/7)+(N12/7)/4*2</f>
        <v>3508.2150000000001</v>
      </c>
      <c r="J12" s="40">
        <v>0</v>
      </c>
      <c r="K12" s="40">
        <f t="shared" si="1"/>
        <v>30036.545000000002</v>
      </c>
      <c r="L12" s="40">
        <v>0</v>
      </c>
      <c r="M12" s="40"/>
      <c r="N12" s="40">
        <v>16371.669999999998</v>
      </c>
    </row>
    <row r="13" spans="3:15">
      <c r="C13" s="97" t="s">
        <v>92</v>
      </c>
      <c r="D13" s="40">
        <v>372050</v>
      </c>
      <c r="E13" s="53">
        <v>0</v>
      </c>
      <c r="F13" s="45">
        <v>0</v>
      </c>
      <c r="G13" s="45">
        <f t="shared" si="0"/>
        <v>372050</v>
      </c>
      <c r="H13" s="40">
        <v>159104</v>
      </c>
      <c r="I13" s="40"/>
      <c r="J13" s="40"/>
      <c r="K13" s="40">
        <f t="shared" si="1"/>
        <v>159104</v>
      </c>
      <c r="L13" s="40"/>
      <c r="M13" s="40"/>
      <c r="N13" s="40">
        <v>212946</v>
      </c>
    </row>
    <row r="14" spans="3:15">
      <c r="C14" s="90"/>
      <c r="D14" s="90"/>
      <c r="E14" s="58"/>
      <c r="F14" s="90"/>
      <c r="G14" s="90"/>
      <c r="H14" s="90"/>
      <c r="I14" s="90"/>
      <c r="J14" s="90"/>
      <c r="K14" s="90"/>
      <c r="L14" s="90"/>
      <c r="M14" s="90"/>
      <c r="N14" s="90"/>
    </row>
    <row r="15" spans="3:15" s="25" customFormat="1">
      <c r="C15" s="46" t="s">
        <v>81</v>
      </c>
      <c r="D15" s="46">
        <v>1619551</v>
      </c>
      <c r="E15" s="54">
        <f t="shared" ref="E15:L15" si="2">SUM(E8:E13)</f>
        <v>0</v>
      </c>
      <c r="F15" s="46">
        <f t="shared" si="2"/>
        <v>0</v>
      </c>
      <c r="G15" s="46">
        <f t="shared" si="2"/>
        <v>1619551</v>
      </c>
      <c r="H15" s="46">
        <v>1062058.29</v>
      </c>
      <c r="I15" s="46"/>
      <c r="J15" s="46">
        <f t="shared" si="2"/>
        <v>63414.76</v>
      </c>
      <c r="K15" s="46">
        <f t="shared" si="2"/>
        <v>1225806.2762499999</v>
      </c>
      <c r="L15" s="46">
        <f t="shared" si="2"/>
        <v>-11106.88</v>
      </c>
      <c r="M15" s="46"/>
      <c r="N15" s="46">
        <v>557492.71</v>
      </c>
      <c r="O15" s="79"/>
    </row>
    <row r="16" spans="3:15">
      <c r="C16" s="40"/>
      <c r="D16" s="47"/>
      <c r="E16" s="55"/>
      <c r="F16" s="40"/>
      <c r="G16" s="40"/>
      <c r="H16" s="40"/>
      <c r="I16" s="40"/>
      <c r="J16" s="40"/>
      <c r="K16" s="40"/>
      <c r="L16" s="40"/>
      <c r="M16" s="40"/>
      <c r="N16" s="40"/>
    </row>
    <row r="17" spans="3:16" s="25" customFormat="1">
      <c r="C17" s="41" t="s">
        <v>60</v>
      </c>
      <c r="D17" s="48"/>
      <c r="E17" s="56"/>
      <c r="F17" s="48"/>
      <c r="G17" s="48"/>
      <c r="H17" s="48"/>
      <c r="I17" s="48"/>
      <c r="J17" s="48"/>
      <c r="K17" s="48"/>
      <c r="L17" s="48"/>
      <c r="M17" s="48"/>
      <c r="N17" s="48"/>
    </row>
    <row r="18" spans="3:16">
      <c r="C18" s="98" t="s">
        <v>61</v>
      </c>
      <c r="D18" s="40">
        <v>24050</v>
      </c>
      <c r="E18" s="57">
        <v>0</v>
      </c>
      <c r="F18" s="51">
        <v>0</v>
      </c>
      <c r="G18" s="45">
        <f>SUM(D18:F18)</f>
        <v>24050</v>
      </c>
      <c r="H18" s="51">
        <v>14411.15</v>
      </c>
      <c r="I18" s="51">
        <f>(N18/6)+1606.48/4</f>
        <v>2008.0950000000003</v>
      </c>
      <c r="J18" s="51">
        <v>0</v>
      </c>
      <c r="K18" s="40">
        <f>SUM(H18:J18)</f>
        <v>16419.244999999999</v>
      </c>
      <c r="L18" s="51">
        <v>0</v>
      </c>
      <c r="M18" s="51"/>
      <c r="N18" s="40">
        <v>9638.85</v>
      </c>
    </row>
    <row r="19" spans="3:16">
      <c r="C19" s="98" t="s">
        <v>62</v>
      </c>
      <c r="D19" s="40">
        <v>49600</v>
      </c>
      <c r="E19" s="57">
        <v>0</v>
      </c>
      <c r="F19" s="51">
        <v>0</v>
      </c>
      <c r="G19" s="45">
        <f>SUM(D19:F19)</f>
        <v>49600</v>
      </c>
      <c r="H19" s="51">
        <v>29767.31</v>
      </c>
      <c r="I19" s="51">
        <f>(N19/6)+(N19/6)/4</f>
        <v>4131.8104166666662</v>
      </c>
      <c r="J19" s="51">
        <v>0</v>
      </c>
      <c r="K19" s="40">
        <f>SUM(H19:J19)</f>
        <v>33899.120416666665</v>
      </c>
      <c r="L19" s="51">
        <v>0</v>
      </c>
      <c r="M19" s="51"/>
      <c r="N19" s="40">
        <v>19832.689999999999</v>
      </c>
    </row>
    <row r="20" spans="3:16">
      <c r="C20" s="42"/>
      <c r="D20" s="40"/>
      <c r="E20" s="57"/>
      <c r="F20" s="51"/>
      <c r="G20" s="51"/>
      <c r="H20" s="51"/>
      <c r="I20" s="51"/>
      <c r="J20" s="51"/>
      <c r="K20" s="51"/>
      <c r="L20" s="51"/>
      <c r="M20" s="51"/>
      <c r="N20" s="51"/>
    </row>
    <row r="21" spans="3:16">
      <c r="C21" s="46" t="s">
        <v>82</v>
      </c>
      <c r="D21" s="49">
        <f>SUM(D18:D20)</f>
        <v>73650</v>
      </c>
      <c r="E21" s="49">
        <f t="shared" ref="E21:L21" si="3">SUM(E18:E20)</f>
        <v>0</v>
      </c>
      <c r="F21" s="49">
        <f t="shared" si="3"/>
        <v>0</v>
      </c>
      <c r="G21" s="49">
        <f t="shared" si="3"/>
        <v>73650</v>
      </c>
      <c r="H21" s="49">
        <v>44178.46</v>
      </c>
      <c r="I21" s="49">
        <f>I18+I19</f>
        <v>6139.9054166666665</v>
      </c>
      <c r="J21" s="49">
        <f t="shared" si="3"/>
        <v>0</v>
      </c>
      <c r="K21" s="49">
        <f t="shared" si="3"/>
        <v>50318.365416666667</v>
      </c>
      <c r="L21" s="49">
        <f t="shared" si="3"/>
        <v>0</v>
      </c>
      <c r="M21" s="49"/>
      <c r="N21" s="49">
        <v>29471.54</v>
      </c>
      <c r="P21" s="25"/>
    </row>
    <row r="22" spans="3:16">
      <c r="C22" s="39"/>
      <c r="D22" s="40"/>
      <c r="E22" s="55"/>
      <c r="F22" s="40"/>
      <c r="G22" s="40"/>
      <c r="H22" s="40"/>
      <c r="I22" s="40"/>
      <c r="J22" s="40"/>
      <c r="K22" s="40"/>
      <c r="L22" s="40"/>
      <c r="M22" s="40"/>
      <c r="N22" s="40"/>
    </row>
    <row r="23" spans="3:16" s="25" customFormat="1">
      <c r="C23" s="41" t="s">
        <v>63</v>
      </c>
      <c r="D23" s="48"/>
      <c r="E23" s="56"/>
      <c r="F23" s="48"/>
      <c r="G23" s="48"/>
      <c r="H23" s="48"/>
      <c r="I23" s="48"/>
      <c r="J23" s="48"/>
      <c r="K23" s="48"/>
      <c r="L23" s="48"/>
      <c r="M23" s="48"/>
      <c r="N23" s="48"/>
    </row>
    <row r="24" spans="3:16">
      <c r="C24" s="97" t="s">
        <v>66</v>
      </c>
      <c r="D24" s="40">
        <v>681420</v>
      </c>
      <c r="E24" s="55"/>
      <c r="F24" s="40">
        <v>0</v>
      </c>
      <c r="G24" s="45">
        <f t="shared" ref="G24:G31" si="4">SUM(D24:F24)</f>
        <v>681420</v>
      </c>
      <c r="H24" s="40">
        <v>657443.68000000005</v>
      </c>
      <c r="I24" s="51"/>
      <c r="J24" s="40">
        <v>0</v>
      </c>
      <c r="K24" s="40">
        <f t="shared" ref="K24:K32" si="5">SUM(H24:J24)</f>
        <v>657443.68000000005</v>
      </c>
      <c r="L24" s="40">
        <v>0</v>
      </c>
      <c r="M24" s="40"/>
      <c r="N24" s="40">
        <v>23976.319999999949</v>
      </c>
    </row>
    <row r="25" spans="3:16">
      <c r="C25" s="97" t="s">
        <v>77</v>
      </c>
      <c r="D25" s="40">
        <v>48500</v>
      </c>
      <c r="E25" s="58"/>
      <c r="F25" s="40">
        <v>0</v>
      </c>
      <c r="G25" s="45">
        <f t="shared" si="4"/>
        <v>48500</v>
      </c>
      <c r="H25" s="40">
        <v>36589.360000000001</v>
      </c>
      <c r="I25" s="51"/>
      <c r="J25" s="40">
        <v>0</v>
      </c>
      <c r="K25" s="40">
        <f t="shared" si="5"/>
        <v>36589.360000000001</v>
      </c>
      <c r="L25" s="40">
        <v>0</v>
      </c>
      <c r="M25" s="40"/>
      <c r="N25" s="40">
        <v>11910.64</v>
      </c>
    </row>
    <row r="26" spans="3:16">
      <c r="C26" s="97" t="s">
        <v>91</v>
      </c>
      <c r="D26" s="40">
        <v>18800</v>
      </c>
      <c r="E26" s="55"/>
      <c r="F26" s="40">
        <v>0</v>
      </c>
      <c r="G26" s="45">
        <f t="shared" si="4"/>
        <v>18800</v>
      </c>
      <c r="H26" s="40">
        <v>7061</v>
      </c>
      <c r="I26" s="40"/>
      <c r="J26" s="40"/>
      <c r="K26" s="40">
        <f t="shared" si="5"/>
        <v>7061</v>
      </c>
      <c r="L26" s="40">
        <v>0</v>
      </c>
      <c r="M26" s="40"/>
      <c r="N26" s="40">
        <v>11739</v>
      </c>
    </row>
    <row r="27" spans="3:16">
      <c r="C27" s="97" t="s">
        <v>186</v>
      </c>
      <c r="D27" s="40">
        <v>30101.919999999998</v>
      </c>
      <c r="E27" s="55"/>
      <c r="F27" s="40">
        <v>0</v>
      </c>
      <c r="G27" s="45">
        <f t="shared" si="4"/>
        <v>30101.919999999998</v>
      </c>
      <c r="H27" s="40">
        <v>19578.91</v>
      </c>
      <c r="I27" s="51"/>
      <c r="J27" s="40">
        <v>0</v>
      </c>
      <c r="K27" s="40">
        <f t="shared" si="5"/>
        <v>19578.91</v>
      </c>
      <c r="L27" s="40">
        <v>0</v>
      </c>
      <c r="M27" s="40"/>
      <c r="N27" s="40">
        <v>10523.009999999998</v>
      </c>
    </row>
    <row r="28" spans="3:16">
      <c r="C28" s="97" t="s">
        <v>72</v>
      </c>
      <c r="D28" s="40">
        <v>9000</v>
      </c>
      <c r="E28" s="55"/>
      <c r="F28" s="40">
        <v>0</v>
      </c>
      <c r="G28" s="45">
        <f t="shared" si="4"/>
        <v>9000</v>
      </c>
      <c r="H28" s="40">
        <v>7511.41</v>
      </c>
      <c r="I28" s="51">
        <f>(N28/7)+(N28/7)/4*2</f>
        <v>318.98357142857145</v>
      </c>
      <c r="J28" s="40">
        <v>0</v>
      </c>
      <c r="K28" s="40">
        <f t="shared" si="5"/>
        <v>7830.3935714285717</v>
      </c>
      <c r="L28" s="40">
        <v>0</v>
      </c>
      <c r="M28" s="40"/>
      <c r="N28" s="40">
        <v>1488.5900000000001</v>
      </c>
    </row>
    <row r="29" spans="3:16">
      <c r="C29" s="97" t="s">
        <v>73</v>
      </c>
      <c r="D29" s="40">
        <v>12400</v>
      </c>
      <c r="E29" s="55"/>
      <c r="F29" s="40">
        <v>0</v>
      </c>
      <c r="G29" s="45">
        <f t="shared" si="4"/>
        <v>12400</v>
      </c>
      <c r="H29" s="40">
        <v>11173.68</v>
      </c>
      <c r="I29" s="51">
        <f>(N29/6)+(N29/6)/4*3</f>
        <v>357.67666666666662</v>
      </c>
      <c r="J29" s="40">
        <v>0</v>
      </c>
      <c r="K29" s="40">
        <f t="shared" si="5"/>
        <v>11531.356666666667</v>
      </c>
      <c r="L29" s="40">
        <v>0</v>
      </c>
      <c r="M29" s="40"/>
      <c r="N29" s="40">
        <v>1226.3199999999997</v>
      </c>
    </row>
    <row r="30" spans="3:16">
      <c r="C30" s="97" t="s">
        <v>75</v>
      </c>
      <c r="D30" s="40">
        <v>35500</v>
      </c>
      <c r="E30" s="55"/>
      <c r="F30" s="40">
        <v>0</v>
      </c>
      <c r="G30" s="45">
        <f t="shared" si="4"/>
        <v>35500</v>
      </c>
      <c r="H30" s="40">
        <v>28647.22</v>
      </c>
      <c r="I30" s="40">
        <f>(N30/3)+(N30/3)/4*2</f>
        <v>3426.3899999999994</v>
      </c>
      <c r="J30" s="40">
        <v>0</v>
      </c>
      <c r="K30" s="40">
        <f t="shared" si="5"/>
        <v>32073.61</v>
      </c>
      <c r="L30" s="40">
        <v>0</v>
      </c>
      <c r="M30" s="40"/>
      <c r="N30" s="40">
        <v>6852.7799999999988</v>
      </c>
    </row>
    <row r="31" spans="3:16">
      <c r="C31" s="97" t="s">
        <v>74</v>
      </c>
      <c r="D31" s="40">
        <v>6100</v>
      </c>
      <c r="E31" s="55"/>
      <c r="F31" s="40">
        <v>0</v>
      </c>
      <c r="G31" s="45">
        <f t="shared" si="4"/>
        <v>6100</v>
      </c>
      <c r="H31" s="40">
        <v>6100</v>
      </c>
      <c r="I31" s="40"/>
      <c r="J31" s="40">
        <v>0</v>
      </c>
      <c r="K31" s="40">
        <f t="shared" si="5"/>
        <v>6100</v>
      </c>
      <c r="L31" s="40">
        <v>0</v>
      </c>
      <c r="M31" s="40"/>
      <c r="N31" s="40">
        <v>0</v>
      </c>
    </row>
    <row r="32" spans="3:16">
      <c r="C32" s="97" t="s">
        <v>187</v>
      </c>
      <c r="D32" s="40">
        <v>1900</v>
      </c>
      <c r="E32" s="55"/>
      <c r="F32" s="40">
        <v>0</v>
      </c>
      <c r="G32" s="45">
        <f>SUM(D32:F32)</f>
        <v>1900</v>
      </c>
      <c r="H32" s="40">
        <v>1900</v>
      </c>
      <c r="I32" s="40"/>
      <c r="J32" s="40">
        <v>0</v>
      </c>
      <c r="K32" s="40">
        <f t="shared" si="5"/>
        <v>1900</v>
      </c>
      <c r="L32" s="40">
        <v>0</v>
      </c>
      <c r="M32" s="40"/>
      <c r="N32" s="40">
        <v>0</v>
      </c>
    </row>
    <row r="33" spans="3:16">
      <c r="C33" s="97"/>
      <c r="D33" s="40"/>
      <c r="E33" s="55"/>
      <c r="F33" s="40"/>
      <c r="G33" s="45"/>
      <c r="H33" s="40"/>
      <c r="I33" s="40"/>
      <c r="J33" s="40"/>
      <c r="K33" s="40"/>
      <c r="L33" s="40"/>
      <c r="M33" s="40"/>
      <c r="N33" s="40"/>
      <c r="P33" s="25"/>
    </row>
    <row r="34" spans="3:16">
      <c r="C34" s="97" t="s">
        <v>64</v>
      </c>
      <c r="D34" s="40">
        <v>20500</v>
      </c>
      <c r="E34" s="55"/>
      <c r="F34" s="40">
        <v>0</v>
      </c>
      <c r="G34" s="45">
        <f t="shared" ref="G34:G47" si="6">SUM(D34:F34)</f>
        <v>20500</v>
      </c>
      <c r="H34" s="40">
        <v>11707.16</v>
      </c>
      <c r="I34" s="51"/>
      <c r="J34" s="40">
        <v>0</v>
      </c>
      <c r="K34" s="40">
        <f t="shared" ref="K34:K47" si="7">SUM(H34:J34)</f>
        <v>11707.16</v>
      </c>
      <c r="L34" s="40">
        <v>0</v>
      </c>
      <c r="M34" s="40"/>
      <c r="N34" s="40">
        <v>8792.84</v>
      </c>
    </row>
    <row r="35" spans="3:16">
      <c r="C35" s="97" t="s">
        <v>291</v>
      </c>
      <c r="D35" s="40">
        <v>22500</v>
      </c>
      <c r="E35" s="55"/>
      <c r="F35" s="40">
        <v>0</v>
      </c>
      <c r="G35" s="45">
        <f t="shared" si="6"/>
        <v>22500</v>
      </c>
      <c r="H35" s="40">
        <v>320</v>
      </c>
      <c r="I35" s="51"/>
      <c r="J35" s="40">
        <v>0</v>
      </c>
      <c r="K35" s="40">
        <f t="shared" si="7"/>
        <v>320</v>
      </c>
      <c r="L35" s="40"/>
      <c r="M35" s="40"/>
      <c r="N35" s="40">
        <v>22180</v>
      </c>
    </row>
    <row r="36" spans="3:16">
      <c r="C36" s="97" t="s">
        <v>184</v>
      </c>
      <c r="D36" s="40">
        <v>18787</v>
      </c>
      <c r="E36" s="55"/>
      <c r="F36" s="40">
        <v>0</v>
      </c>
      <c r="G36" s="45">
        <f t="shared" si="6"/>
        <v>18787</v>
      </c>
      <c r="H36" s="40">
        <v>1496</v>
      </c>
      <c r="I36" s="51"/>
      <c r="J36" s="40">
        <v>0</v>
      </c>
      <c r="K36" s="40">
        <f t="shared" si="7"/>
        <v>1496</v>
      </c>
      <c r="L36" s="40"/>
      <c r="M36" s="40"/>
      <c r="N36" s="40">
        <v>17291</v>
      </c>
    </row>
    <row r="37" spans="3:16">
      <c r="C37" s="97" t="s">
        <v>65</v>
      </c>
      <c r="D37" s="40">
        <v>45150</v>
      </c>
      <c r="E37" s="55"/>
      <c r="F37" s="40">
        <v>0</v>
      </c>
      <c r="G37" s="45">
        <f t="shared" si="6"/>
        <v>45150</v>
      </c>
      <c r="H37" s="90">
        <v>17825.95</v>
      </c>
      <c r="I37" s="51"/>
      <c r="J37" s="40">
        <v>0</v>
      </c>
      <c r="K37" s="40">
        <f t="shared" si="7"/>
        <v>17825.95</v>
      </c>
      <c r="L37" s="40">
        <v>0</v>
      </c>
      <c r="M37" s="40"/>
      <c r="N37" s="40">
        <v>27324.05</v>
      </c>
    </row>
    <row r="38" spans="3:16">
      <c r="C38" s="97" t="s">
        <v>65</v>
      </c>
      <c r="D38" s="40">
        <v>499</v>
      </c>
      <c r="E38" s="55"/>
      <c r="F38" s="40">
        <v>0</v>
      </c>
      <c r="G38" s="45">
        <f t="shared" si="6"/>
        <v>499</v>
      </c>
      <c r="H38" s="40">
        <v>499</v>
      </c>
      <c r="I38" s="51"/>
      <c r="J38" s="40">
        <v>0</v>
      </c>
      <c r="K38" s="40">
        <f t="shared" si="7"/>
        <v>499</v>
      </c>
      <c r="L38" s="40">
        <v>0</v>
      </c>
      <c r="M38" s="40"/>
      <c r="N38" s="40">
        <v>0</v>
      </c>
    </row>
    <row r="39" spans="3:16">
      <c r="C39" s="97" t="s">
        <v>68</v>
      </c>
      <c r="D39" s="40">
        <v>4950</v>
      </c>
      <c r="E39" s="55"/>
      <c r="F39" s="40">
        <v>0</v>
      </c>
      <c r="G39" s="45">
        <f t="shared" si="6"/>
        <v>4950</v>
      </c>
      <c r="H39" s="40">
        <v>4950</v>
      </c>
      <c r="I39" s="51"/>
      <c r="J39" s="40">
        <v>0</v>
      </c>
      <c r="K39" s="40">
        <f t="shared" si="7"/>
        <v>4950</v>
      </c>
      <c r="L39" s="40">
        <v>0</v>
      </c>
      <c r="M39" s="40"/>
      <c r="N39" s="40">
        <v>0</v>
      </c>
    </row>
    <row r="40" spans="3:16">
      <c r="C40" s="97" t="s">
        <v>69</v>
      </c>
      <c r="D40" s="40">
        <v>10790</v>
      </c>
      <c r="E40" s="55"/>
      <c r="F40" s="40">
        <v>0</v>
      </c>
      <c r="G40" s="45">
        <f t="shared" si="6"/>
        <v>10790</v>
      </c>
      <c r="H40" s="40">
        <v>5283.8600000000006</v>
      </c>
      <c r="I40" s="51">
        <f>(N40/6)+(N40/6)/4*3</f>
        <v>1605.9575</v>
      </c>
      <c r="J40" s="40">
        <v>0</v>
      </c>
      <c r="K40" s="40">
        <f t="shared" si="7"/>
        <v>6889.817500000001</v>
      </c>
      <c r="L40" s="40">
        <v>0</v>
      </c>
      <c r="M40" s="40"/>
      <c r="N40" s="40">
        <v>5506.1399999999994</v>
      </c>
    </row>
    <row r="41" spans="3:16">
      <c r="C41" s="97" t="s">
        <v>70</v>
      </c>
      <c r="D41" s="40">
        <v>28107.69</v>
      </c>
      <c r="E41" s="55"/>
      <c r="F41" s="40">
        <v>0</v>
      </c>
      <c r="G41" s="45">
        <f t="shared" si="6"/>
        <v>28107.69</v>
      </c>
      <c r="H41" s="40">
        <v>15492.9</v>
      </c>
      <c r="I41" s="51"/>
      <c r="J41" s="40">
        <v>0</v>
      </c>
      <c r="K41" s="40">
        <f t="shared" si="7"/>
        <v>15492.9</v>
      </c>
      <c r="L41" s="40">
        <v>0</v>
      </c>
      <c r="M41" s="40"/>
      <c r="N41" s="40">
        <v>12614.789999999999</v>
      </c>
    </row>
    <row r="42" spans="3:16">
      <c r="C42" s="97" t="s">
        <v>71</v>
      </c>
      <c r="D42" s="40">
        <v>181573</v>
      </c>
      <c r="E42" s="55"/>
      <c r="F42" s="40">
        <v>0</v>
      </c>
      <c r="G42" s="45">
        <f t="shared" si="6"/>
        <v>181573</v>
      </c>
      <c r="H42" s="40">
        <v>110490.85</v>
      </c>
      <c r="I42" s="40"/>
      <c r="J42" s="40">
        <v>0</v>
      </c>
      <c r="K42" s="40">
        <f t="shared" si="7"/>
        <v>110490.85</v>
      </c>
      <c r="L42" s="40">
        <v>0</v>
      </c>
      <c r="M42" s="40"/>
      <c r="N42" s="40">
        <v>71082.149999999994</v>
      </c>
    </row>
    <row r="43" spans="3:16">
      <c r="C43" s="97" t="s">
        <v>185</v>
      </c>
      <c r="D43" s="40">
        <v>1600</v>
      </c>
      <c r="E43" s="55"/>
      <c r="F43" s="40">
        <v>0</v>
      </c>
      <c r="G43" s="45">
        <f>SUM(D43:F43)</f>
        <v>1600</v>
      </c>
      <c r="H43" s="40">
        <v>1600</v>
      </c>
      <c r="I43" s="40"/>
      <c r="J43" s="40">
        <v>0</v>
      </c>
      <c r="K43" s="40">
        <f t="shared" si="7"/>
        <v>1600</v>
      </c>
      <c r="L43" s="40">
        <v>0</v>
      </c>
      <c r="M43" s="40"/>
      <c r="N43" s="40">
        <v>0</v>
      </c>
    </row>
    <row r="44" spans="3:16">
      <c r="C44" s="97" t="s">
        <v>292</v>
      </c>
      <c r="D44" s="40">
        <v>4406</v>
      </c>
      <c r="E44" s="55"/>
      <c r="F44" s="40">
        <v>0</v>
      </c>
      <c r="G44" s="45">
        <f t="shared" si="6"/>
        <v>4406</v>
      </c>
      <c r="H44" s="40">
        <v>4406</v>
      </c>
      <c r="I44" s="40"/>
      <c r="J44" s="40">
        <v>0</v>
      </c>
      <c r="K44" s="40">
        <f t="shared" si="7"/>
        <v>4406</v>
      </c>
      <c r="L44" s="40">
        <v>0</v>
      </c>
      <c r="M44" s="40"/>
      <c r="N44" s="40">
        <v>0</v>
      </c>
    </row>
    <row r="45" spans="3:16">
      <c r="C45" s="97" t="s">
        <v>76</v>
      </c>
      <c r="D45" s="40">
        <v>32646</v>
      </c>
      <c r="E45" s="55"/>
      <c r="F45" s="40">
        <v>0</v>
      </c>
      <c r="G45" s="45">
        <f t="shared" si="6"/>
        <v>32646</v>
      </c>
      <c r="H45" s="40">
        <v>28701.86</v>
      </c>
      <c r="I45" s="40"/>
      <c r="J45" s="40">
        <v>0</v>
      </c>
      <c r="K45" s="40">
        <f t="shared" si="7"/>
        <v>28701.86</v>
      </c>
      <c r="L45" s="40">
        <v>0</v>
      </c>
      <c r="M45" s="40"/>
      <c r="N45" s="40">
        <v>3944.1399999999994</v>
      </c>
    </row>
    <row r="46" spans="3:16">
      <c r="C46" s="97" t="s">
        <v>293</v>
      </c>
      <c r="D46" s="40">
        <v>14100</v>
      </c>
      <c r="E46" s="55"/>
      <c r="F46" s="40">
        <v>0</v>
      </c>
      <c r="G46" s="45">
        <f t="shared" si="6"/>
        <v>14100</v>
      </c>
      <c r="H46" s="40">
        <v>5731.16</v>
      </c>
      <c r="I46" s="40"/>
      <c r="J46" s="40">
        <v>0</v>
      </c>
      <c r="K46" s="40">
        <f t="shared" si="7"/>
        <v>5731.16</v>
      </c>
      <c r="L46" s="40">
        <v>0</v>
      </c>
      <c r="M46" s="40"/>
      <c r="N46" s="40">
        <v>8368.84</v>
      </c>
    </row>
    <row r="47" spans="3:16">
      <c r="C47" s="97" t="s">
        <v>188</v>
      </c>
      <c r="D47" s="40">
        <v>3150</v>
      </c>
      <c r="E47" s="55"/>
      <c r="F47" s="40">
        <v>0</v>
      </c>
      <c r="G47" s="45">
        <f t="shared" si="6"/>
        <v>3150</v>
      </c>
      <c r="H47" s="40">
        <v>3150</v>
      </c>
      <c r="I47" s="40"/>
      <c r="J47" s="40">
        <v>0</v>
      </c>
      <c r="K47" s="40">
        <f t="shared" si="7"/>
        <v>3150</v>
      </c>
      <c r="L47" s="40">
        <v>0</v>
      </c>
      <c r="M47" s="40"/>
      <c r="N47" s="40">
        <v>0</v>
      </c>
    </row>
    <row r="48" spans="3:16" ht="15.75" customHeight="1">
      <c r="C48" s="90"/>
      <c r="D48" s="90"/>
      <c r="E48" s="58"/>
      <c r="F48" s="90"/>
      <c r="G48" s="90"/>
      <c r="H48" s="40"/>
      <c r="I48" s="90"/>
      <c r="J48" s="90"/>
      <c r="K48" s="90"/>
      <c r="L48" s="90"/>
      <c r="M48" s="90"/>
      <c r="N48" s="90"/>
    </row>
    <row r="49" spans="3:14" s="25" customFormat="1">
      <c r="C49" s="46" t="s">
        <v>83</v>
      </c>
      <c r="D49" s="49">
        <v>1232480.6099999999</v>
      </c>
      <c r="E49" s="49">
        <f t="shared" ref="E49:M49" si="8">SUM(E24:E48)</f>
        <v>0</v>
      </c>
      <c r="F49" s="49">
        <f t="shared" si="8"/>
        <v>0</v>
      </c>
      <c r="G49" s="49">
        <f t="shared" si="8"/>
        <v>1232480.6099999999</v>
      </c>
      <c r="H49" s="49">
        <f>SUM(H24:H47)</f>
        <v>987660.00000000012</v>
      </c>
      <c r="I49" s="49"/>
      <c r="J49" s="49">
        <f t="shared" si="8"/>
        <v>0</v>
      </c>
      <c r="K49" s="49">
        <f t="shared" si="8"/>
        <v>993369.00773809536</v>
      </c>
      <c r="L49" s="49">
        <f t="shared" si="8"/>
        <v>0</v>
      </c>
      <c r="M49" s="49">
        <f t="shared" si="8"/>
        <v>0</v>
      </c>
      <c r="N49" s="49">
        <v>244820.60999999996</v>
      </c>
    </row>
    <row r="50" spans="3:14" s="25" customFormat="1">
      <c r="C50" s="43"/>
      <c r="D50" s="50"/>
      <c r="E50" s="59"/>
      <c r="F50" s="50"/>
      <c r="G50" s="50"/>
      <c r="H50" s="50"/>
      <c r="I50" s="50"/>
      <c r="J50" s="50"/>
      <c r="K50" s="50"/>
      <c r="L50" s="50"/>
      <c r="M50" s="50"/>
      <c r="N50" s="50"/>
    </row>
    <row r="51" spans="3:14" s="25" customFormat="1">
      <c r="C51" s="46" t="s">
        <v>88</v>
      </c>
      <c r="D51" s="49">
        <f t="shared" ref="D51:N51" si="9">D49+D21+D15</f>
        <v>2925681.61</v>
      </c>
      <c r="E51" s="49">
        <f t="shared" si="9"/>
        <v>0</v>
      </c>
      <c r="F51" s="49">
        <f t="shared" si="9"/>
        <v>0</v>
      </c>
      <c r="G51" s="49">
        <f t="shared" si="9"/>
        <v>2925681.61</v>
      </c>
      <c r="H51" s="49">
        <f t="shared" si="9"/>
        <v>2093896.75</v>
      </c>
      <c r="I51" s="49">
        <f t="shared" si="9"/>
        <v>6139.9054166666665</v>
      </c>
      <c r="J51" s="49">
        <f t="shared" si="9"/>
        <v>63414.76</v>
      </c>
      <c r="K51" s="49">
        <f t="shared" si="9"/>
        <v>2269493.6494047618</v>
      </c>
      <c r="L51" s="49">
        <f t="shared" si="9"/>
        <v>-11106.88</v>
      </c>
      <c r="M51" s="49">
        <f t="shared" si="9"/>
        <v>0</v>
      </c>
      <c r="N51" s="49">
        <f t="shared" si="9"/>
        <v>831784.85999999987</v>
      </c>
    </row>
    <row r="52" spans="3:14" s="25" customFormat="1">
      <c r="C52" s="43"/>
      <c r="D52" s="50"/>
      <c r="E52" s="59"/>
      <c r="F52" s="50"/>
      <c r="G52" s="50"/>
      <c r="H52" s="50"/>
      <c r="I52" s="50"/>
      <c r="J52" s="50"/>
      <c r="K52" s="50"/>
      <c r="L52" s="50"/>
      <c r="M52" s="50"/>
      <c r="N52" s="50"/>
    </row>
    <row r="53" spans="3:14" s="25" customFormat="1" ht="23.25" customHeight="1">
      <c r="C53" s="43" t="s">
        <v>86</v>
      </c>
      <c r="D53" s="50"/>
      <c r="E53" s="59"/>
      <c r="F53" s="50"/>
      <c r="G53" s="50"/>
      <c r="H53" s="50"/>
      <c r="I53" s="50"/>
      <c r="J53" s="50"/>
      <c r="K53" s="50"/>
      <c r="L53" s="50"/>
      <c r="M53" s="50"/>
      <c r="N53" s="50"/>
    </row>
    <row r="54" spans="3:14" s="25" customFormat="1">
      <c r="C54" s="43"/>
      <c r="D54" s="50"/>
      <c r="E54" s="59"/>
      <c r="F54" s="50"/>
      <c r="G54" s="50"/>
      <c r="H54" s="50"/>
      <c r="I54" s="50"/>
      <c r="J54" s="50"/>
      <c r="K54" s="50"/>
      <c r="L54" s="50"/>
      <c r="M54" s="50"/>
      <c r="N54" s="50"/>
    </row>
    <row r="55" spans="3:14">
      <c r="C55" s="97" t="s">
        <v>67</v>
      </c>
      <c r="D55" s="40">
        <v>148728.78</v>
      </c>
      <c r="E55" s="55"/>
      <c r="F55" s="40">
        <v>0</v>
      </c>
      <c r="G55" s="45">
        <f>SUM(D55:F55)</f>
        <v>148728.78</v>
      </c>
      <c r="H55" s="40">
        <v>118317.04</v>
      </c>
      <c r="I55" s="40"/>
      <c r="J55" s="40">
        <v>0</v>
      </c>
      <c r="K55" s="40">
        <f>SUM(H55:J55)</f>
        <v>118317.04</v>
      </c>
      <c r="L55" s="40">
        <v>0</v>
      </c>
      <c r="M55" s="40"/>
      <c r="N55" s="40">
        <v>30411.740000000005</v>
      </c>
    </row>
    <row r="56" spans="3:14">
      <c r="C56" s="97" t="s">
        <v>90</v>
      </c>
      <c r="D56" s="40">
        <v>5335</v>
      </c>
      <c r="E56" s="55"/>
      <c r="F56" s="40"/>
      <c r="G56" s="45">
        <f>SUM(D56:F56)</f>
        <v>5335</v>
      </c>
      <c r="H56" s="40">
        <v>5335</v>
      </c>
      <c r="I56" s="40"/>
      <c r="J56" s="40">
        <v>0</v>
      </c>
      <c r="K56" s="40">
        <f>SUM(H56:J56)</f>
        <v>5335</v>
      </c>
      <c r="L56" s="40">
        <v>0</v>
      </c>
      <c r="M56" s="40"/>
      <c r="N56" s="40">
        <v>0</v>
      </c>
    </row>
    <row r="57" spans="3:14">
      <c r="C57" s="97"/>
      <c r="D57" s="40"/>
      <c r="E57" s="55"/>
      <c r="F57" s="40"/>
      <c r="G57" s="45"/>
      <c r="H57" s="40"/>
      <c r="I57" s="40"/>
      <c r="J57" s="40"/>
      <c r="K57" s="40"/>
      <c r="L57" s="40"/>
      <c r="M57" s="40"/>
      <c r="N57" s="40"/>
    </row>
    <row r="58" spans="3:14" s="25" customFormat="1">
      <c r="C58" s="46" t="s">
        <v>87</v>
      </c>
      <c r="D58" s="49">
        <v>154063.78</v>
      </c>
      <c r="E58" s="49"/>
      <c r="F58" s="49">
        <f t="shared" ref="F58:L58" si="10">SUM(F55:F56)</f>
        <v>0</v>
      </c>
      <c r="G58" s="49">
        <f t="shared" si="10"/>
        <v>154063.78</v>
      </c>
      <c r="H58" s="49">
        <v>124730.04000000001</v>
      </c>
      <c r="I58" s="49"/>
      <c r="J58" s="49">
        <f t="shared" si="10"/>
        <v>0</v>
      </c>
      <c r="K58" s="49">
        <f t="shared" si="10"/>
        <v>123652.04</v>
      </c>
      <c r="L58" s="49">
        <f t="shared" si="10"/>
        <v>0</v>
      </c>
      <c r="M58" s="49"/>
      <c r="N58" s="49">
        <v>30411.740000000005</v>
      </c>
    </row>
    <row r="59" spans="3:14">
      <c r="C59" s="90"/>
      <c r="D59" s="90"/>
      <c r="E59" s="58"/>
      <c r="F59" s="90"/>
      <c r="G59" s="90"/>
      <c r="H59" s="90"/>
      <c r="I59" s="90"/>
      <c r="J59" s="90"/>
      <c r="K59" s="90"/>
      <c r="L59" s="90"/>
      <c r="M59" s="90"/>
      <c r="N59" s="90"/>
    </row>
    <row r="60" spans="3:14" s="25" customFormat="1" ht="17.25" customHeight="1">
      <c r="C60" s="46" t="s">
        <v>17</v>
      </c>
      <c r="D60" s="49">
        <f t="shared" ref="D60:L60" si="11">D58+D49+D21+D15</f>
        <v>3079745.3899999997</v>
      </c>
      <c r="E60" s="49">
        <f t="shared" si="11"/>
        <v>0</v>
      </c>
      <c r="F60" s="49">
        <f t="shared" si="11"/>
        <v>0</v>
      </c>
      <c r="G60" s="49">
        <f t="shared" si="11"/>
        <v>3079745.3899999997</v>
      </c>
      <c r="H60" s="49">
        <f t="shared" si="11"/>
        <v>2218626.79</v>
      </c>
      <c r="I60" s="49">
        <f t="shared" si="11"/>
        <v>6139.9054166666665</v>
      </c>
      <c r="J60" s="49">
        <f t="shared" si="11"/>
        <v>63414.76</v>
      </c>
      <c r="K60" s="49">
        <f t="shared" si="11"/>
        <v>2393145.6894047619</v>
      </c>
      <c r="L60" s="49">
        <f t="shared" si="11"/>
        <v>-11106.88</v>
      </c>
      <c r="M60" s="49">
        <v>862196.6</v>
      </c>
      <c r="N60" s="49">
        <f>N58+N49+N21+N15</f>
        <v>862196.59999999986</v>
      </c>
    </row>
    <row r="61" spans="3:14">
      <c r="C61" s="90"/>
      <c r="D61" s="90"/>
      <c r="E61" s="58"/>
      <c r="F61" s="90"/>
      <c r="G61" s="90"/>
      <c r="H61" s="90"/>
      <c r="I61" s="90"/>
      <c r="J61" s="90"/>
      <c r="K61" s="90"/>
      <c r="L61" s="90"/>
      <c r="M61" s="90"/>
      <c r="N61" s="90"/>
    </row>
    <row r="62" spans="3:14" ht="20.25" customHeight="1">
      <c r="C62" s="161" t="s">
        <v>80</v>
      </c>
      <c r="D62" s="91">
        <v>3229813.61</v>
      </c>
      <c r="E62" s="92">
        <v>70931.78</v>
      </c>
      <c r="F62" s="91">
        <v>-221000</v>
      </c>
      <c r="G62" s="93">
        <v>3079745.3899999997</v>
      </c>
      <c r="H62" s="93">
        <v>2104748.1</v>
      </c>
      <c r="I62" s="93">
        <v>298371.78000000003</v>
      </c>
      <c r="J62" s="93">
        <v>-185571.09</v>
      </c>
      <c r="K62" s="93">
        <v>2217548.79</v>
      </c>
      <c r="L62" s="49">
        <v>-8762.2400000000052</v>
      </c>
      <c r="M62" s="93">
        <v>862196.59999999986</v>
      </c>
      <c r="N62" s="93">
        <v>1125065.51</v>
      </c>
    </row>
    <row r="65" spans="3:10">
      <c r="C65" s="25" t="s">
        <v>165</v>
      </c>
      <c r="E65" s="87"/>
      <c r="F65" s="86">
        <v>41729</v>
      </c>
      <c r="G65" s="87"/>
    </row>
    <row r="66" spans="3:10" ht="32.25">
      <c r="C66" s="81" t="s">
        <v>166</v>
      </c>
      <c r="D66" s="25" t="s">
        <v>53</v>
      </c>
      <c r="E66" s="100" t="s">
        <v>287</v>
      </c>
      <c r="F66" s="99" t="s">
        <v>167</v>
      </c>
      <c r="G66" s="87" t="s">
        <v>168</v>
      </c>
    </row>
    <row r="67" spans="3:10" ht="17.25">
      <c r="C67" s="82" t="s">
        <v>288</v>
      </c>
    </row>
    <row r="68" spans="3:10" ht="17.25">
      <c r="C68" s="82" t="s">
        <v>189</v>
      </c>
    </row>
    <row r="69" spans="3:10">
      <c r="C69" s="83" t="s">
        <v>190</v>
      </c>
      <c r="D69" s="24">
        <v>6400</v>
      </c>
      <c r="E69" s="80">
        <v>41485</v>
      </c>
      <c r="F69" s="84">
        <f>+$F$65-E69+1</f>
        <v>245</v>
      </c>
      <c r="G69" s="24">
        <f>IF(D69&gt;5000,ROUND((D69*40%*F69/365),0),D69)</f>
        <v>1718</v>
      </c>
    </row>
    <row r="70" spans="3:10">
      <c r="C70" s="83" t="s">
        <v>191</v>
      </c>
      <c r="D70" s="24">
        <v>11400</v>
      </c>
      <c r="E70" s="80">
        <v>41453</v>
      </c>
      <c r="F70" s="84">
        <f>+$F$65-E70+1</f>
        <v>277</v>
      </c>
      <c r="G70" s="24">
        <f>IF(D70&gt;5000,ROUND((D70*40%*F70/365),0),D70)</f>
        <v>3461</v>
      </c>
    </row>
    <row r="71" spans="3:10">
      <c r="C71" s="83" t="s">
        <v>192</v>
      </c>
      <c r="D71" s="24">
        <v>1900</v>
      </c>
      <c r="E71" s="80">
        <v>41424</v>
      </c>
      <c r="F71" s="84">
        <f>+$F$65-E71+1</f>
        <v>306</v>
      </c>
      <c r="G71" s="24">
        <f>IF(D71&gt;5000,ROUND((D71*40%*F71/365),0),D71)</f>
        <v>1900</v>
      </c>
    </row>
    <row r="72" spans="3:10" ht="17.25">
      <c r="C72" s="82"/>
      <c r="D72" s="87">
        <f>SUM(D69:D71)</f>
        <v>19700</v>
      </c>
      <c r="G72" s="87">
        <f>SUM(G69:G71)</f>
        <v>7079</v>
      </c>
    </row>
    <row r="73" spans="3:10" ht="17.25">
      <c r="C73" s="82" t="s">
        <v>15</v>
      </c>
      <c r="D73" s="87"/>
      <c r="G73" s="87"/>
    </row>
    <row r="74" spans="3:10">
      <c r="C74" s="83" t="s">
        <v>289</v>
      </c>
      <c r="D74" s="24">
        <v>7500</v>
      </c>
      <c r="E74" s="80">
        <v>41684</v>
      </c>
      <c r="F74" s="84">
        <f>+$F$65-E74+1</f>
        <v>46</v>
      </c>
      <c r="G74" s="85">
        <f>IF(D74&gt;5000,ROUND((D74*13.91%*F74/365),0),D74)</f>
        <v>131</v>
      </c>
      <c r="J74" s="180">
        <v>39538</v>
      </c>
    </row>
    <row r="75" spans="3:10">
      <c r="D75" s="24">
        <v>15000</v>
      </c>
      <c r="E75" s="80">
        <v>41697</v>
      </c>
      <c r="F75" s="84">
        <f>+$F$65-E75+1</f>
        <v>33</v>
      </c>
      <c r="G75" s="85">
        <f>IF(D75&gt;5000,ROUND((D75*13.91%*F75/365),0),D75)</f>
        <v>189</v>
      </c>
      <c r="J75" s="180">
        <v>39498</v>
      </c>
    </row>
    <row r="76" spans="3:10">
      <c r="D76" s="94">
        <f>SUM(D74:D75)</f>
        <v>22500</v>
      </c>
      <c r="E76" s="80"/>
      <c r="F76" s="95"/>
      <c r="G76" s="94">
        <f>SUM(G74:G75)</f>
        <v>320</v>
      </c>
      <c r="J76" s="84">
        <f>J74-J75</f>
        <v>40</v>
      </c>
    </row>
    <row r="77" spans="3:10">
      <c r="C77" s="83" t="s">
        <v>169</v>
      </c>
      <c r="D77" s="24">
        <v>18787</v>
      </c>
      <c r="E77" s="80">
        <v>41521</v>
      </c>
      <c r="F77" s="84">
        <f>+$F$65-E77+1</f>
        <v>209</v>
      </c>
      <c r="G77" s="85">
        <f>IF(D77&gt;5000,ROUND((D77*13.91%*F77/365),0),D77)</f>
        <v>1496</v>
      </c>
      <c r="J77" s="24">
        <f>12/365*J76</f>
        <v>1.3150684931506849</v>
      </c>
    </row>
    <row r="78" spans="3:10">
      <c r="C78" s="83" t="s">
        <v>170</v>
      </c>
      <c r="D78" s="24">
        <v>1600</v>
      </c>
      <c r="E78" s="80">
        <v>41380</v>
      </c>
      <c r="F78" s="84">
        <f>+$F$65-E78+1</f>
        <v>350</v>
      </c>
      <c r="G78" s="85">
        <f>IF(D78&gt;5000,ROUND((D78*13.91%*F78/365),0),D78)</f>
        <v>1600</v>
      </c>
      <c r="J78" s="180"/>
    </row>
    <row r="79" spans="3:10">
      <c r="C79" s="83" t="s">
        <v>193</v>
      </c>
      <c r="D79" s="24">
        <v>3150</v>
      </c>
      <c r="E79" s="80">
        <v>41394</v>
      </c>
      <c r="F79" s="84">
        <f>+$F$65-E79+1</f>
        <v>336</v>
      </c>
      <c r="G79" s="24">
        <f>IF(D79&gt;5000,ROUND((D79*13.91%*F79/365),0),D79)</f>
        <v>3150</v>
      </c>
    </row>
    <row r="80" spans="3:10">
      <c r="C80" s="24" t="s">
        <v>172</v>
      </c>
      <c r="D80" s="25">
        <f>+D72+D76+D77+D78+D79</f>
        <v>65737</v>
      </c>
      <c r="E80" s="80"/>
      <c r="F80" s="84"/>
      <c r="G80" s="25">
        <f>+G72+G76+G77+G78+G79</f>
        <v>13645</v>
      </c>
    </row>
    <row r="81" spans="3:7">
      <c r="E81" s="80"/>
    </row>
    <row r="82" spans="3:7">
      <c r="C82" s="25" t="s">
        <v>86</v>
      </c>
      <c r="E82" s="80"/>
    </row>
    <row r="83" spans="3:7">
      <c r="C83" s="24" t="s">
        <v>171</v>
      </c>
      <c r="D83" s="24">
        <v>2694.78</v>
      </c>
      <c r="E83" s="80">
        <v>41659</v>
      </c>
      <c r="F83" s="84">
        <f>+$F$65-E83+1</f>
        <v>71</v>
      </c>
      <c r="G83" s="24">
        <f>IF(D83&gt;5000,ROUND((D83*40%*F83/365),0),D83)</f>
        <v>2694.78</v>
      </c>
    </row>
    <row r="84" spans="3:7">
      <c r="C84" s="24" t="s">
        <v>290</v>
      </c>
      <c r="D84" s="24">
        <v>2500</v>
      </c>
      <c r="E84" s="80">
        <v>41460</v>
      </c>
      <c r="F84" s="84">
        <f>+$F$65-E84+1</f>
        <v>270</v>
      </c>
      <c r="G84" s="24">
        <f>IF(D84&gt;5000,ROUND((D84*40%*F84/365),0),D84)</f>
        <v>2500</v>
      </c>
    </row>
    <row r="85" spans="3:7">
      <c r="C85" s="24" t="s">
        <v>173</v>
      </c>
      <c r="D85" s="25">
        <f>SUM(D83:D84)</f>
        <v>5194.7800000000007</v>
      </c>
      <c r="E85" s="96"/>
      <c r="F85" s="95"/>
      <c r="G85" s="25">
        <f>SUM(G83:G84)</f>
        <v>5194.7800000000007</v>
      </c>
    </row>
    <row r="86" spans="3:7">
      <c r="D86" s="25"/>
      <c r="E86" s="96"/>
      <c r="F86" s="95"/>
      <c r="G86" s="25"/>
    </row>
    <row r="87" spans="3:7">
      <c r="C87" s="25" t="s">
        <v>17</v>
      </c>
      <c r="D87" s="25">
        <f>+D80+D85</f>
        <v>70931.78</v>
      </c>
      <c r="E87" s="96"/>
      <c r="F87" s="25"/>
      <c r="G87" s="25">
        <f>+G80+G85</f>
        <v>18839.78</v>
      </c>
    </row>
    <row r="88" spans="3:7">
      <c r="E88" s="80"/>
    </row>
    <row r="89" spans="3:7">
      <c r="C89" s="25" t="s">
        <v>174</v>
      </c>
      <c r="E89" s="80"/>
    </row>
    <row r="90" spans="3:7">
      <c r="C90" s="25" t="s">
        <v>6</v>
      </c>
      <c r="E90" s="80"/>
    </row>
    <row r="91" spans="3:7">
      <c r="C91" s="24" t="s">
        <v>175</v>
      </c>
      <c r="D91" s="24" t="s">
        <v>176</v>
      </c>
      <c r="E91" s="80"/>
    </row>
    <row r="92" spans="3:7">
      <c r="C92" s="24" t="s">
        <v>177</v>
      </c>
      <c r="D92" s="24">
        <v>26666.67</v>
      </c>
      <c r="E92" s="80"/>
    </row>
    <row r="93" spans="3:7">
      <c r="C93" s="24" t="s">
        <v>178</v>
      </c>
      <c r="D93" s="24">
        <v>36198.910000000003</v>
      </c>
      <c r="E93" s="80"/>
    </row>
    <row r="94" spans="3:7">
      <c r="C94" s="24" t="s">
        <v>179</v>
      </c>
      <c r="D94" s="80">
        <v>41395</v>
      </c>
      <c r="E94" s="80"/>
    </row>
    <row r="95" spans="3:7">
      <c r="C95" s="24" t="s">
        <v>180</v>
      </c>
      <c r="D95" s="24">
        <v>30</v>
      </c>
      <c r="E95" s="80"/>
    </row>
    <row r="96" spans="3:7">
      <c r="C96" s="24" t="s">
        <v>181</v>
      </c>
      <c r="D96" s="24">
        <f>ROUND(+D93*25.89%*D95/365,0)</f>
        <v>770</v>
      </c>
      <c r="E96" s="80"/>
    </row>
    <row r="97" spans="3:4">
      <c r="C97" s="24" t="s">
        <v>195</v>
      </c>
      <c r="D97" s="24">
        <f>+D93-D96</f>
        <v>35428.910000000003</v>
      </c>
    </row>
    <row r="98" spans="3:4">
      <c r="C98" s="24" t="s">
        <v>182</v>
      </c>
      <c r="D98" s="24">
        <f>+D92-D97</f>
        <v>-8762.2400000000052</v>
      </c>
    </row>
  </sheetData>
  <customSheetViews>
    <customSheetView guid="{87824C19-B10C-495C-99E6-C6D53A8CE673}" scale="85" showPageBreaks="1" fitToPage="1" printArea="1" hiddenColumns="1" state="hidden" view="pageBreakPreview" topLeftCell="C1">
      <pane ySplit="3" topLeftCell="A4" activePane="bottomLeft" state="frozen"/>
      <selection pane="bottomLeft" activeCell="C1" sqref="C1"/>
      <pageMargins left="0.47244094488188981" right="0.23622047244094491" top="0.31496062992125984" bottom="0.31496062992125984" header="0.31496062992125984" footer="0.31496062992125984"/>
      <printOptions gridLines="1"/>
      <pageSetup paperSize="9" scale="55" orientation="landscape" r:id="rId1"/>
    </customSheetView>
  </customSheetViews>
  <mergeCells count="4">
    <mergeCell ref="C2:C3"/>
    <mergeCell ref="D2:G2"/>
    <mergeCell ref="H2:K2"/>
    <mergeCell ref="M2:N2"/>
  </mergeCells>
  <phoneticPr fontId="9" type="noConversion"/>
  <printOptions gridLines="1"/>
  <pageMargins left="0.47244094488188981" right="0.23622047244094491" top="0.31496062992125984" bottom="0.31496062992125984" header="0.31496062992125984" footer="0.31496062992125984"/>
  <pageSetup paperSize="9" scale="5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76"/>
  <sheetViews>
    <sheetView tabSelected="1" view="pageBreakPreview" topLeftCell="C1" zoomScale="70" zoomScaleSheetLayoutView="70" workbookViewId="0">
      <selection activeCell="C8" sqref="C8"/>
    </sheetView>
  </sheetViews>
  <sheetFormatPr defaultRowHeight="15"/>
  <cols>
    <col min="1" max="1" width="9" style="24" hidden="1" customWidth="1"/>
    <col min="2" max="2" width="9.140625" style="24" hidden="1" customWidth="1"/>
    <col min="3" max="3" width="40.7109375" style="213" customWidth="1"/>
    <col min="4" max="6" width="17" style="231" hidden="1" customWidth="1"/>
    <col min="7" max="7" width="29.5703125" style="213" bestFit="1" customWidth="1"/>
    <col min="8" max="8" width="17.42578125" style="213" customWidth="1"/>
    <col min="9" max="9" width="17.42578125" style="231" hidden="1" customWidth="1"/>
    <col min="10" max="10" width="17.42578125" style="213" customWidth="1"/>
    <col min="11" max="11" width="17.42578125" style="24" hidden="1" customWidth="1"/>
    <col min="12" max="12" width="13" style="24" hidden="1" customWidth="1"/>
    <col min="13" max="13" width="12" style="291" hidden="1" customWidth="1"/>
    <col min="14" max="14" width="18.140625" style="291" hidden="1" customWidth="1"/>
    <col min="15" max="15" width="18.140625" style="231" hidden="1" customWidth="1"/>
    <col min="16" max="16" width="13.42578125" style="24" hidden="1" customWidth="1"/>
    <col min="17" max="17" width="22.140625" style="213" bestFit="1" customWidth="1"/>
    <col min="18" max="18" width="18" style="213" customWidth="1"/>
    <col min="19" max="19" width="19.7109375" style="213" customWidth="1"/>
    <col min="20" max="20" width="21.42578125" style="231" bestFit="1" customWidth="1"/>
    <col min="21" max="21" width="22.140625" style="213" bestFit="1" customWidth="1"/>
    <col min="22" max="22" width="19" style="291" customWidth="1"/>
    <col min="23" max="23" width="19.42578125" style="213" customWidth="1"/>
    <col min="24" max="24" width="21.42578125" style="231" bestFit="1" customWidth="1"/>
    <col min="25" max="25" width="16.85546875" style="213" customWidth="1"/>
    <col min="26" max="26" width="21.42578125" style="231" bestFit="1" customWidth="1"/>
    <col min="27" max="27" width="21.42578125" style="213" customWidth="1"/>
    <col min="28" max="28" width="0.42578125" style="24" customWidth="1"/>
    <col min="29" max="29" width="14.7109375" style="24" bestFit="1" customWidth="1"/>
    <col min="30" max="30" width="10.42578125" style="24" bestFit="1" customWidth="1"/>
    <col min="31" max="31" width="17" style="24" bestFit="1" customWidth="1"/>
    <col min="32" max="34" width="9.140625" style="24"/>
    <col min="35" max="44" width="13.42578125" style="24" customWidth="1"/>
    <col min="45" max="45" width="12" style="24" customWidth="1"/>
    <col min="46" max="16384" width="9.140625" style="24"/>
  </cols>
  <sheetData>
    <row r="1" spans="3:31" s="25" customFormat="1">
      <c r="C1" s="199" t="s">
        <v>194</v>
      </c>
      <c r="D1" s="216"/>
      <c r="E1" s="216"/>
      <c r="F1" s="216"/>
      <c r="G1" s="199"/>
      <c r="H1" s="303" t="s">
        <v>376</v>
      </c>
      <c r="I1" s="216"/>
      <c r="J1" s="304">
        <f>VLOOKUP(H1,Sheet2!$A$4:$B$5,2,0)</f>
        <v>0</v>
      </c>
      <c r="K1" s="153"/>
      <c r="L1" s="153"/>
      <c r="M1" s="276"/>
      <c r="N1" s="276"/>
      <c r="O1" s="216"/>
      <c r="P1" s="153"/>
      <c r="Q1" s="199"/>
      <c r="R1" s="199"/>
      <c r="S1" s="199"/>
      <c r="T1" s="216"/>
      <c r="U1" s="199"/>
      <c r="V1" s="276"/>
      <c r="W1" s="199"/>
      <c r="X1" s="216"/>
      <c r="Y1" s="199"/>
      <c r="Z1" s="216"/>
      <c r="AA1" s="199"/>
    </row>
    <row r="2" spans="3:31" s="26" customFormat="1" ht="15" customHeight="1">
      <c r="C2" s="309" t="s">
        <v>6</v>
      </c>
      <c r="D2" s="217"/>
      <c r="E2" s="217"/>
      <c r="F2" s="217"/>
      <c r="G2" s="262"/>
      <c r="H2" s="200"/>
      <c r="I2" s="217"/>
      <c r="J2" s="200"/>
      <c r="K2" s="197"/>
      <c r="L2" s="192"/>
      <c r="M2" s="277"/>
      <c r="N2" s="277"/>
      <c r="O2" s="217"/>
      <c r="P2" s="181"/>
      <c r="Q2" s="310" t="s">
        <v>0</v>
      </c>
      <c r="R2" s="311"/>
      <c r="S2" s="311"/>
      <c r="T2" s="312"/>
      <c r="U2" s="310" t="s">
        <v>1</v>
      </c>
      <c r="V2" s="311"/>
      <c r="W2" s="311"/>
      <c r="X2" s="312"/>
      <c r="Y2" s="258"/>
      <c r="Z2" s="313" t="s">
        <v>2</v>
      </c>
      <c r="AA2" s="314"/>
    </row>
    <row r="3" spans="3:31" s="88" customFormat="1" ht="90">
      <c r="C3" s="309"/>
      <c r="D3" s="217" t="s">
        <v>351</v>
      </c>
      <c r="E3" s="217" t="s">
        <v>379</v>
      </c>
      <c r="F3" s="217" t="s">
        <v>380</v>
      </c>
      <c r="G3" s="262" t="s">
        <v>375</v>
      </c>
      <c r="H3" s="200" t="s">
        <v>352</v>
      </c>
      <c r="I3" s="217" t="s">
        <v>311</v>
      </c>
      <c r="J3" s="200" t="s">
        <v>355</v>
      </c>
      <c r="K3" s="198" t="s">
        <v>356</v>
      </c>
      <c r="L3" s="192" t="s">
        <v>353</v>
      </c>
      <c r="M3" s="277" t="s">
        <v>354</v>
      </c>
      <c r="N3" s="277" t="s">
        <v>350</v>
      </c>
      <c r="O3" s="217" t="s">
        <v>358</v>
      </c>
      <c r="P3" s="181" t="s">
        <v>340</v>
      </c>
      <c r="Q3" s="235" t="s">
        <v>21</v>
      </c>
      <c r="R3" s="236" t="s">
        <v>337</v>
      </c>
      <c r="S3" s="236" t="s">
        <v>338</v>
      </c>
      <c r="T3" s="265" t="s">
        <v>339</v>
      </c>
      <c r="U3" s="235" t="s">
        <v>21</v>
      </c>
      <c r="V3" s="294" t="s">
        <v>18</v>
      </c>
      <c r="W3" s="236" t="s">
        <v>3</v>
      </c>
      <c r="X3" s="265" t="s">
        <v>339</v>
      </c>
      <c r="Y3" s="259" t="s">
        <v>183</v>
      </c>
      <c r="Z3" s="265" t="s">
        <v>21</v>
      </c>
      <c r="AA3" s="235" t="s">
        <v>357</v>
      </c>
      <c r="AB3" s="27"/>
    </row>
    <row r="4" spans="3:31" s="25" customFormat="1">
      <c r="C4" s="263"/>
      <c r="D4" s="218"/>
      <c r="E4" s="218"/>
      <c r="F4" s="218"/>
      <c r="G4" s="201"/>
      <c r="H4" s="201"/>
      <c r="I4" s="218"/>
      <c r="J4" s="201"/>
      <c r="K4" s="182"/>
      <c r="L4" s="182"/>
      <c r="M4" s="278"/>
      <c r="N4" s="278"/>
      <c r="O4" s="218"/>
      <c r="P4" s="182"/>
      <c r="Q4" s="237" t="s">
        <v>4</v>
      </c>
      <c r="R4" s="238" t="s">
        <v>4</v>
      </c>
      <c r="S4" s="237" t="s">
        <v>4</v>
      </c>
      <c r="T4" s="266" t="s">
        <v>4</v>
      </c>
      <c r="U4" s="255" t="s">
        <v>4</v>
      </c>
      <c r="V4" s="295" t="s">
        <v>4</v>
      </c>
      <c r="W4" s="237" t="s">
        <v>4</v>
      </c>
      <c r="X4" s="266" t="s">
        <v>4</v>
      </c>
      <c r="Y4" s="237" t="s">
        <v>4</v>
      </c>
      <c r="Z4" s="266" t="s">
        <v>4</v>
      </c>
      <c r="AA4" s="237" t="s">
        <v>4</v>
      </c>
    </row>
    <row r="5" spans="3:31" s="25" customFormat="1">
      <c r="C5" s="202"/>
      <c r="D5" s="219"/>
      <c r="E5" s="219"/>
      <c r="F5" s="219"/>
      <c r="G5" s="202"/>
      <c r="H5" s="202"/>
      <c r="I5" s="219"/>
      <c r="J5" s="202"/>
      <c r="K5" s="89"/>
      <c r="L5" s="89"/>
      <c r="M5" s="279"/>
      <c r="N5" s="279"/>
      <c r="O5" s="219"/>
      <c r="P5" s="89"/>
      <c r="Q5" s="239"/>
      <c r="R5" s="240"/>
      <c r="S5" s="239"/>
      <c r="T5" s="267"/>
      <c r="U5" s="239"/>
      <c r="V5" s="296"/>
      <c r="W5" s="239"/>
      <c r="X5" s="267"/>
      <c r="Y5" s="239"/>
      <c r="Z5" s="267"/>
      <c r="AA5" s="239"/>
    </row>
    <row r="6" spans="3:31" s="25" customFormat="1">
      <c r="C6" s="202" t="s">
        <v>166</v>
      </c>
      <c r="D6" s="219"/>
      <c r="E6" s="219"/>
      <c r="F6" s="219"/>
      <c r="G6" s="202"/>
      <c r="H6" s="202"/>
      <c r="I6" s="219"/>
      <c r="J6" s="202"/>
      <c r="K6" s="89"/>
      <c r="L6" s="89"/>
      <c r="M6" s="279"/>
      <c r="N6" s="279"/>
      <c r="O6" s="219"/>
      <c r="P6" s="89"/>
      <c r="Q6" s="239"/>
      <c r="R6" s="240"/>
      <c r="S6" s="239"/>
      <c r="T6" s="267"/>
      <c r="U6" s="239"/>
      <c r="V6" s="296"/>
      <c r="W6" s="239"/>
      <c r="X6" s="267"/>
      <c r="Y6" s="239"/>
      <c r="Z6" s="267"/>
      <c r="AA6" s="239"/>
    </row>
    <row r="7" spans="3:31">
      <c r="C7" s="203" t="s">
        <v>5</v>
      </c>
      <c r="D7" s="220"/>
      <c r="E7" s="220"/>
      <c r="F7" s="220"/>
      <c r="G7" s="203"/>
      <c r="H7" s="203"/>
      <c r="I7" s="220"/>
      <c r="J7" s="203"/>
      <c r="K7" s="38"/>
      <c r="L7" s="38"/>
      <c r="M7" s="280"/>
      <c r="N7" s="280"/>
      <c r="O7" s="220"/>
      <c r="P7" s="38"/>
      <c r="Q7" s="241"/>
      <c r="R7" s="242"/>
      <c r="S7" s="241"/>
      <c r="T7" s="268"/>
      <c r="U7" s="243"/>
      <c r="V7" s="297"/>
      <c r="W7" s="243"/>
      <c r="X7" s="268"/>
      <c r="Y7" s="243"/>
      <c r="Z7" s="268"/>
      <c r="AA7" s="243"/>
    </row>
    <row r="8" spans="3:31">
      <c r="C8" s="204"/>
      <c r="D8" s="221" t="e">
        <f t="shared" ref="D8" si="0">IF(P8&gt;0,(1-POWER(N8/(IF(AA8&gt;0,AA8,T8)),1/P8))*100,0)</f>
        <v>#N/A</v>
      </c>
      <c r="E8" s="221" t="str">
        <f>H1</f>
        <v>WDV</v>
      </c>
      <c r="F8" s="221">
        <f>VLOOKUP(E8,Sheet2!$A$4:$B$5,2,0)</f>
        <v>0</v>
      </c>
      <c r="G8" s="204"/>
      <c r="H8" s="234"/>
      <c r="I8" s="261">
        <v>41729</v>
      </c>
      <c r="J8" s="234"/>
      <c r="K8" s="195">
        <f t="shared" ref="K8:K11" si="1">IF(Q8&gt;0,(DATEDIF(I8,J8,"d")/365),(DATEDIF(H8,O8,"d")/365))</f>
        <v>115.32602739726028</v>
      </c>
      <c r="L8" s="195">
        <f t="shared" ref="L8:L11" si="2">IF(Q8&gt;0,(DATEDIF(H8,I8, "d")/365),0)</f>
        <v>0</v>
      </c>
      <c r="M8" s="281" t="e">
        <f>VLOOKUP(G8,Sheet1!$A$4:$B$18,2,0)</f>
        <v>#N/A</v>
      </c>
      <c r="N8" s="289">
        <f t="shared" ref="N8" si="3">IF(T8=AA8,0,(IF(Q8&gt;0,(ROUND(Q8*5%,0)),(ROUND(T8*5%,0)))))</f>
        <v>0</v>
      </c>
      <c r="O8" s="261">
        <v>42094</v>
      </c>
      <c r="P8" s="196" t="e">
        <f t="shared" ref="P8:P14" si="4">IF(L8&gt;M8,0,(M8-L8))</f>
        <v>#N/A</v>
      </c>
      <c r="Q8" s="244"/>
      <c r="R8" s="245"/>
      <c r="S8" s="244"/>
      <c r="T8" s="269">
        <f t="shared" ref="T8:T13" si="5">SUM(Q8:S8)</f>
        <v>0</v>
      </c>
      <c r="U8" s="206"/>
      <c r="V8" s="283">
        <f t="shared" ref="V8:V9" si="6">IF(F8&gt;0,(ROUND(AA8*95%/P8,0)),IF(T8=AA8,0,(IF(Q8&gt;0,(IF(T8&gt;0,IF(D8&gt;0,(ROUND(IF(AA8&gt;0,AA8,T8)*D8%,0)),(AA8-N8)),(ROUND(AA8*D8%*K8,0)))),(ROUND(T8*D8%*K8,0))))))</f>
        <v>0</v>
      </c>
      <c r="W8" s="206">
        <v>0</v>
      </c>
      <c r="X8" s="223">
        <f>SUM(U8:W8)</f>
        <v>0</v>
      </c>
      <c r="Y8" s="206">
        <v>0</v>
      </c>
      <c r="Z8" s="223">
        <f>T8-X8</f>
        <v>0</v>
      </c>
      <c r="AA8" s="206"/>
    </row>
    <row r="9" spans="3:31">
      <c r="C9" s="204"/>
      <c r="D9" s="260" t="e">
        <f>IF(P9&gt;0,(1-POWER(N9/(IF(AA9&gt;0,AA9,T9)),1/P9))*100,0)</f>
        <v>#N/A</v>
      </c>
      <c r="E9" s="221" t="str">
        <f t="shared" ref="E9:E14" si="7">E8</f>
        <v>WDV</v>
      </c>
      <c r="F9" s="221">
        <f>VLOOKUP(E9,Sheet2!$A$4:$B$5,2,0)</f>
        <v>0</v>
      </c>
      <c r="G9" s="204"/>
      <c r="H9" s="234"/>
      <c r="I9" s="261">
        <v>41729</v>
      </c>
      <c r="J9" s="234"/>
      <c r="K9" s="195">
        <f t="shared" si="1"/>
        <v>115.32602739726028</v>
      </c>
      <c r="L9" s="195">
        <f t="shared" si="2"/>
        <v>0</v>
      </c>
      <c r="M9" s="281" t="e">
        <f>VLOOKUP(G9,Sheet1!$A$4:$B$18,2,0)</f>
        <v>#N/A</v>
      </c>
      <c r="N9" s="289">
        <f>IF(T9=AA9,0,(IF(Q9&gt;0,(ROUND(Q9*5%,0)),(ROUND(T9*5%,0)))))</f>
        <v>0</v>
      </c>
      <c r="O9" s="261">
        <v>42094</v>
      </c>
      <c r="P9" s="196" t="e">
        <f t="shared" si="4"/>
        <v>#N/A</v>
      </c>
      <c r="Q9" s="206"/>
      <c r="R9" s="245"/>
      <c r="S9" s="244"/>
      <c r="T9" s="269">
        <f t="shared" si="5"/>
        <v>0</v>
      </c>
      <c r="U9" s="206"/>
      <c r="V9" s="283">
        <f t="shared" si="6"/>
        <v>0</v>
      </c>
      <c r="W9" s="206"/>
      <c r="X9" s="223">
        <f>U9+V9+W9</f>
        <v>0</v>
      </c>
      <c r="Y9" s="206"/>
      <c r="Z9" s="223">
        <f>T9-X9</f>
        <v>0</v>
      </c>
      <c r="AA9" s="206"/>
    </row>
    <row r="10" spans="3:31">
      <c r="C10" s="204"/>
      <c r="D10" s="221" t="e">
        <f t="shared" ref="D10:D14" si="8">IF(P10&gt;0,(1-POWER(N10/(IF(AA10&gt;0,AA10,T10)),1/P10))*100,0)</f>
        <v>#N/A</v>
      </c>
      <c r="E10" s="221" t="str">
        <f t="shared" si="7"/>
        <v>WDV</v>
      </c>
      <c r="F10" s="221">
        <f>VLOOKUP(E10,Sheet2!$A$4:$B$5,2,0)</f>
        <v>0</v>
      </c>
      <c r="G10" s="204"/>
      <c r="H10" s="234"/>
      <c r="I10" s="261">
        <v>41729</v>
      </c>
      <c r="J10" s="234"/>
      <c r="K10" s="195">
        <f t="shared" si="1"/>
        <v>115.32602739726028</v>
      </c>
      <c r="L10" s="195">
        <f t="shared" si="2"/>
        <v>0</v>
      </c>
      <c r="M10" s="281" t="e">
        <f>VLOOKUP(G10,Sheet1!$A$4:$B$18,2,0)</f>
        <v>#N/A</v>
      </c>
      <c r="N10" s="289">
        <f t="shared" ref="N10:N14" si="9">IF(T10=AA10,0,(IF(Q10&gt;0,(ROUND(Q10*5%,0)),(ROUND(T10*5%,0)))))</f>
        <v>0</v>
      </c>
      <c r="O10" s="261">
        <v>42094</v>
      </c>
      <c r="P10" s="196" t="e">
        <f t="shared" si="4"/>
        <v>#N/A</v>
      </c>
      <c r="Q10" s="206"/>
      <c r="R10" s="245"/>
      <c r="S10" s="244"/>
      <c r="T10" s="269">
        <f t="shared" si="5"/>
        <v>0</v>
      </c>
      <c r="U10" s="206"/>
      <c r="V10" s="283">
        <f>IF(F10&gt;0,(ROUND(AA10*95%/P10,0)),IF(T10=AA10,0,(IF(Q10&gt;0,(IF(T10&gt;0,IF(D10&gt;0,(ROUND(IF(AA10&gt;0,AA10,T10)*D10%,0)),(AA10-N10)),(ROUND(AA10*D10%*K10,0)))),(ROUND(T10*D10%*K10,0))))))</f>
        <v>0</v>
      </c>
      <c r="W10" s="206"/>
      <c r="X10" s="223">
        <f>SUM(U10:W10)</f>
        <v>0</v>
      </c>
      <c r="Y10" s="206">
        <v>0</v>
      </c>
      <c r="Z10" s="223">
        <f>T10-X10</f>
        <v>0</v>
      </c>
      <c r="AA10" s="206"/>
      <c r="AE10" s="24">
        <f>AA8*AD8%</f>
        <v>0</v>
      </c>
    </row>
    <row r="11" spans="3:31">
      <c r="C11" s="204"/>
      <c r="D11" s="221" t="e">
        <f t="shared" si="8"/>
        <v>#N/A</v>
      </c>
      <c r="E11" s="221" t="str">
        <f t="shared" si="7"/>
        <v>WDV</v>
      </c>
      <c r="F11" s="221">
        <f>VLOOKUP(E11,Sheet2!$A$4:$B$5,2,0)</f>
        <v>0</v>
      </c>
      <c r="G11" s="204"/>
      <c r="H11" s="234"/>
      <c r="I11" s="261">
        <v>41729</v>
      </c>
      <c r="J11" s="234"/>
      <c r="K11" s="195">
        <f t="shared" si="1"/>
        <v>115.32602739726028</v>
      </c>
      <c r="L11" s="195">
        <f t="shared" si="2"/>
        <v>0</v>
      </c>
      <c r="M11" s="281" t="e">
        <f>VLOOKUP(G11,Sheet1!$A$4:$B$18,2,0)</f>
        <v>#N/A</v>
      </c>
      <c r="N11" s="289">
        <f t="shared" si="9"/>
        <v>0</v>
      </c>
      <c r="O11" s="261">
        <v>42094</v>
      </c>
      <c r="P11" s="196" t="e">
        <f t="shared" si="4"/>
        <v>#N/A</v>
      </c>
      <c r="Q11" s="206"/>
      <c r="R11" s="245"/>
      <c r="S11" s="244"/>
      <c r="T11" s="269">
        <f t="shared" si="5"/>
        <v>0</v>
      </c>
      <c r="U11" s="206"/>
      <c r="V11" s="283">
        <f t="shared" ref="V11:V14" si="10">IF(F11&gt;0,(ROUND(AA11*95%/P11,0)),IF(T11=AA11,0,(IF(Q11&gt;0,(IF(T11&gt;0,IF(D11&gt;0,(ROUND(IF(AA11&gt;0,AA11,T11)*D11%,0)),(AA11-N11)),(ROUND(AA11*D11%*K11,0)))),(ROUND(T11*D11%*K11,0))))))</f>
        <v>0</v>
      </c>
      <c r="W11" s="206">
        <v>0</v>
      </c>
      <c r="X11" s="223">
        <f>SUM(U11:W11)</f>
        <v>0</v>
      </c>
      <c r="Y11" s="206">
        <v>0</v>
      </c>
      <c r="Z11" s="223">
        <f>T11-X11</f>
        <v>0</v>
      </c>
      <c r="AA11" s="206"/>
    </row>
    <row r="12" spans="3:31">
      <c r="C12" s="204"/>
      <c r="D12" s="221" t="e">
        <f t="shared" ref="D12" si="11">IF(P12&gt;0,(1-POWER(N12/(IF(AA12&gt;0,AA12,T12)),1/P12))*100,0)</f>
        <v>#N/A</v>
      </c>
      <c r="E12" s="221" t="str">
        <f t="shared" si="7"/>
        <v>WDV</v>
      </c>
      <c r="F12" s="221">
        <f>VLOOKUP(E12,Sheet2!$A$4:$B$5,2,0)</f>
        <v>0</v>
      </c>
      <c r="G12" s="204"/>
      <c r="H12" s="234"/>
      <c r="I12" s="261">
        <v>41729</v>
      </c>
      <c r="J12" s="234"/>
      <c r="K12" s="195">
        <f>IF(Q12&gt;0,(DATEDIF(I12,J12,"d")/365),(DATEDIF(H12,O12,"d")/365))</f>
        <v>115.32602739726028</v>
      </c>
      <c r="L12" s="195">
        <f>IF(Q12&gt;0,(DATEDIF(H12,I12, "d")/365),0)</f>
        <v>0</v>
      </c>
      <c r="M12" s="281" t="e">
        <f>VLOOKUP(G12,Sheet1!$A$4:$B$18,2,0)</f>
        <v>#N/A</v>
      </c>
      <c r="N12" s="289">
        <f t="shared" si="9"/>
        <v>0</v>
      </c>
      <c r="O12" s="261">
        <v>42094</v>
      </c>
      <c r="P12" s="196" t="e">
        <f t="shared" ref="P12" si="12">IF(L12&gt;M12,0,(M12-L12))</f>
        <v>#N/A</v>
      </c>
      <c r="Q12" s="246"/>
      <c r="R12" s="245"/>
      <c r="S12" s="244"/>
      <c r="T12" s="269">
        <f t="shared" si="5"/>
        <v>0</v>
      </c>
      <c r="U12" s="206"/>
      <c r="V12" s="283">
        <f t="shared" si="10"/>
        <v>0</v>
      </c>
      <c r="W12" s="206"/>
      <c r="X12" s="223">
        <f>SUM(U12:W12)</f>
        <v>0</v>
      </c>
      <c r="Y12" s="206"/>
      <c r="Z12" s="223">
        <f t="shared" ref="Z12" si="13">T12-X12</f>
        <v>0</v>
      </c>
      <c r="AA12" s="206"/>
    </row>
    <row r="13" spans="3:31">
      <c r="C13" s="204"/>
      <c r="D13" s="221" t="e">
        <f t="shared" si="8"/>
        <v>#N/A</v>
      </c>
      <c r="E13" s="221" t="str">
        <f t="shared" si="7"/>
        <v>WDV</v>
      </c>
      <c r="F13" s="221">
        <f>VLOOKUP(E13,Sheet2!$A$4:$B$5,2,0)</f>
        <v>0</v>
      </c>
      <c r="G13" s="204"/>
      <c r="H13" s="234"/>
      <c r="I13" s="261">
        <v>41729</v>
      </c>
      <c r="J13" s="234"/>
      <c r="K13" s="195">
        <f>IF(Q13&gt;0,(DATEDIF(I13,J13,"d")/365),(DATEDIF(H13,O13,"d")/365))</f>
        <v>115.32602739726028</v>
      </c>
      <c r="L13" s="195">
        <f>IF(Q13&gt;0,(DATEDIF(H13,I13, "d")/365),0)</f>
        <v>0</v>
      </c>
      <c r="M13" s="281" t="e">
        <f>VLOOKUP(G13,Sheet1!$A$4:$B$18,2,0)</f>
        <v>#N/A</v>
      </c>
      <c r="N13" s="289">
        <f t="shared" si="9"/>
        <v>0</v>
      </c>
      <c r="O13" s="261">
        <v>42094</v>
      </c>
      <c r="P13" s="196" t="e">
        <f t="shared" si="4"/>
        <v>#N/A</v>
      </c>
      <c r="Q13" s="246"/>
      <c r="R13" s="245"/>
      <c r="S13" s="244"/>
      <c r="T13" s="269">
        <f t="shared" si="5"/>
        <v>0</v>
      </c>
      <c r="U13" s="206"/>
      <c r="V13" s="283">
        <f t="shared" si="10"/>
        <v>0</v>
      </c>
      <c r="W13" s="206"/>
      <c r="X13" s="223">
        <f>SUM(U13:W13)</f>
        <v>0</v>
      </c>
      <c r="Y13" s="206"/>
      <c r="Z13" s="223">
        <f t="shared" ref="Z13" si="14">T13-X13</f>
        <v>0</v>
      </c>
      <c r="AA13" s="206"/>
    </row>
    <row r="14" spans="3:31">
      <c r="C14" s="253"/>
      <c r="D14" s="221" t="e">
        <f t="shared" si="8"/>
        <v>#N/A</v>
      </c>
      <c r="E14" s="221" t="str">
        <f t="shared" si="7"/>
        <v>WDV</v>
      </c>
      <c r="F14" s="221">
        <f>VLOOKUP(E14,Sheet2!$A$4:$B$5,2,0)</f>
        <v>0</v>
      </c>
      <c r="G14" s="204"/>
      <c r="H14" s="234"/>
      <c r="I14" s="261">
        <v>41729</v>
      </c>
      <c r="J14" s="204"/>
      <c r="K14" s="195">
        <f>IF(Q14&gt;0,(DATEDIF(I14,J14,"d")/365),(DATEDIF(H14,O14,"d")/365))</f>
        <v>115.32602739726028</v>
      </c>
      <c r="L14" s="195">
        <f>IF(Q14&gt;0,(DATEDIF(H14,I14, "d")/365),0)</f>
        <v>0</v>
      </c>
      <c r="M14" s="281" t="e">
        <f>VLOOKUP(G14,Sheet1!$A$4:$B$18,2,0)</f>
        <v>#N/A</v>
      </c>
      <c r="N14" s="289">
        <f t="shared" si="9"/>
        <v>0</v>
      </c>
      <c r="O14" s="261">
        <v>42094</v>
      </c>
      <c r="P14" s="196" t="e">
        <f t="shared" si="4"/>
        <v>#N/A</v>
      </c>
      <c r="Q14" s="210"/>
      <c r="R14" s="247"/>
      <c r="S14" s="210"/>
      <c r="T14" s="227">
        <f>Q14+R14</f>
        <v>0</v>
      </c>
      <c r="U14" s="210">
        <v>0</v>
      </c>
      <c r="V14" s="283">
        <f t="shared" si="10"/>
        <v>0</v>
      </c>
      <c r="W14" s="210"/>
      <c r="X14" s="227">
        <f>U14+V14</f>
        <v>0</v>
      </c>
      <c r="Y14" s="210"/>
      <c r="Z14" s="223">
        <f>T14-X14</f>
        <v>0</v>
      </c>
      <c r="AA14" s="210">
        <v>0</v>
      </c>
    </row>
    <row r="15" spans="3:31" s="25" customFormat="1">
      <c r="C15" s="205" t="s">
        <v>81</v>
      </c>
      <c r="D15" s="222"/>
      <c r="E15" s="222"/>
      <c r="F15" s="222"/>
      <c r="G15" s="205"/>
      <c r="H15" s="205"/>
      <c r="I15" s="222"/>
      <c r="J15" s="205"/>
      <c r="K15" s="46"/>
      <c r="L15" s="46"/>
      <c r="M15" s="282"/>
      <c r="N15" s="282"/>
      <c r="O15" s="222"/>
      <c r="P15" s="185"/>
      <c r="Q15" s="205">
        <f t="shared" ref="Q15:V15" si="15">SUM(Q8:Q14)</f>
        <v>0</v>
      </c>
      <c r="R15" s="248">
        <f t="shared" si="15"/>
        <v>0</v>
      </c>
      <c r="S15" s="205">
        <f t="shared" si="15"/>
        <v>0</v>
      </c>
      <c r="T15" s="222">
        <f t="shared" si="15"/>
        <v>0</v>
      </c>
      <c r="U15" s="205">
        <f t="shared" si="15"/>
        <v>0</v>
      </c>
      <c r="V15" s="282">
        <f t="shared" si="15"/>
        <v>0</v>
      </c>
      <c r="W15" s="205">
        <f>SUM(W8:W13)</f>
        <v>0</v>
      </c>
      <c r="X15" s="222">
        <f>SUM(X8:X14)</f>
        <v>0</v>
      </c>
      <c r="Y15" s="205">
        <f>SUM(Y8:Y13)</f>
        <v>0</v>
      </c>
      <c r="Z15" s="274">
        <f>SUM(Z8:Z14)</f>
        <v>0</v>
      </c>
      <c r="AA15" s="205"/>
      <c r="AB15" s="79"/>
    </row>
    <row r="16" spans="3:31">
      <c r="C16" s="206"/>
      <c r="D16" s="223"/>
      <c r="E16" s="223"/>
      <c r="F16" s="223"/>
      <c r="G16" s="206"/>
      <c r="H16" s="206"/>
      <c r="I16" s="223"/>
      <c r="J16" s="206"/>
      <c r="K16" s="40"/>
      <c r="L16" s="40"/>
      <c r="M16" s="283"/>
      <c r="N16" s="283"/>
      <c r="O16" s="223"/>
      <c r="P16" s="186"/>
      <c r="Q16" s="243"/>
      <c r="R16" s="249"/>
      <c r="S16" s="206"/>
      <c r="T16" s="223"/>
      <c r="U16" s="206"/>
      <c r="V16" s="283"/>
      <c r="W16" s="206"/>
      <c r="X16" s="223"/>
      <c r="Y16" s="206"/>
      <c r="Z16" s="223">
        <f t="shared" ref="Z16:Z28" si="16">T16-X16</f>
        <v>0</v>
      </c>
      <c r="AA16" s="206"/>
    </row>
    <row r="17" spans="3:29" s="25" customFormat="1">
      <c r="C17" s="207" t="s">
        <v>60</v>
      </c>
      <c r="D17" s="224"/>
      <c r="E17" s="224"/>
      <c r="F17" s="224"/>
      <c r="G17" s="207"/>
      <c r="H17" s="207"/>
      <c r="I17" s="224"/>
      <c r="J17" s="207"/>
      <c r="K17" s="41"/>
      <c r="L17" s="41"/>
      <c r="M17" s="284"/>
      <c r="N17" s="284"/>
      <c r="O17" s="224"/>
      <c r="P17" s="187"/>
      <c r="Q17" s="239"/>
      <c r="R17" s="240"/>
      <c r="S17" s="239"/>
      <c r="T17" s="267"/>
      <c r="U17" s="239"/>
      <c r="V17" s="283">
        <f t="shared" ref="V17:V20" si="17">IF(F17&gt;0,(ROUND(AA17*95%/P17,0)),IF(T17=AA17,0,(IF(Q17&gt;0,(IF(T17&gt;0,IF(D17&gt;0,(ROUND(IF(AA17&gt;0,AA17,T17)*D17%,0)),(AA17-N17)),(ROUND(AA17*D17%*K17,0)))),(ROUND(T17*D17%*K17,0))))))</f>
        <v>0</v>
      </c>
      <c r="W17" s="239"/>
      <c r="X17" s="267"/>
      <c r="Y17" s="239"/>
      <c r="Z17" s="223">
        <f t="shared" si="16"/>
        <v>0</v>
      </c>
      <c r="AA17" s="239"/>
    </row>
    <row r="18" spans="3:29">
      <c r="C18" s="264"/>
      <c r="D18" s="221" t="e">
        <f t="shared" ref="D18:D19" si="18">IF(P18&gt;0,(1-POWER(N18/(IF(AA18&gt;0,AA18,T18)),1/P18))*100,0)</f>
        <v>#N/A</v>
      </c>
      <c r="E18" s="221" t="str">
        <f>E14</f>
        <v>WDV</v>
      </c>
      <c r="F18" s="221">
        <f>VLOOKUP(E18,Sheet2!$A$4:$B$5,2,0)</f>
        <v>0</v>
      </c>
      <c r="G18" s="204"/>
      <c r="H18" s="234"/>
      <c r="I18" s="261">
        <v>41729</v>
      </c>
      <c r="J18" s="234"/>
      <c r="K18" s="195">
        <f t="shared" ref="K18:K19" si="19">IF(Q18&gt;0,(DATEDIF(I18,J18,"d")/365),(DATEDIF(H18,O18,"d")/365))</f>
        <v>115.32602739726028</v>
      </c>
      <c r="L18" s="195">
        <f t="shared" ref="L18:L19" si="20">IF(Q18&gt;0,(DATEDIF(H18,I18, "d")/365),0)</f>
        <v>0</v>
      </c>
      <c r="M18" s="281" t="e">
        <f>VLOOKUP(G18,Sheet1!$A$4:$B$18,2,0)</f>
        <v>#N/A</v>
      </c>
      <c r="N18" s="289">
        <f t="shared" ref="N18:N19" si="21">IF(T18=AA18,0,(IF(Q18&gt;0,(ROUND(Q18*5%,0)),(ROUND(T18*5%,0)))))</f>
        <v>0</v>
      </c>
      <c r="O18" s="261">
        <v>42094</v>
      </c>
      <c r="P18" s="196" t="e">
        <f t="shared" ref="P18:P19" si="22">IF(L18&gt;M18,0,(M18-L18))</f>
        <v>#N/A</v>
      </c>
      <c r="Q18" s="244"/>
      <c r="R18" s="245"/>
      <c r="S18" s="244"/>
      <c r="T18" s="269">
        <f t="shared" ref="T18:T19" si="23">SUM(Q18:S18)</f>
        <v>0</v>
      </c>
      <c r="U18" s="206"/>
      <c r="V18" s="283">
        <f t="shared" si="17"/>
        <v>0</v>
      </c>
      <c r="W18" s="206">
        <v>0</v>
      </c>
      <c r="X18" s="223">
        <f t="shared" ref="X18:X19" si="24">SUM(U18:W18)</f>
        <v>0</v>
      </c>
      <c r="Y18" s="206">
        <v>0</v>
      </c>
      <c r="Z18" s="223">
        <f t="shared" si="16"/>
        <v>0</v>
      </c>
      <c r="AA18" s="206"/>
    </row>
    <row r="19" spans="3:29">
      <c r="C19" s="264"/>
      <c r="D19" s="221" t="e">
        <f t="shared" si="18"/>
        <v>#N/A</v>
      </c>
      <c r="E19" s="221" t="str">
        <f>E18</f>
        <v>WDV</v>
      </c>
      <c r="F19" s="221">
        <f>VLOOKUP(E19,Sheet2!$A$4:$B$5,2,0)</f>
        <v>0</v>
      </c>
      <c r="G19" s="204"/>
      <c r="H19" s="234"/>
      <c r="I19" s="261">
        <v>41729</v>
      </c>
      <c r="J19" s="234"/>
      <c r="K19" s="195">
        <f t="shared" si="19"/>
        <v>115.32602739726028</v>
      </c>
      <c r="L19" s="195">
        <f t="shared" si="20"/>
        <v>0</v>
      </c>
      <c r="M19" s="281" t="e">
        <f>VLOOKUP(G19,Sheet1!$A$4:$B$18,2,0)</f>
        <v>#N/A</v>
      </c>
      <c r="N19" s="289">
        <f t="shared" si="21"/>
        <v>0</v>
      </c>
      <c r="O19" s="261">
        <v>42094</v>
      </c>
      <c r="P19" s="196" t="e">
        <f t="shared" si="22"/>
        <v>#N/A</v>
      </c>
      <c r="Q19" s="244"/>
      <c r="R19" s="245"/>
      <c r="S19" s="244"/>
      <c r="T19" s="269">
        <f t="shared" si="23"/>
        <v>0</v>
      </c>
      <c r="U19" s="206"/>
      <c r="V19" s="283">
        <f t="shared" si="17"/>
        <v>0</v>
      </c>
      <c r="W19" s="206">
        <v>0</v>
      </c>
      <c r="X19" s="223">
        <f t="shared" si="24"/>
        <v>0</v>
      </c>
      <c r="Y19" s="206">
        <v>0</v>
      </c>
      <c r="Z19" s="223">
        <f t="shared" si="16"/>
        <v>0</v>
      </c>
      <c r="AA19" s="206"/>
    </row>
    <row r="20" spans="3:29">
      <c r="C20" s="208"/>
      <c r="D20" s="225"/>
      <c r="E20" s="225"/>
      <c r="F20" s="225"/>
      <c r="G20" s="208"/>
      <c r="H20" s="208"/>
      <c r="I20" s="225"/>
      <c r="J20" s="208"/>
      <c r="K20" s="42"/>
      <c r="L20" s="42"/>
      <c r="M20" s="285"/>
      <c r="N20" s="289">
        <f t="shared" ref="N20" si="25">IF(Q20&gt;0,(ROUND(Q20*5%,0)),(ROUND(T20*5%,0)))</f>
        <v>0</v>
      </c>
      <c r="O20" s="225"/>
      <c r="P20" s="188"/>
      <c r="Q20" s="206"/>
      <c r="R20" s="250"/>
      <c r="S20" s="251"/>
      <c r="T20" s="270"/>
      <c r="U20" s="251"/>
      <c r="V20" s="283">
        <f t="shared" si="17"/>
        <v>0</v>
      </c>
      <c r="W20" s="251"/>
      <c r="X20" s="270"/>
      <c r="Y20" s="251"/>
      <c r="Z20" s="223">
        <f t="shared" si="16"/>
        <v>0</v>
      </c>
      <c r="AA20" s="251"/>
    </row>
    <row r="21" spans="3:29">
      <c r="C21" s="205" t="s">
        <v>82</v>
      </c>
      <c r="D21" s="222"/>
      <c r="E21" s="222"/>
      <c r="F21" s="222"/>
      <c r="G21" s="205"/>
      <c r="H21" s="205"/>
      <c r="I21" s="222"/>
      <c r="J21" s="205"/>
      <c r="K21" s="46"/>
      <c r="L21" s="46"/>
      <c r="M21" s="282"/>
      <c r="N21" s="282"/>
      <c r="O21" s="222"/>
      <c r="P21" s="185"/>
      <c r="Q21" s="252">
        <f>SUM(Q18:Q20)</f>
        <v>0</v>
      </c>
      <c r="R21" s="252">
        <f t="shared" ref="R21:Y21" si="26">SUM(R18:R20)</f>
        <v>0</v>
      </c>
      <c r="S21" s="252">
        <f t="shared" si="26"/>
        <v>0</v>
      </c>
      <c r="T21" s="271">
        <f>SUM(T18:T20)</f>
        <v>0</v>
      </c>
      <c r="U21" s="252"/>
      <c r="V21" s="298">
        <f>V18+V19</f>
        <v>0</v>
      </c>
      <c r="W21" s="252">
        <f t="shared" si="26"/>
        <v>0</v>
      </c>
      <c r="X21" s="271">
        <f>SUM(X18:X20)</f>
        <v>0</v>
      </c>
      <c r="Y21" s="252">
        <f t="shared" si="26"/>
        <v>0</v>
      </c>
      <c r="Z21" s="274">
        <f>T21-X21</f>
        <v>0</v>
      </c>
      <c r="AA21" s="252"/>
      <c r="AC21" s="25"/>
    </row>
    <row r="22" spans="3:29">
      <c r="C22" s="209"/>
      <c r="D22" s="226"/>
      <c r="E22" s="226"/>
      <c r="F22" s="226"/>
      <c r="G22" s="209"/>
      <c r="H22" s="209"/>
      <c r="I22" s="226"/>
      <c r="J22" s="209"/>
      <c r="K22" s="39"/>
      <c r="L22" s="39"/>
      <c r="M22" s="286"/>
      <c r="N22" s="286"/>
      <c r="O22" s="226"/>
      <c r="P22" s="189"/>
      <c r="Q22" s="206"/>
      <c r="R22" s="249"/>
      <c r="S22" s="206"/>
      <c r="T22" s="223"/>
      <c r="U22" s="206"/>
      <c r="V22" s="283"/>
      <c r="W22" s="206"/>
      <c r="X22" s="223"/>
      <c r="Y22" s="206"/>
      <c r="Z22" s="223">
        <f t="shared" si="16"/>
        <v>0</v>
      </c>
      <c r="AA22" s="206"/>
    </row>
    <row r="23" spans="3:29" s="25" customFormat="1">
      <c r="C23" s="207" t="s">
        <v>63</v>
      </c>
      <c r="D23" s="224"/>
      <c r="E23" s="224"/>
      <c r="F23" s="224"/>
      <c r="G23" s="207"/>
      <c r="H23" s="207"/>
      <c r="I23" s="224"/>
      <c r="J23" s="207"/>
      <c r="K23" s="41"/>
      <c r="L23" s="41"/>
      <c r="M23" s="284"/>
      <c r="N23" s="284"/>
      <c r="O23" s="224"/>
      <c r="P23" s="187"/>
      <c r="Q23" s="239"/>
      <c r="R23" s="240"/>
      <c r="S23" s="239"/>
      <c r="T23" s="267"/>
      <c r="U23" s="239"/>
      <c r="V23" s="283">
        <f t="shared" ref="V23" si="27">IF(E23&gt;0,(ROUND(AA23*95%/P23,0)),(IF(T23=AA23,0,(IF(Q23&gt;0,(IF(T23&gt;0,IF(D23&gt;0,(ROUND(IF(AA23&gt;0,AA23,T23)*D23%,0)),(AA23-N23)),(ROUND(AA23*D23%*K23,0)))),(ROUND(T23*D23%*K23,0)))))))</f>
        <v>0</v>
      </c>
      <c r="W23" s="239"/>
      <c r="X23" s="267"/>
      <c r="Y23" s="239"/>
      <c r="Z23" s="223">
        <f t="shared" si="16"/>
        <v>0</v>
      </c>
      <c r="AA23" s="239"/>
    </row>
    <row r="24" spans="3:29">
      <c r="C24" s="204"/>
      <c r="D24" s="221" t="e">
        <f t="shared" ref="D24" si="28">IF(P24&gt;0,(1-POWER(N24/(IF(AA24&gt;0,AA24,T24)),1/P24))*100,0)</f>
        <v>#N/A</v>
      </c>
      <c r="E24" s="221" t="str">
        <f>E19</f>
        <v>WDV</v>
      </c>
      <c r="F24" s="221">
        <f>VLOOKUP(E24,Sheet2!$A$4:$B$5,2,0)</f>
        <v>0</v>
      </c>
      <c r="G24" s="204"/>
      <c r="H24" s="234"/>
      <c r="I24" s="261">
        <v>41729</v>
      </c>
      <c r="J24" s="234"/>
      <c r="K24" s="195">
        <f t="shared" ref="K24" si="29">IF(Q24&gt;0,(DATEDIF(I24,J24,"d")/365),(DATEDIF(H24,O24,"d")/365))</f>
        <v>115.32602739726028</v>
      </c>
      <c r="L24" s="195">
        <f t="shared" ref="L24" si="30">IF(Q24&gt;0,(DATEDIF(H24,I24, "d")/365),0)</f>
        <v>0</v>
      </c>
      <c r="M24" s="281" t="e">
        <f>VLOOKUP(G24,Sheet1!$A$4:$B$18,2,0)</f>
        <v>#N/A</v>
      </c>
      <c r="N24" s="289">
        <f t="shared" ref="N24:N39" si="31">IF(T24=AA24,0,(IF(Q24&gt;0,(ROUND(Q24*5%,0)),(ROUND(T24*5%,0)))))</f>
        <v>0</v>
      </c>
      <c r="O24" s="261">
        <v>42094</v>
      </c>
      <c r="P24" s="196" t="e">
        <f t="shared" ref="P24" si="32">IF(L24&gt;M24,0,(M24-L24))</f>
        <v>#N/A</v>
      </c>
      <c r="Q24" s="244"/>
      <c r="R24" s="245"/>
      <c r="S24" s="244"/>
      <c r="T24" s="269">
        <f>SUM(Q24:S24)</f>
        <v>0</v>
      </c>
      <c r="U24" s="206"/>
      <c r="V24" s="283">
        <f t="shared" ref="V24:V40" si="33">IF(F24&gt;0,(ROUND(AA24*95%/P24,0)),IF(T24=AA24,0,(IF(Q24&gt;0,(IF(T24&gt;0,IF(D24&gt;0,(ROUND(IF(AA24&gt;0,AA24,T24)*D24%,0)),(AA24-N24)),(ROUND(AA24*D24%*K24,0)))),(ROUND(T24*D24%*K24,0))))))</f>
        <v>0</v>
      </c>
      <c r="W24" s="206">
        <v>0</v>
      </c>
      <c r="X24" s="223">
        <f>SUM(U24:W24)</f>
        <v>0</v>
      </c>
      <c r="Y24" s="206">
        <v>0</v>
      </c>
      <c r="Z24" s="223">
        <f>T24-X24</f>
        <v>0</v>
      </c>
      <c r="AA24" s="206"/>
    </row>
    <row r="25" spans="3:29">
      <c r="C25" s="204"/>
      <c r="D25" s="221" t="e">
        <f t="shared" ref="D25:D39" si="34">IF(P25&gt;0,(1-POWER(N25/(IF(AA25&gt;0,AA25,T25)),1/P25))*100,0)</f>
        <v>#N/A</v>
      </c>
      <c r="E25" s="221" t="str">
        <f t="shared" ref="E25:E39" si="35">E24</f>
        <v>WDV</v>
      </c>
      <c r="F25" s="221">
        <f>VLOOKUP(E25,Sheet2!$A$4:$B$5,2,0)</f>
        <v>0</v>
      </c>
      <c r="G25" s="204"/>
      <c r="H25" s="234"/>
      <c r="I25" s="261">
        <v>41729</v>
      </c>
      <c r="J25" s="234"/>
      <c r="K25" s="195">
        <f t="shared" ref="K25:K39" si="36">IF(Q25&gt;0,(DATEDIF(I25,J25,"d")/365),(DATEDIF(H25,O25,"d")/365))</f>
        <v>115.32602739726028</v>
      </c>
      <c r="L25" s="195">
        <f t="shared" ref="L25:L39" si="37">IF(Q25&gt;0,(DATEDIF(H25,I25, "d")/365),0)</f>
        <v>0</v>
      </c>
      <c r="M25" s="281" t="e">
        <f>VLOOKUP(G25,Sheet1!$A$4:$B$18,2,0)</f>
        <v>#N/A</v>
      </c>
      <c r="N25" s="289">
        <f t="shared" si="31"/>
        <v>0</v>
      </c>
      <c r="O25" s="261">
        <v>42094</v>
      </c>
      <c r="P25" s="196" t="e">
        <f t="shared" ref="P25:P39" si="38">IF(L25&gt;M25,0,(M25-L25))</f>
        <v>#N/A</v>
      </c>
      <c r="Q25" s="206"/>
      <c r="R25" s="247"/>
      <c r="S25" s="206"/>
      <c r="T25" s="269">
        <f t="shared" ref="T25:T39" si="39">SUM(Q25:S25)</f>
        <v>0</v>
      </c>
      <c r="U25" s="206"/>
      <c r="V25" s="283">
        <f t="shared" si="33"/>
        <v>0</v>
      </c>
      <c r="W25" s="206">
        <v>0</v>
      </c>
      <c r="X25" s="223">
        <f t="shared" ref="X25:X39" si="40">SUM(U25:W25)</f>
        <v>0</v>
      </c>
      <c r="Y25" s="206">
        <v>0</v>
      </c>
      <c r="Z25" s="223">
        <f t="shared" si="16"/>
        <v>0</v>
      </c>
      <c r="AA25" s="206"/>
    </row>
    <row r="26" spans="3:29">
      <c r="C26" s="204"/>
      <c r="D26" s="221" t="e">
        <f t="shared" si="34"/>
        <v>#N/A</v>
      </c>
      <c r="E26" s="221" t="str">
        <f t="shared" si="35"/>
        <v>WDV</v>
      </c>
      <c r="F26" s="221">
        <f>VLOOKUP(E26,Sheet2!$A$4:$B$5,2,0)</f>
        <v>0</v>
      </c>
      <c r="G26" s="204"/>
      <c r="H26" s="234"/>
      <c r="I26" s="261">
        <v>41729</v>
      </c>
      <c r="J26" s="234"/>
      <c r="K26" s="195">
        <f t="shared" si="36"/>
        <v>115.32602739726028</v>
      </c>
      <c r="L26" s="195">
        <f t="shared" si="37"/>
        <v>0</v>
      </c>
      <c r="M26" s="281" t="e">
        <f>VLOOKUP(G26,Sheet1!$A$4:$B$18,2,0)</f>
        <v>#N/A</v>
      </c>
      <c r="N26" s="289">
        <f t="shared" si="31"/>
        <v>0</v>
      </c>
      <c r="O26" s="261">
        <v>42094</v>
      </c>
      <c r="P26" s="196" t="e">
        <f t="shared" si="38"/>
        <v>#N/A</v>
      </c>
      <c r="Q26" s="206"/>
      <c r="R26" s="249"/>
      <c r="S26" s="206"/>
      <c r="T26" s="269">
        <f t="shared" si="39"/>
        <v>0</v>
      </c>
      <c r="U26" s="206"/>
      <c r="V26" s="283">
        <f t="shared" si="33"/>
        <v>0</v>
      </c>
      <c r="W26" s="206"/>
      <c r="X26" s="223">
        <f t="shared" si="40"/>
        <v>0</v>
      </c>
      <c r="Y26" s="206">
        <v>0</v>
      </c>
      <c r="Z26" s="223">
        <f t="shared" si="16"/>
        <v>0</v>
      </c>
      <c r="AA26" s="206"/>
    </row>
    <row r="27" spans="3:29">
      <c r="C27" s="204"/>
      <c r="D27" s="221" t="e">
        <f t="shared" si="34"/>
        <v>#N/A</v>
      </c>
      <c r="E27" s="221" t="str">
        <f t="shared" si="35"/>
        <v>WDV</v>
      </c>
      <c r="F27" s="221">
        <f>VLOOKUP(E27,Sheet2!$A$4:$B$5,2,0)</f>
        <v>0</v>
      </c>
      <c r="G27" s="204"/>
      <c r="H27" s="234"/>
      <c r="I27" s="261">
        <v>41729</v>
      </c>
      <c r="J27" s="234"/>
      <c r="K27" s="195">
        <f t="shared" si="36"/>
        <v>115.32602739726028</v>
      </c>
      <c r="L27" s="195">
        <f t="shared" si="37"/>
        <v>0</v>
      </c>
      <c r="M27" s="281" t="e">
        <f>VLOOKUP(G27,Sheet1!$A$4:$B$18,2,0)</f>
        <v>#N/A</v>
      </c>
      <c r="N27" s="289">
        <f t="shared" si="31"/>
        <v>0</v>
      </c>
      <c r="O27" s="261">
        <v>42094</v>
      </c>
      <c r="P27" s="196" t="e">
        <f t="shared" si="38"/>
        <v>#N/A</v>
      </c>
      <c r="Q27" s="206"/>
      <c r="R27" s="249"/>
      <c r="S27" s="206"/>
      <c r="T27" s="269">
        <f t="shared" si="39"/>
        <v>0</v>
      </c>
      <c r="U27" s="206"/>
      <c r="V27" s="283">
        <f t="shared" si="33"/>
        <v>0</v>
      </c>
      <c r="W27" s="206">
        <v>0</v>
      </c>
      <c r="X27" s="223">
        <f t="shared" si="40"/>
        <v>0</v>
      </c>
      <c r="Y27" s="206">
        <v>0</v>
      </c>
      <c r="Z27" s="223">
        <f t="shared" si="16"/>
        <v>0</v>
      </c>
      <c r="AA27" s="206"/>
    </row>
    <row r="28" spans="3:29">
      <c r="C28" s="204"/>
      <c r="D28" s="221" t="e">
        <f t="shared" si="34"/>
        <v>#N/A</v>
      </c>
      <c r="E28" s="221" t="str">
        <f t="shared" si="35"/>
        <v>WDV</v>
      </c>
      <c r="F28" s="221">
        <f>VLOOKUP(E28,Sheet2!$A$4:$B$5,2,0)</f>
        <v>0</v>
      </c>
      <c r="G28" s="204"/>
      <c r="H28" s="234"/>
      <c r="I28" s="261">
        <v>41729</v>
      </c>
      <c r="J28" s="234"/>
      <c r="K28" s="195">
        <f t="shared" si="36"/>
        <v>115.32602739726028</v>
      </c>
      <c r="L28" s="195">
        <f t="shared" si="37"/>
        <v>0</v>
      </c>
      <c r="M28" s="281" t="e">
        <f>VLOOKUP(G28,Sheet1!$A$4:$B$18,2,0)</f>
        <v>#N/A</v>
      </c>
      <c r="N28" s="289">
        <f t="shared" si="31"/>
        <v>0</v>
      </c>
      <c r="O28" s="261">
        <v>42094</v>
      </c>
      <c r="P28" s="196" t="e">
        <f t="shared" si="38"/>
        <v>#N/A</v>
      </c>
      <c r="Q28" s="206"/>
      <c r="R28" s="249"/>
      <c r="S28" s="206"/>
      <c r="T28" s="269">
        <f t="shared" si="39"/>
        <v>0</v>
      </c>
      <c r="U28" s="206"/>
      <c r="V28" s="283">
        <f t="shared" si="33"/>
        <v>0</v>
      </c>
      <c r="W28" s="206">
        <v>0</v>
      </c>
      <c r="X28" s="223">
        <f t="shared" si="40"/>
        <v>0</v>
      </c>
      <c r="Y28" s="206">
        <v>0</v>
      </c>
      <c r="Z28" s="223">
        <f t="shared" si="16"/>
        <v>0</v>
      </c>
      <c r="AA28" s="206"/>
    </row>
    <row r="29" spans="3:29">
      <c r="C29" s="204"/>
      <c r="D29" s="221" t="e">
        <f t="shared" si="34"/>
        <v>#N/A</v>
      </c>
      <c r="E29" s="221" t="str">
        <f t="shared" si="35"/>
        <v>WDV</v>
      </c>
      <c r="F29" s="221">
        <f>VLOOKUP(E29,Sheet2!$A$4:$B$5,2,0)</f>
        <v>0</v>
      </c>
      <c r="G29" s="204"/>
      <c r="H29" s="234"/>
      <c r="I29" s="261">
        <v>41729</v>
      </c>
      <c r="J29" s="234"/>
      <c r="K29" s="195">
        <f t="shared" si="36"/>
        <v>115.32602739726028</v>
      </c>
      <c r="L29" s="195">
        <f t="shared" si="37"/>
        <v>0</v>
      </c>
      <c r="M29" s="281" t="e">
        <f>VLOOKUP(G29,Sheet1!$A$4:$B$18,2,0)</f>
        <v>#N/A</v>
      </c>
      <c r="N29" s="289">
        <f t="shared" si="31"/>
        <v>0</v>
      </c>
      <c r="O29" s="261">
        <v>42094</v>
      </c>
      <c r="P29" s="196" t="e">
        <f t="shared" si="38"/>
        <v>#N/A</v>
      </c>
      <c r="Q29" s="206"/>
      <c r="R29" s="249"/>
      <c r="S29" s="206"/>
      <c r="T29" s="269">
        <f t="shared" si="39"/>
        <v>0</v>
      </c>
      <c r="U29" s="206"/>
      <c r="V29" s="283">
        <f t="shared" si="33"/>
        <v>0</v>
      </c>
      <c r="W29" s="206">
        <v>0</v>
      </c>
      <c r="X29" s="223">
        <f t="shared" si="40"/>
        <v>0</v>
      </c>
      <c r="Y29" s="206">
        <v>0</v>
      </c>
      <c r="Z29" s="223">
        <f>T29-X29</f>
        <v>0</v>
      </c>
      <c r="AA29" s="206"/>
    </row>
    <row r="30" spans="3:29">
      <c r="C30" s="204"/>
      <c r="D30" s="221" t="e">
        <f t="shared" si="34"/>
        <v>#N/A</v>
      </c>
      <c r="E30" s="221" t="str">
        <f t="shared" si="35"/>
        <v>WDV</v>
      </c>
      <c r="F30" s="221">
        <f>VLOOKUP(E30,Sheet2!$A$4:$B$5,2,0)</f>
        <v>0</v>
      </c>
      <c r="G30" s="204"/>
      <c r="H30" s="234"/>
      <c r="I30" s="261">
        <v>41729</v>
      </c>
      <c r="J30" s="234"/>
      <c r="K30" s="195">
        <f t="shared" si="36"/>
        <v>115.32602739726028</v>
      </c>
      <c r="L30" s="195">
        <f t="shared" si="37"/>
        <v>0</v>
      </c>
      <c r="M30" s="281" t="e">
        <f>VLOOKUP(G30,Sheet1!$A$4:$B$18,2,0)</f>
        <v>#N/A</v>
      </c>
      <c r="N30" s="289">
        <f t="shared" si="31"/>
        <v>0</v>
      </c>
      <c r="O30" s="261">
        <v>42094</v>
      </c>
      <c r="P30" s="196" t="e">
        <f t="shared" si="38"/>
        <v>#N/A</v>
      </c>
      <c r="Q30" s="206"/>
      <c r="R30" s="249"/>
      <c r="S30" s="206"/>
      <c r="T30" s="269">
        <f t="shared" si="39"/>
        <v>0</v>
      </c>
      <c r="U30" s="206"/>
      <c r="V30" s="283">
        <f t="shared" si="33"/>
        <v>0</v>
      </c>
      <c r="W30" s="206">
        <v>0</v>
      </c>
      <c r="X30" s="223">
        <f t="shared" si="40"/>
        <v>0</v>
      </c>
      <c r="Y30" s="206">
        <v>0</v>
      </c>
      <c r="Z30" s="223">
        <f t="shared" ref="Z30:Z40" si="41">T30-X30</f>
        <v>0</v>
      </c>
      <c r="AA30" s="206"/>
    </row>
    <row r="31" spans="3:29">
      <c r="C31" s="204"/>
      <c r="D31" s="221" t="e">
        <f t="shared" si="34"/>
        <v>#N/A</v>
      </c>
      <c r="E31" s="221" t="str">
        <f t="shared" si="35"/>
        <v>WDV</v>
      </c>
      <c r="F31" s="221">
        <f>VLOOKUP(E31,Sheet2!$A$4:$B$5,2,0)</f>
        <v>0</v>
      </c>
      <c r="G31" s="204"/>
      <c r="H31" s="234"/>
      <c r="I31" s="261">
        <v>41729</v>
      </c>
      <c r="J31" s="234"/>
      <c r="K31" s="195">
        <f t="shared" si="36"/>
        <v>115.32602739726028</v>
      </c>
      <c r="L31" s="195">
        <f t="shared" si="37"/>
        <v>0</v>
      </c>
      <c r="M31" s="281" t="e">
        <f>VLOOKUP(G31,Sheet1!$A$4:$B$18,2,0)</f>
        <v>#N/A</v>
      </c>
      <c r="N31" s="289">
        <f t="shared" si="31"/>
        <v>0</v>
      </c>
      <c r="O31" s="261">
        <v>42094</v>
      </c>
      <c r="P31" s="196" t="e">
        <f t="shared" si="38"/>
        <v>#N/A</v>
      </c>
      <c r="Q31" s="206"/>
      <c r="R31" s="249"/>
      <c r="S31" s="206"/>
      <c r="T31" s="269">
        <f t="shared" si="39"/>
        <v>0</v>
      </c>
      <c r="U31" s="206"/>
      <c r="V31" s="283">
        <f t="shared" si="33"/>
        <v>0</v>
      </c>
      <c r="W31" s="206">
        <v>0</v>
      </c>
      <c r="X31" s="223">
        <f t="shared" si="40"/>
        <v>0</v>
      </c>
      <c r="Y31" s="206">
        <v>0</v>
      </c>
      <c r="Z31" s="223">
        <f t="shared" si="41"/>
        <v>0</v>
      </c>
      <c r="AA31" s="206"/>
    </row>
    <row r="32" spans="3:29">
      <c r="C32" s="204"/>
      <c r="D32" s="221" t="e">
        <f t="shared" si="34"/>
        <v>#N/A</v>
      </c>
      <c r="E32" s="221" t="str">
        <f t="shared" si="35"/>
        <v>WDV</v>
      </c>
      <c r="F32" s="221">
        <f>VLOOKUP(E32,Sheet2!$A$4:$B$5,2,0)</f>
        <v>0</v>
      </c>
      <c r="G32" s="204"/>
      <c r="H32" s="234"/>
      <c r="I32" s="261">
        <v>41729</v>
      </c>
      <c r="J32" s="234"/>
      <c r="K32" s="195">
        <f t="shared" si="36"/>
        <v>115.32602739726028</v>
      </c>
      <c r="L32" s="195">
        <f t="shared" si="37"/>
        <v>0</v>
      </c>
      <c r="M32" s="281" t="e">
        <f>VLOOKUP(G32,Sheet1!$A$4:$B$18,2,0)</f>
        <v>#N/A</v>
      </c>
      <c r="N32" s="289">
        <f t="shared" si="31"/>
        <v>0</v>
      </c>
      <c r="O32" s="261">
        <v>42094</v>
      </c>
      <c r="P32" s="196" t="e">
        <f t="shared" si="38"/>
        <v>#N/A</v>
      </c>
      <c r="Q32" s="206"/>
      <c r="R32" s="249"/>
      <c r="S32" s="206"/>
      <c r="T32" s="269">
        <f t="shared" si="39"/>
        <v>0</v>
      </c>
      <c r="U32" s="206"/>
      <c r="V32" s="283">
        <f t="shared" si="33"/>
        <v>0</v>
      </c>
      <c r="W32" s="206">
        <v>0</v>
      </c>
      <c r="X32" s="223">
        <f t="shared" si="40"/>
        <v>0</v>
      </c>
      <c r="Y32" s="206"/>
      <c r="Z32" s="223">
        <f t="shared" si="41"/>
        <v>0</v>
      </c>
      <c r="AA32" s="206"/>
    </row>
    <row r="33" spans="3:27">
      <c r="C33" s="204"/>
      <c r="D33" s="221" t="e">
        <f t="shared" si="34"/>
        <v>#N/A</v>
      </c>
      <c r="E33" s="221" t="str">
        <f t="shared" si="35"/>
        <v>WDV</v>
      </c>
      <c r="F33" s="221">
        <f>VLOOKUP(E33,Sheet2!$A$4:$B$5,2,0)</f>
        <v>0</v>
      </c>
      <c r="G33" s="204"/>
      <c r="H33" s="234"/>
      <c r="I33" s="261">
        <v>41729</v>
      </c>
      <c r="J33" s="234"/>
      <c r="K33" s="195">
        <f t="shared" si="36"/>
        <v>115.32602739726028</v>
      </c>
      <c r="L33" s="195">
        <f t="shared" si="37"/>
        <v>0</v>
      </c>
      <c r="M33" s="281" t="e">
        <f>VLOOKUP(G33,Sheet1!$A$4:$B$18,2,0)</f>
        <v>#N/A</v>
      </c>
      <c r="N33" s="289">
        <f t="shared" si="31"/>
        <v>0</v>
      </c>
      <c r="O33" s="261">
        <v>42094</v>
      </c>
      <c r="P33" s="196" t="e">
        <f t="shared" si="38"/>
        <v>#N/A</v>
      </c>
      <c r="Q33" s="206"/>
      <c r="R33" s="249"/>
      <c r="S33" s="206"/>
      <c r="T33" s="269">
        <f t="shared" si="39"/>
        <v>0</v>
      </c>
      <c r="U33" s="206"/>
      <c r="V33" s="283">
        <f t="shared" si="33"/>
        <v>0</v>
      </c>
      <c r="W33" s="206">
        <v>0</v>
      </c>
      <c r="X33" s="223">
        <f t="shared" si="40"/>
        <v>0</v>
      </c>
      <c r="Y33" s="206"/>
      <c r="Z33" s="223">
        <f t="shared" si="41"/>
        <v>0</v>
      </c>
      <c r="AA33" s="206"/>
    </row>
    <row r="34" spans="3:27">
      <c r="C34" s="204"/>
      <c r="D34" s="221" t="e">
        <f t="shared" si="34"/>
        <v>#N/A</v>
      </c>
      <c r="E34" s="221" t="str">
        <f t="shared" si="35"/>
        <v>WDV</v>
      </c>
      <c r="F34" s="221">
        <f>VLOOKUP(E34,Sheet2!$A$4:$B$5,2,0)</f>
        <v>0</v>
      </c>
      <c r="G34" s="204"/>
      <c r="H34" s="234"/>
      <c r="I34" s="261">
        <v>41729</v>
      </c>
      <c r="J34" s="234"/>
      <c r="K34" s="195">
        <f t="shared" si="36"/>
        <v>115.32602739726028</v>
      </c>
      <c r="L34" s="195">
        <f t="shared" si="37"/>
        <v>0</v>
      </c>
      <c r="M34" s="281" t="e">
        <f>VLOOKUP(G34,Sheet1!$A$4:$B$18,2,0)</f>
        <v>#N/A</v>
      </c>
      <c r="N34" s="289">
        <f t="shared" si="31"/>
        <v>0</v>
      </c>
      <c r="O34" s="261">
        <v>42094</v>
      </c>
      <c r="P34" s="196" t="e">
        <f t="shared" si="38"/>
        <v>#N/A</v>
      </c>
      <c r="Q34" s="206"/>
      <c r="R34" s="249"/>
      <c r="S34" s="206"/>
      <c r="T34" s="269">
        <f t="shared" si="39"/>
        <v>0</v>
      </c>
      <c r="U34" s="210"/>
      <c r="V34" s="283">
        <f t="shared" si="33"/>
        <v>0</v>
      </c>
      <c r="W34" s="206">
        <v>0</v>
      </c>
      <c r="X34" s="223">
        <f t="shared" si="40"/>
        <v>0</v>
      </c>
      <c r="Y34" s="206">
        <v>0</v>
      </c>
      <c r="Z34" s="223">
        <f t="shared" si="41"/>
        <v>0</v>
      </c>
      <c r="AA34" s="206"/>
    </row>
    <row r="35" spans="3:27">
      <c r="C35" s="204"/>
      <c r="D35" s="221" t="e">
        <f t="shared" si="34"/>
        <v>#N/A</v>
      </c>
      <c r="E35" s="221" t="str">
        <f t="shared" si="35"/>
        <v>WDV</v>
      </c>
      <c r="F35" s="221">
        <f>VLOOKUP(E35,Sheet2!$A$4:$B$5,2,0)</f>
        <v>0</v>
      </c>
      <c r="G35" s="204"/>
      <c r="H35" s="234"/>
      <c r="I35" s="261">
        <v>41729</v>
      </c>
      <c r="J35" s="234"/>
      <c r="K35" s="195">
        <f t="shared" si="36"/>
        <v>115.32602739726028</v>
      </c>
      <c r="L35" s="195">
        <f t="shared" si="37"/>
        <v>0</v>
      </c>
      <c r="M35" s="281" t="e">
        <f>VLOOKUP(G35,Sheet1!$A$4:$B$18,2,0)</f>
        <v>#N/A</v>
      </c>
      <c r="N35" s="289">
        <f t="shared" si="31"/>
        <v>0</v>
      </c>
      <c r="O35" s="261">
        <v>42094</v>
      </c>
      <c r="P35" s="196" t="e">
        <f t="shared" si="38"/>
        <v>#N/A</v>
      </c>
      <c r="Q35" s="206"/>
      <c r="R35" s="249"/>
      <c r="S35" s="206"/>
      <c r="T35" s="269">
        <f t="shared" si="39"/>
        <v>0</v>
      </c>
      <c r="U35" s="206"/>
      <c r="V35" s="283">
        <f t="shared" si="33"/>
        <v>0</v>
      </c>
      <c r="W35" s="206">
        <v>0</v>
      </c>
      <c r="X35" s="223">
        <f t="shared" si="40"/>
        <v>0</v>
      </c>
      <c r="Y35" s="206">
        <v>0</v>
      </c>
      <c r="Z35" s="223">
        <f t="shared" si="41"/>
        <v>0</v>
      </c>
      <c r="AA35" s="206"/>
    </row>
    <row r="36" spans="3:27">
      <c r="C36" s="204"/>
      <c r="D36" s="221" t="e">
        <f t="shared" si="34"/>
        <v>#N/A</v>
      </c>
      <c r="E36" s="221" t="str">
        <f t="shared" si="35"/>
        <v>WDV</v>
      </c>
      <c r="F36" s="221">
        <f>VLOOKUP(E36,Sheet2!$A$4:$B$5,2,0)</f>
        <v>0</v>
      </c>
      <c r="G36" s="204"/>
      <c r="H36" s="234"/>
      <c r="I36" s="261">
        <v>41729</v>
      </c>
      <c r="J36" s="234"/>
      <c r="K36" s="195">
        <f t="shared" si="36"/>
        <v>115.32602739726028</v>
      </c>
      <c r="L36" s="195">
        <f t="shared" si="37"/>
        <v>0</v>
      </c>
      <c r="M36" s="281" t="e">
        <f>VLOOKUP(G36,Sheet1!$A$4:$B$18,2,0)</f>
        <v>#N/A</v>
      </c>
      <c r="N36" s="289">
        <f t="shared" si="31"/>
        <v>0</v>
      </c>
      <c r="O36" s="261">
        <v>42094</v>
      </c>
      <c r="P36" s="196" t="e">
        <f t="shared" si="38"/>
        <v>#N/A</v>
      </c>
      <c r="Q36" s="206"/>
      <c r="R36" s="249"/>
      <c r="S36" s="206"/>
      <c r="T36" s="269">
        <f t="shared" si="39"/>
        <v>0</v>
      </c>
      <c r="U36" s="206"/>
      <c r="V36" s="283">
        <f t="shared" si="33"/>
        <v>0</v>
      </c>
      <c r="W36" s="206">
        <v>0</v>
      </c>
      <c r="X36" s="223">
        <f t="shared" si="40"/>
        <v>0</v>
      </c>
      <c r="Y36" s="206">
        <v>0</v>
      </c>
      <c r="Z36" s="223">
        <f t="shared" si="41"/>
        <v>0</v>
      </c>
      <c r="AA36" s="206"/>
    </row>
    <row r="37" spans="3:27">
      <c r="C37" s="204"/>
      <c r="D37" s="221" t="e">
        <f t="shared" si="34"/>
        <v>#N/A</v>
      </c>
      <c r="E37" s="221" t="str">
        <f t="shared" si="35"/>
        <v>WDV</v>
      </c>
      <c r="F37" s="221">
        <f>VLOOKUP(E37,Sheet2!$A$4:$B$5,2,0)</f>
        <v>0</v>
      </c>
      <c r="G37" s="204"/>
      <c r="H37" s="234"/>
      <c r="I37" s="261">
        <v>41729</v>
      </c>
      <c r="J37" s="234"/>
      <c r="K37" s="195">
        <f t="shared" si="36"/>
        <v>115.32602739726028</v>
      </c>
      <c r="L37" s="195">
        <f t="shared" si="37"/>
        <v>0</v>
      </c>
      <c r="M37" s="281" t="e">
        <f>VLOOKUP(G37,Sheet1!$A$4:$B$18,2,0)</f>
        <v>#N/A</v>
      </c>
      <c r="N37" s="289">
        <f t="shared" si="31"/>
        <v>0</v>
      </c>
      <c r="O37" s="261">
        <v>42094</v>
      </c>
      <c r="P37" s="196" t="e">
        <f t="shared" si="38"/>
        <v>#N/A</v>
      </c>
      <c r="Q37" s="206"/>
      <c r="R37" s="249"/>
      <c r="S37" s="206"/>
      <c r="T37" s="269">
        <f t="shared" si="39"/>
        <v>0</v>
      </c>
      <c r="U37" s="206"/>
      <c r="V37" s="283">
        <f t="shared" si="33"/>
        <v>0</v>
      </c>
      <c r="W37" s="206">
        <v>0</v>
      </c>
      <c r="X37" s="223">
        <f t="shared" si="40"/>
        <v>0</v>
      </c>
      <c r="Y37" s="206">
        <v>0</v>
      </c>
      <c r="Z37" s="223">
        <f t="shared" si="41"/>
        <v>0</v>
      </c>
      <c r="AA37" s="206"/>
    </row>
    <row r="38" spans="3:27">
      <c r="C38" s="204"/>
      <c r="D38" s="221" t="e">
        <f t="shared" si="34"/>
        <v>#N/A</v>
      </c>
      <c r="E38" s="221" t="str">
        <f t="shared" si="35"/>
        <v>WDV</v>
      </c>
      <c r="F38" s="221">
        <f>VLOOKUP(E38,Sheet2!$A$4:$B$5,2,0)</f>
        <v>0</v>
      </c>
      <c r="G38" s="204"/>
      <c r="H38" s="234"/>
      <c r="I38" s="261">
        <v>41729</v>
      </c>
      <c r="J38" s="234"/>
      <c r="K38" s="195">
        <f t="shared" si="36"/>
        <v>115.32602739726028</v>
      </c>
      <c r="L38" s="195">
        <f t="shared" si="37"/>
        <v>0</v>
      </c>
      <c r="M38" s="281" t="e">
        <f>VLOOKUP(G38,Sheet1!$A$4:$B$18,2,0)</f>
        <v>#N/A</v>
      </c>
      <c r="N38" s="289">
        <f t="shared" si="31"/>
        <v>0</v>
      </c>
      <c r="O38" s="261">
        <v>42094</v>
      </c>
      <c r="P38" s="196" t="e">
        <f t="shared" si="38"/>
        <v>#N/A</v>
      </c>
      <c r="Q38" s="206"/>
      <c r="R38" s="249"/>
      <c r="S38" s="206"/>
      <c r="T38" s="269">
        <f t="shared" si="39"/>
        <v>0</v>
      </c>
      <c r="U38" s="206"/>
      <c r="V38" s="283">
        <f t="shared" si="33"/>
        <v>0</v>
      </c>
      <c r="W38" s="206">
        <v>0</v>
      </c>
      <c r="X38" s="223">
        <f t="shared" si="40"/>
        <v>0</v>
      </c>
      <c r="Y38" s="206">
        <v>0</v>
      </c>
      <c r="Z38" s="223">
        <f t="shared" si="41"/>
        <v>0</v>
      </c>
      <c r="AA38" s="206"/>
    </row>
    <row r="39" spans="3:27">
      <c r="C39" s="204"/>
      <c r="D39" s="221" t="e">
        <f t="shared" si="34"/>
        <v>#N/A</v>
      </c>
      <c r="E39" s="221" t="str">
        <f t="shared" si="35"/>
        <v>WDV</v>
      </c>
      <c r="F39" s="221">
        <f>VLOOKUP(E39,Sheet2!$A$4:$B$5,2,0)</f>
        <v>0</v>
      </c>
      <c r="G39" s="204"/>
      <c r="H39" s="234"/>
      <c r="I39" s="261">
        <v>41729</v>
      </c>
      <c r="J39" s="234"/>
      <c r="K39" s="195">
        <f t="shared" si="36"/>
        <v>115.32602739726028</v>
      </c>
      <c r="L39" s="195">
        <f t="shared" si="37"/>
        <v>0</v>
      </c>
      <c r="M39" s="281" t="e">
        <f>VLOOKUP(G39,Sheet1!$A$4:$B$18,2,0)</f>
        <v>#N/A</v>
      </c>
      <c r="N39" s="289">
        <f t="shared" si="31"/>
        <v>0</v>
      </c>
      <c r="O39" s="261">
        <v>42094</v>
      </c>
      <c r="P39" s="196" t="e">
        <f t="shared" si="38"/>
        <v>#N/A</v>
      </c>
      <c r="Q39" s="206"/>
      <c r="R39" s="249"/>
      <c r="S39" s="206"/>
      <c r="T39" s="269">
        <f t="shared" si="39"/>
        <v>0</v>
      </c>
      <c r="U39" s="206"/>
      <c r="V39" s="283">
        <f t="shared" si="33"/>
        <v>0</v>
      </c>
      <c r="W39" s="206">
        <v>0</v>
      </c>
      <c r="X39" s="223">
        <f t="shared" si="40"/>
        <v>0</v>
      </c>
      <c r="Y39" s="206">
        <v>0</v>
      </c>
      <c r="Z39" s="223">
        <f t="shared" si="41"/>
        <v>0</v>
      </c>
      <c r="AA39" s="206"/>
    </row>
    <row r="40" spans="3:27">
      <c r="C40" s="210"/>
      <c r="D40" s="227"/>
      <c r="E40" s="227"/>
      <c r="F40" s="227"/>
      <c r="G40" s="210"/>
      <c r="H40" s="210"/>
      <c r="I40" s="261">
        <v>41729</v>
      </c>
      <c r="J40" s="210"/>
      <c r="K40" s="90"/>
      <c r="L40" s="90"/>
      <c r="M40" s="287"/>
      <c r="N40" s="287"/>
      <c r="O40" s="227"/>
      <c r="P40" s="196"/>
      <c r="Q40" s="210"/>
      <c r="R40" s="247"/>
      <c r="S40" s="210"/>
      <c r="T40" s="227"/>
      <c r="U40" s="206"/>
      <c r="V40" s="283">
        <f t="shared" si="33"/>
        <v>0</v>
      </c>
      <c r="W40" s="210"/>
      <c r="X40" s="227"/>
      <c r="Y40" s="210"/>
      <c r="Z40" s="223">
        <f t="shared" si="41"/>
        <v>0</v>
      </c>
      <c r="AA40" s="210"/>
    </row>
    <row r="41" spans="3:27" s="25" customFormat="1">
      <c r="C41" s="205" t="s">
        <v>83</v>
      </c>
      <c r="D41" s="222"/>
      <c r="E41" s="222"/>
      <c r="F41" s="222"/>
      <c r="G41" s="205"/>
      <c r="H41" s="205"/>
      <c r="I41" s="222"/>
      <c r="J41" s="205"/>
      <c r="K41" s="46"/>
      <c r="L41" s="46"/>
      <c r="M41" s="282"/>
      <c r="N41" s="282"/>
      <c r="O41" s="222"/>
      <c r="P41" s="185"/>
      <c r="Q41" s="252">
        <f>SUM(Q24:Q39)</f>
        <v>0</v>
      </c>
      <c r="R41" s="252">
        <f>SUM(R24:R40)</f>
        <v>0</v>
      </c>
      <c r="S41" s="252">
        <f>SUM(S24:S40)</f>
        <v>0</v>
      </c>
      <c r="T41" s="271">
        <f>SUM(T24:T40)</f>
        <v>0</v>
      </c>
      <c r="U41" s="252">
        <f>SUM(U24:U39)</f>
        <v>0</v>
      </c>
      <c r="V41" s="298">
        <f t="shared" ref="V41:AA41" si="42">SUM(V24:V40)</f>
        <v>0</v>
      </c>
      <c r="W41" s="252">
        <f t="shared" si="42"/>
        <v>0</v>
      </c>
      <c r="X41" s="271">
        <f t="shared" si="42"/>
        <v>0</v>
      </c>
      <c r="Y41" s="252">
        <f t="shared" si="42"/>
        <v>0</v>
      </c>
      <c r="Z41" s="271">
        <f t="shared" si="42"/>
        <v>0</v>
      </c>
      <c r="AA41" s="271">
        <f t="shared" si="42"/>
        <v>0</v>
      </c>
    </row>
    <row r="42" spans="3:27" s="25" customFormat="1">
      <c r="C42" s="211"/>
      <c r="D42" s="228"/>
      <c r="E42" s="228"/>
      <c r="F42" s="228"/>
      <c r="G42" s="211"/>
      <c r="H42" s="211"/>
      <c r="I42" s="228"/>
      <c r="J42" s="211"/>
      <c r="K42" s="43"/>
      <c r="L42" s="43"/>
      <c r="M42" s="288"/>
      <c r="N42" s="288"/>
      <c r="O42" s="228"/>
      <c r="P42" s="190"/>
      <c r="Q42" s="253"/>
      <c r="R42" s="254"/>
      <c r="S42" s="253"/>
      <c r="T42" s="272"/>
      <c r="U42" s="253"/>
      <c r="V42" s="298"/>
      <c r="W42" s="253"/>
      <c r="X42" s="272"/>
      <c r="Y42" s="253"/>
      <c r="Z42" s="272"/>
      <c r="AA42" s="253"/>
    </row>
    <row r="43" spans="3:27" s="25" customFormat="1">
      <c r="C43" s="205" t="s">
        <v>88</v>
      </c>
      <c r="D43" s="222"/>
      <c r="E43" s="222"/>
      <c r="F43" s="222"/>
      <c r="G43" s="205"/>
      <c r="H43" s="205"/>
      <c r="I43" s="222"/>
      <c r="J43" s="205"/>
      <c r="K43" s="46"/>
      <c r="L43" s="46"/>
      <c r="M43" s="282"/>
      <c r="N43" s="282"/>
      <c r="O43" s="222"/>
      <c r="P43" s="185"/>
      <c r="Q43" s="252">
        <f t="shared" ref="Q43:AA43" si="43">Q41+Q21+Q15</f>
        <v>0</v>
      </c>
      <c r="R43" s="252">
        <f t="shared" si="43"/>
        <v>0</v>
      </c>
      <c r="S43" s="252">
        <f t="shared" si="43"/>
        <v>0</v>
      </c>
      <c r="T43" s="271">
        <f t="shared" si="43"/>
        <v>0</v>
      </c>
      <c r="U43" s="252">
        <f t="shared" si="43"/>
        <v>0</v>
      </c>
      <c r="V43" s="298">
        <f t="shared" si="43"/>
        <v>0</v>
      </c>
      <c r="W43" s="252">
        <f t="shared" si="43"/>
        <v>0</v>
      </c>
      <c r="X43" s="271">
        <f t="shared" si="43"/>
        <v>0</v>
      </c>
      <c r="Y43" s="252">
        <f t="shared" si="43"/>
        <v>0</v>
      </c>
      <c r="Z43" s="271">
        <f t="shared" si="43"/>
        <v>0</v>
      </c>
      <c r="AA43" s="271">
        <f t="shared" si="43"/>
        <v>0</v>
      </c>
    </row>
    <row r="44" spans="3:27" s="25" customFormat="1">
      <c r="C44" s="211"/>
      <c r="D44" s="228"/>
      <c r="E44" s="228"/>
      <c r="F44" s="228"/>
      <c r="G44" s="211"/>
      <c r="H44" s="211"/>
      <c r="I44" s="228"/>
      <c r="J44" s="211"/>
      <c r="K44" s="43"/>
      <c r="L44" s="43"/>
      <c r="M44" s="288"/>
      <c r="N44" s="288"/>
      <c r="O44" s="228"/>
      <c r="P44" s="190"/>
      <c r="Q44" s="253"/>
      <c r="R44" s="254"/>
      <c r="S44" s="253"/>
      <c r="T44" s="272"/>
      <c r="U44" s="253"/>
      <c r="V44" s="299"/>
      <c r="W44" s="253"/>
      <c r="X44" s="272"/>
      <c r="Y44" s="253"/>
      <c r="Z44" s="272"/>
      <c r="AA44" s="253"/>
    </row>
    <row r="45" spans="3:27" s="25" customFormat="1">
      <c r="C45" s="211" t="s">
        <v>86</v>
      </c>
      <c r="D45" s="228"/>
      <c r="E45" s="228"/>
      <c r="F45" s="228"/>
      <c r="G45" s="211"/>
      <c r="H45" s="211"/>
      <c r="I45" s="228"/>
      <c r="J45" s="211"/>
      <c r="K45" s="43"/>
      <c r="L45" s="43"/>
      <c r="M45" s="288"/>
      <c r="N45" s="288"/>
      <c r="O45" s="228"/>
      <c r="P45" s="190"/>
      <c r="Q45" s="253"/>
      <c r="R45" s="254"/>
      <c r="S45" s="253"/>
      <c r="T45" s="272"/>
      <c r="U45" s="253"/>
      <c r="V45" s="299"/>
      <c r="W45" s="253"/>
      <c r="X45" s="272"/>
      <c r="Y45" s="253"/>
      <c r="Z45" s="272"/>
      <c r="AA45" s="253"/>
    </row>
    <row r="46" spans="3:27" s="25" customFormat="1">
      <c r="C46" s="211"/>
      <c r="D46" s="228"/>
      <c r="E46" s="228"/>
      <c r="F46" s="228"/>
      <c r="G46" s="211"/>
      <c r="H46" s="211"/>
      <c r="I46" s="228"/>
      <c r="J46" s="211"/>
      <c r="K46" s="43"/>
      <c r="L46" s="43"/>
      <c r="M46" s="288"/>
      <c r="N46" s="288"/>
      <c r="O46" s="228"/>
      <c r="P46" s="190"/>
      <c r="Q46" s="253"/>
      <c r="R46" s="254"/>
      <c r="S46" s="253"/>
      <c r="T46" s="272"/>
      <c r="U46" s="253"/>
      <c r="V46" s="283"/>
      <c r="W46" s="253"/>
      <c r="X46" s="272"/>
      <c r="Y46" s="253"/>
      <c r="Z46" s="272"/>
      <c r="AA46" s="253"/>
    </row>
    <row r="47" spans="3:27">
      <c r="C47" s="204" t="s">
        <v>67</v>
      </c>
      <c r="D47" s="221"/>
      <c r="E47" s="221"/>
      <c r="F47" s="221"/>
      <c r="G47" s="204"/>
      <c r="H47" s="234"/>
      <c r="I47" s="261"/>
      <c r="J47" s="234"/>
      <c r="K47" s="194"/>
      <c r="L47" s="195"/>
      <c r="M47" s="289"/>
      <c r="N47" s="289"/>
      <c r="O47" s="221"/>
      <c r="P47" s="183"/>
      <c r="Q47" s="206"/>
      <c r="R47" s="249"/>
      <c r="S47" s="206">
        <v>0</v>
      </c>
      <c r="T47" s="269">
        <f>SUM(Q47:S47)</f>
        <v>0</v>
      </c>
      <c r="U47" s="206"/>
      <c r="V47" s="283">
        <f>AA47</f>
        <v>0</v>
      </c>
      <c r="W47" s="206">
        <v>0</v>
      </c>
      <c r="X47" s="223"/>
      <c r="Y47" s="206"/>
      <c r="Z47" s="223"/>
      <c r="AA47" s="206"/>
    </row>
    <row r="48" spans="3:27">
      <c r="C48" s="204"/>
      <c r="D48" s="221"/>
      <c r="E48" s="221"/>
      <c r="F48" s="221"/>
      <c r="G48" s="204"/>
      <c r="H48" s="204"/>
      <c r="I48" s="221"/>
      <c r="J48" s="204"/>
      <c r="K48" s="97"/>
      <c r="L48" s="97"/>
      <c r="M48" s="289"/>
      <c r="N48" s="289"/>
      <c r="O48" s="221"/>
      <c r="P48" s="191"/>
      <c r="Q48" s="206"/>
      <c r="R48" s="249"/>
      <c r="S48" s="206"/>
      <c r="T48" s="269"/>
      <c r="U48" s="206"/>
      <c r="V48" s="298"/>
      <c r="W48" s="206"/>
      <c r="X48" s="223"/>
      <c r="Y48" s="206"/>
      <c r="Z48" s="223"/>
      <c r="AA48" s="206"/>
    </row>
    <row r="49" spans="3:27" s="25" customFormat="1">
      <c r="C49" s="205" t="s">
        <v>87</v>
      </c>
      <c r="D49" s="222"/>
      <c r="E49" s="222"/>
      <c r="F49" s="222"/>
      <c r="G49" s="205"/>
      <c r="H49" s="205"/>
      <c r="I49" s="222"/>
      <c r="J49" s="205"/>
      <c r="K49" s="46"/>
      <c r="L49" s="46"/>
      <c r="M49" s="282"/>
      <c r="N49" s="282"/>
      <c r="O49" s="222"/>
      <c r="P49" s="185"/>
      <c r="Q49" s="252">
        <f>Q47</f>
        <v>0</v>
      </c>
      <c r="R49" s="252"/>
      <c r="S49" s="252">
        <f>SUM(S47:S47)</f>
        <v>0</v>
      </c>
      <c r="T49" s="271">
        <f>SUM(T47:T47)</f>
        <v>0</v>
      </c>
      <c r="U49" s="252">
        <f>U47</f>
        <v>0</v>
      </c>
      <c r="V49" s="299">
        <f>V47</f>
        <v>0</v>
      </c>
      <c r="W49" s="252">
        <f>SUM(W47:W47)</f>
        <v>0</v>
      </c>
      <c r="X49" s="271">
        <f>SUM(X47:X47)</f>
        <v>0</v>
      </c>
      <c r="Y49" s="252">
        <f>SUM(Y47:Y47)</f>
        <v>0</v>
      </c>
      <c r="Z49" s="271"/>
      <c r="AA49" s="252"/>
    </row>
    <row r="50" spans="3:27">
      <c r="C50" s="210"/>
      <c r="D50" s="227"/>
      <c r="E50" s="227"/>
      <c r="F50" s="227"/>
      <c r="G50" s="210"/>
      <c r="H50" s="210"/>
      <c r="I50" s="227"/>
      <c r="J50" s="210"/>
      <c r="K50" s="90"/>
      <c r="L50" s="90"/>
      <c r="M50" s="287"/>
      <c r="N50" s="287"/>
      <c r="O50" s="227"/>
      <c r="P50" s="184"/>
      <c r="Q50" s="210"/>
      <c r="R50" s="247"/>
      <c r="S50" s="210"/>
      <c r="T50" s="227"/>
      <c r="U50" s="210"/>
      <c r="V50" s="298"/>
      <c r="W50" s="210"/>
      <c r="X50" s="227"/>
      <c r="Y50" s="210"/>
      <c r="Z50" s="227"/>
      <c r="AA50" s="210"/>
    </row>
    <row r="51" spans="3:27" s="25" customFormat="1">
      <c r="C51" s="205" t="s">
        <v>17</v>
      </c>
      <c r="D51" s="222"/>
      <c r="E51" s="222"/>
      <c r="F51" s="222"/>
      <c r="G51" s="205"/>
      <c r="H51" s="205"/>
      <c r="I51" s="222"/>
      <c r="J51" s="205"/>
      <c r="K51" s="46"/>
      <c r="L51" s="46"/>
      <c r="M51" s="282"/>
      <c r="N51" s="282"/>
      <c r="O51" s="222"/>
      <c r="P51" s="46"/>
      <c r="Q51" s="252">
        <f>Q49+Q41+Q21+Q15</f>
        <v>0</v>
      </c>
      <c r="R51" s="252">
        <f>R49+R41+R21+R15</f>
        <v>0</v>
      </c>
      <c r="S51" s="252">
        <f>S49+S41+S21+S15</f>
        <v>0</v>
      </c>
      <c r="T51" s="271">
        <f>T49+T41+T21+T15</f>
        <v>0</v>
      </c>
      <c r="U51" s="252">
        <f>U49+U41+U21+U15</f>
        <v>0</v>
      </c>
      <c r="V51" s="299">
        <f>V43+V49</f>
        <v>0</v>
      </c>
      <c r="W51" s="252">
        <f>W49+W41+W21+W15</f>
        <v>0</v>
      </c>
      <c r="X51" s="271">
        <f>X49+X41+X21+X15</f>
        <v>0</v>
      </c>
      <c r="Y51" s="252">
        <f>Y49+Y41+Y21+Y15</f>
        <v>0</v>
      </c>
      <c r="Z51" s="271">
        <f>Z49+Z41+Z21+Z15</f>
        <v>0</v>
      </c>
      <c r="AA51" s="271">
        <f>AA49+AA41+AA21+AA15</f>
        <v>0</v>
      </c>
    </row>
    <row r="52" spans="3:27">
      <c r="C52" s="210"/>
      <c r="D52" s="227"/>
      <c r="E52" s="227"/>
      <c r="F52" s="227"/>
      <c r="G52" s="210"/>
      <c r="H52" s="210"/>
      <c r="I52" s="227"/>
      <c r="J52" s="210"/>
      <c r="K52" s="90"/>
      <c r="L52" s="90"/>
      <c r="M52" s="287"/>
      <c r="N52" s="287"/>
      <c r="O52" s="227"/>
      <c r="P52" s="90"/>
      <c r="Q52" s="210"/>
      <c r="R52" s="247"/>
      <c r="S52" s="210"/>
      <c r="T52" s="227"/>
      <c r="U52" s="210"/>
      <c r="V52" s="300"/>
      <c r="W52" s="210"/>
      <c r="X52" s="227"/>
      <c r="Y52" s="210"/>
      <c r="Z52" s="227"/>
      <c r="AA52" s="210"/>
    </row>
    <row r="53" spans="3:27">
      <c r="C53" s="212" t="s">
        <v>80</v>
      </c>
      <c r="D53" s="229"/>
      <c r="E53" s="229"/>
      <c r="F53" s="229"/>
      <c r="G53" s="212"/>
      <c r="H53" s="212"/>
      <c r="I53" s="229"/>
      <c r="J53" s="212"/>
      <c r="K53" s="161"/>
      <c r="L53" s="161"/>
      <c r="M53" s="290"/>
      <c r="N53" s="290"/>
      <c r="O53" s="229"/>
      <c r="P53" s="161"/>
      <c r="Q53" s="255"/>
      <c r="R53" s="256"/>
      <c r="S53" s="255"/>
      <c r="T53" s="273"/>
      <c r="U53" s="257"/>
      <c r="V53" s="301"/>
      <c r="W53" s="257"/>
      <c r="X53" s="273"/>
      <c r="Y53" s="257"/>
      <c r="Z53" s="273"/>
      <c r="AA53" s="257"/>
    </row>
    <row r="56" spans="3:27">
      <c r="C56" s="204"/>
      <c r="D56" s="230"/>
      <c r="E56" s="230"/>
      <c r="F56" s="230"/>
      <c r="G56" s="275"/>
      <c r="H56" s="234"/>
      <c r="I56" s="261"/>
      <c r="J56" s="234"/>
      <c r="K56" s="194"/>
      <c r="L56" s="195"/>
      <c r="M56" s="281"/>
      <c r="N56" s="289"/>
      <c r="O56" s="221"/>
      <c r="P56" s="196"/>
      <c r="Q56" s="206"/>
      <c r="R56" s="249"/>
      <c r="S56" s="206"/>
      <c r="T56" s="269"/>
      <c r="U56" s="206"/>
      <c r="V56" s="302"/>
      <c r="W56" s="206"/>
      <c r="X56" s="223"/>
      <c r="Y56" s="206"/>
      <c r="Z56" s="223"/>
      <c r="AA56" s="206"/>
    </row>
    <row r="57" spans="3:27">
      <c r="C57" s="204"/>
      <c r="D57" s="230"/>
      <c r="E57" s="230"/>
      <c r="F57" s="230"/>
      <c r="G57" s="275"/>
      <c r="H57" s="234"/>
      <c r="I57" s="261"/>
      <c r="J57" s="234"/>
      <c r="K57" s="194"/>
      <c r="L57" s="195"/>
      <c r="M57" s="281"/>
      <c r="N57" s="289"/>
      <c r="O57" s="221"/>
      <c r="P57" s="196"/>
      <c r="Q57" s="206"/>
      <c r="R57" s="249"/>
      <c r="S57" s="206"/>
      <c r="T57" s="269"/>
      <c r="U57" s="206"/>
      <c r="V57" s="302"/>
      <c r="W57" s="206"/>
      <c r="X57" s="223"/>
      <c r="Y57" s="206"/>
      <c r="Z57" s="223"/>
      <c r="AA57" s="206"/>
    </row>
    <row r="59" spans="3:27">
      <c r="P59" s="196">
        <v>0</v>
      </c>
    </row>
    <row r="62" spans="3:27">
      <c r="C62" s="213" t="s">
        <v>343</v>
      </c>
    </row>
    <row r="63" spans="3:27">
      <c r="C63" s="253" t="s">
        <v>341</v>
      </c>
      <c r="D63" s="232"/>
      <c r="E63" s="232"/>
      <c r="F63" s="232"/>
      <c r="G63" s="214"/>
      <c r="H63" s="214"/>
      <c r="I63" s="232"/>
      <c r="J63" s="214"/>
      <c r="K63" s="25"/>
      <c r="L63" s="25"/>
      <c r="M63" s="292"/>
      <c r="N63" s="292"/>
      <c r="O63" s="232"/>
      <c r="P63" s="24" t="s">
        <v>342</v>
      </c>
      <c r="Q63" s="213">
        <f>R14</f>
        <v>0</v>
      </c>
    </row>
    <row r="70" spans="3:17">
      <c r="C70" s="213" t="s">
        <v>344</v>
      </c>
      <c r="Q70" s="213" t="s">
        <v>345</v>
      </c>
    </row>
    <row r="71" spans="3:17">
      <c r="C71" s="204" t="s">
        <v>56</v>
      </c>
      <c r="D71" s="233"/>
      <c r="E71" s="233"/>
      <c r="F71" s="233"/>
      <c r="G71" s="215"/>
      <c r="H71" s="215"/>
      <c r="I71" s="233"/>
      <c r="J71" s="215"/>
      <c r="K71" s="193"/>
      <c r="L71" s="193"/>
      <c r="M71" s="293"/>
      <c r="N71" s="293"/>
      <c r="O71" s="233"/>
      <c r="Q71" s="213">
        <f>AA9</f>
        <v>0</v>
      </c>
    </row>
    <row r="72" spans="3:17">
      <c r="P72" s="24" t="s">
        <v>346</v>
      </c>
      <c r="Q72" s="213">
        <f>V9</f>
        <v>0</v>
      </c>
    </row>
    <row r="73" spans="3:17">
      <c r="P73" s="24" t="s">
        <v>347</v>
      </c>
      <c r="Q73" s="213">
        <f>Q71-Q72</f>
        <v>0</v>
      </c>
    </row>
    <row r="75" spans="3:17">
      <c r="P75" s="24" t="s">
        <v>348</v>
      </c>
      <c r="Q75" s="213">
        <v>48888.88</v>
      </c>
    </row>
    <row r="76" spans="3:17">
      <c r="P76" s="24" t="s">
        <v>349</v>
      </c>
      <c r="Q76" s="213">
        <f>Q73-Q75</f>
        <v>-48888.88</v>
      </c>
    </row>
  </sheetData>
  <sheetProtection password="D045" sheet="1" objects="1" scenarios="1" formatCells="0" formatColumns="0" formatRows="0" insertColumns="0" insertRows="0" insertHyperlinks="0" deleteColumns="0" deleteRows="0" sort="0" autoFilter="0" pivotTables="0"/>
  <customSheetViews>
    <customSheetView guid="{87824C19-B10C-495C-99E6-C6D53A8CE673}" scale="70" showPageBreaks="1" printArea="1" hiddenColumns="1" view="pageBreakPreview" topLeftCell="C1">
      <selection activeCell="D1" sqref="D1:D1048576"/>
      <colBreaks count="1" manualBreakCount="1">
        <brk id="23" max="51" man="1"/>
      </colBreaks>
      <pageMargins left="0.31" right="0.37" top="0.75" bottom="0.75" header="0.3" footer="0.3"/>
      <pageSetup scale="35" fitToHeight="2" orientation="landscape" horizontalDpi="4294967293" verticalDpi="0" r:id="rId1"/>
    </customSheetView>
  </customSheetViews>
  <mergeCells count="4">
    <mergeCell ref="C2:C3"/>
    <mergeCell ref="Q2:T2"/>
    <mergeCell ref="U2:X2"/>
    <mergeCell ref="Z2:AA2"/>
  </mergeCells>
  <dataValidations count="2">
    <dataValidation type="list" allowBlank="1" showInputMessage="1" showErrorMessage="1" sqref="G1:G1048576">
      <formula1>scheduleii</formula1>
    </dataValidation>
    <dataValidation type="list" allowBlank="1" showInputMessage="1" showErrorMessage="1" sqref="H1">
      <formula1>METHOD</formula1>
    </dataValidation>
  </dataValidations>
  <pageMargins left="0.31" right="0.37" top="0.75" bottom="0.75" header="0.3" footer="0.3"/>
  <pageSetup scale="33" fitToHeight="2" orientation="landscape" horizontalDpi="4294967293" r:id="rId2"/>
  <colBreaks count="1" manualBreakCount="1">
    <brk id="27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164"/>
  <sheetViews>
    <sheetView view="pageBreakPreview" zoomScaleSheetLayoutView="100" workbookViewId="0">
      <selection activeCell="C166" sqref="C166"/>
    </sheetView>
  </sheetViews>
  <sheetFormatPr defaultRowHeight="15"/>
  <cols>
    <col min="1" max="1" width="8.42578125" style="163" bestFit="1" customWidth="1"/>
    <col min="2" max="2" width="63.140625" style="101" customWidth="1"/>
    <col min="3" max="3" width="20.7109375" style="133" customWidth="1"/>
    <col min="4" max="5" width="20.7109375" style="101" customWidth="1"/>
    <col min="6" max="6" width="9.140625" style="101"/>
    <col min="7" max="7" width="17.5703125" style="101" bestFit="1" customWidth="1"/>
    <col min="8" max="16384" width="9.140625" style="101"/>
  </cols>
  <sheetData>
    <row r="1" spans="1:6">
      <c r="A1" s="323" t="s">
        <v>296</v>
      </c>
      <c r="B1" s="323"/>
      <c r="C1" s="323"/>
      <c r="D1" s="323"/>
      <c r="E1" s="323"/>
    </row>
    <row r="2" spans="1:6">
      <c r="A2" s="162"/>
      <c r="B2" s="102"/>
      <c r="C2" s="132"/>
      <c r="D2" s="102"/>
      <c r="E2" s="102"/>
    </row>
    <row r="3" spans="1:6" ht="15" customHeight="1">
      <c r="A3" s="324" t="s">
        <v>22</v>
      </c>
      <c r="B3" s="326" t="s">
        <v>6</v>
      </c>
      <c r="C3" s="317" t="s">
        <v>84</v>
      </c>
      <c r="D3" s="319" t="s">
        <v>85</v>
      </c>
      <c r="E3" s="321" t="s">
        <v>79</v>
      </c>
      <c r="F3" s="102"/>
    </row>
    <row r="4" spans="1:6" ht="15" customHeight="1">
      <c r="A4" s="325"/>
      <c r="B4" s="327"/>
      <c r="C4" s="318"/>
      <c r="D4" s="320"/>
      <c r="E4" s="322"/>
      <c r="F4" s="102"/>
    </row>
    <row r="5" spans="1:6">
      <c r="A5" s="174"/>
      <c r="B5" s="176"/>
      <c r="C5" s="172"/>
      <c r="D5" s="169"/>
      <c r="E5" s="164"/>
      <c r="F5" s="102"/>
    </row>
    <row r="6" spans="1:6">
      <c r="A6" s="175">
        <v>1</v>
      </c>
      <c r="B6" s="177" t="s">
        <v>196</v>
      </c>
      <c r="C6" s="170">
        <v>504800</v>
      </c>
      <c r="D6" s="170">
        <v>0</v>
      </c>
      <c r="E6" s="165">
        <f>C6+D6</f>
        <v>504800</v>
      </c>
    </row>
    <row r="7" spans="1:6">
      <c r="A7" s="175">
        <f>+A6+1</f>
        <v>2</v>
      </c>
      <c r="B7" s="177" t="s">
        <v>197</v>
      </c>
      <c r="C7" s="170">
        <v>24000</v>
      </c>
      <c r="D7" s="170">
        <v>0</v>
      </c>
      <c r="E7" s="165">
        <f t="shared" ref="E7:E67" si="0">C7+D7</f>
        <v>24000</v>
      </c>
    </row>
    <row r="8" spans="1:6">
      <c r="A8" s="175">
        <f t="shared" ref="A8:A71" si="1">+A7+1</f>
        <v>3</v>
      </c>
      <c r="B8" s="177" t="s">
        <v>23</v>
      </c>
      <c r="C8" s="173">
        <f>1677865-28000</f>
        <v>1649865</v>
      </c>
      <c r="D8" s="170">
        <v>0</v>
      </c>
      <c r="E8" s="165">
        <f>C8+D8</f>
        <v>1649865</v>
      </c>
    </row>
    <row r="9" spans="1:6">
      <c r="A9" s="175">
        <f t="shared" si="1"/>
        <v>4</v>
      </c>
      <c r="B9" s="177" t="s">
        <v>198</v>
      </c>
      <c r="C9" s="170">
        <v>2000</v>
      </c>
      <c r="D9" s="170">
        <v>0</v>
      </c>
      <c r="E9" s="165">
        <f t="shared" si="0"/>
        <v>2000</v>
      </c>
    </row>
    <row r="10" spans="1:6">
      <c r="A10" s="175">
        <f t="shared" si="1"/>
        <v>5</v>
      </c>
      <c r="B10" s="177" t="s">
        <v>131</v>
      </c>
      <c r="C10" s="170">
        <v>27500</v>
      </c>
      <c r="D10" s="170">
        <v>0</v>
      </c>
      <c r="E10" s="165">
        <f t="shared" si="0"/>
        <v>27500</v>
      </c>
    </row>
    <row r="11" spans="1:6">
      <c r="A11" s="175">
        <f t="shared" si="1"/>
        <v>6</v>
      </c>
      <c r="B11" s="177" t="s">
        <v>199</v>
      </c>
      <c r="C11" s="170">
        <v>392312</v>
      </c>
      <c r="D11" s="170">
        <v>0</v>
      </c>
      <c r="E11" s="165">
        <f t="shared" si="0"/>
        <v>392312</v>
      </c>
    </row>
    <row r="12" spans="1:6">
      <c r="A12" s="175">
        <f t="shared" si="1"/>
        <v>7</v>
      </c>
      <c r="B12" s="177" t="s">
        <v>200</v>
      </c>
      <c r="C12" s="170">
        <v>53100</v>
      </c>
      <c r="D12" s="170">
        <v>0</v>
      </c>
      <c r="E12" s="165">
        <f t="shared" si="0"/>
        <v>53100</v>
      </c>
    </row>
    <row r="13" spans="1:6">
      <c r="A13" s="175">
        <f t="shared" si="1"/>
        <v>8</v>
      </c>
      <c r="B13" s="177" t="s">
        <v>201</v>
      </c>
      <c r="C13" s="170">
        <v>33300</v>
      </c>
      <c r="D13" s="170">
        <v>0</v>
      </c>
      <c r="E13" s="166">
        <f t="shared" si="0"/>
        <v>33300</v>
      </c>
    </row>
    <row r="14" spans="1:6">
      <c r="A14" s="175">
        <f t="shared" si="1"/>
        <v>9</v>
      </c>
      <c r="B14" s="177" t="s">
        <v>24</v>
      </c>
      <c r="C14" s="170">
        <v>1273300</v>
      </c>
      <c r="D14" s="170">
        <v>0</v>
      </c>
      <c r="E14" s="166">
        <f>C14+D14</f>
        <v>1273300</v>
      </c>
    </row>
    <row r="15" spans="1:6">
      <c r="A15" s="175">
        <f t="shared" si="1"/>
        <v>10</v>
      </c>
      <c r="B15" s="177" t="s">
        <v>202</v>
      </c>
      <c r="C15" s="170">
        <v>48500</v>
      </c>
      <c r="D15" s="170">
        <v>0</v>
      </c>
      <c r="E15" s="166">
        <f t="shared" si="0"/>
        <v>48500</v>
      </c>
    </row>
    <row r="16" spans="1:6">
      <c r="A16" s="175">
        <f t="shared" si="1"/>
        <v>11</v>
      </c>
      <c r="B16" s="177" t="s">
        <v>25</v>
      </c>
      <c r="C16" s="170">
        <v>204400</v>
      </c>
      <c r="D16" s="170">
        <v>0</v>
      </c>
      <c r="E16" s="166">
        <f t="shared" si="0"/>
        <v>204400</v>
      </c>
    </row>
    <row r="17" spans="1:7">
      <c r="A17" s="175">
        <f t="shared" si="1"/>
        <v>12</v>
      </c>
      <c r="B17" s="177" t="s">
        <v>203</v>
      </c>
      <c r="C17" s="170">
        <v>59200</v>
      </c>
      <c r="D17" s="170">
        <v>0</v>
      </c>
      <c r="E17" s="166">
        <f t="shared" si="0"/>
        <v>59200</v>
      </c>
    </row>
    <row r="18" spans="1:7">
      <c r="A18" s="175">
        <f t="shared" si="1"/>
        <v>13</v>
      </c>
      <c r="B18" s="177" t="s">
        <v>26</v>
      </c>
      <c r="C18" s="170">
        <v>72400</v>
      </c>
      <c r="D18" s="170">
        <v>0</v>
      </c>
      <c r="E18" s="166">
        <f t="shared" si="0"/>
        <v>72400</v>
      </c>
      <c r="G18" s="133"/>
    </row>
    <row r="19" spans="1:7">
      <c r="A19" s="175">
        <f t="shared" si="1"/>
        <v>14</v>
      </c>
      <c r="B19" s="177" t="s">
        <v>204</v>
      </c>
      <c r="C19" s="170">
        <v>161800</v>
      </c>
      <c r="D19" s="170">
        <v>0</v>
      </c>
      <c r="E19" s="166">
        <f t="shared" si="0"/>
        <v>161800</v>
      </c>
      <c r="G19" s="133"/>
    </row>
    <row r="20" spans="1:7">
      <c r="A20" s="175">
        <f t="shared" si="1"/>
        <v>15</v>
      </c>
      <c r="B20" s="177" t="s">
        <v>205</v>
      </c>
      <c r="C20" s="170">
        <v>73400</v>
      </c>
      <c r="D20" s="170">
        <v>0</v>
      </c>
      <c r="E20" s="167">
        <f t="shared" si="0"/>
        <v>73400</v>
      </c>
    </row>
    <row r="21" spans="1:7">
      <c r="A21" s="175">
        <f t="shared" si="1"/>
        <v>16</v>
      </c>
      <c r="B21" s="177" t="s">
        <v>139</v>
      </c>
      <c r="C21" s="170">
        <v>0</v>
      </c>
      <c r="D21" s="170">
        <v>0</v>
      </c>
      <c r="E21" s="165">
        <f t="shared" si="0"/>
        <v>0</v>
      </c>
      <c r="G21" s="133"/>
    </row>
    <row r="22" spans="1:7">
      <c r="A22" s="175">
        <f t="shared" si="1"/>
        <v>17</v>
      </c>
      <c r="B22" s="177" t="s">
        <v>206</v>
      </c>
      <c r="C22" s="170">
        <v>120300</v>
      </c>
      <c r="D22" s="170">
        <v>0</v>
      </c>
      <c r="E22" s="165">
        <f t="shared" si="0"/>
        <v>120300</v>
      </c>
    </row>
    <row r="23" spans="1:7">
      <c r="A23" s="175">
        <f t="shared" si="1"/>
        <v>18</v>
      </c>
      <c r="B23" s="177" t="s">
        <v>207</v>
      </c>
      <c r="C23" s="170">
        <v>76100</v>
      </c>
      <c r="D23" s="170">
        <v>0</v>
      </c>
      <c r="E23" s="165">
        <f t="shared" si="0"/>
        <v>76100</v>
      </c>
    </row>
    <row r="24" spans="1:7">
      <c r="A24" s="175">
        <f t="shared" si="1"/>
        <v>19</v>
      </c>
      <c r="B24" s="177" t="s">
        <v>208</v>
      </c>
      <c r="C24" s="170">
        <v>150040</v>
      </c>
      <c r="D24" s="170">
        <v>0</v>
      </c>
      <c r="E24" s="165">
        <f t="shared" si="0"/>
        <v>150040</v>
      </c>
    </row>
    <row r="25" spans="1:7">
      <c r="A25" s="175">
        <f t="shared" si="1"/>
        <v>20</v>
      </c>
      <c r="B25" s="177" t="s">
        <v>154</v>
      </c>
      <c r="C25" s="170">
        <v>190800</v>
      </c>
      <c r="D25" s="170">
        <v>0</v>
      </c>
      <c r="E25" s="165">
        <f t="shared" si="0"/>
        <v>190800</v>
      </c>
    </row>
    <row r="26" spans="1:7">
      <c r="A26" s="175">
        <f t="shared" si="1"/>
        <v>21</v>
      </c>
      <c r="B26" s="177" t="s">
        <v>209</v>
      </c>
      <c r="C26" s="170">
        <v>209600</v>
      </c>
      <c r="D26" s="170">
        <v>0</v>
      </c>
      <c r="E26" s="165">
        <f t="shared" si="0"/>
        <v>209600</v>
      </c>
    </row>
    <row r="27" spans="1:7">
      <c r="A27" s="175">
        <f t="shared" si="1"/>
        <v>22</v>
      </c>
      <c r="B27" s="177" t="s">
        <v>210</v>
      </c>
      <c r="C27" s="170">
        <v>406264</v>
      </c>
      <c r="D27" s="170">
        <v>0</v>
      </c>
      <c r="E27" s="165">
        <f t="shared" si="0"/>
        <v>406264</v>
      </c>
    </row>
    <row r="28" spans="1:7">
      <c r="A28" s="175">
        <f t="shared" si="1"/>
        <v>23</v>
      </c>
      <c r="B28" s="177" t="s">
        <v>211</v>
      </c>
      <c r="C28" s="170">
        <v>48600</v>
      </c>
      <c r="D28" s="170">
        <v>0</v>
      </c>
      <c r="E28" s="165">
        <f t="shared" si="0"/>
        <v>48600</v>
      </c>
      <c r="G28" s="133"/>
    </row>
    <row r="29" spans="1:7">
      <c r="A29" s="175">
        <f t="shared" si="1"/>
        <v>24</v>
      </c>
      <c r="B29" s="177" t="s">
        <v>212</v>
      </c>
      <c r="C29" s="170">
        <v>28650</v>
      </c>
      <c r="D29" s="170">
        <v>0</v>
      </c>
      <c r="E29" s="166">
        <f t="shared" si="0"/>
        <v>28650</v>
      </c>
    </row>
    <row r="30" spans="1:7">
      <c r="A30" s="175">
        <f t="shared" si="1"/>
        <v>25</v>
      </c>
      <c r="B30" s="177" t="s">
        <v>213</v>
      </c>
      <c r="C30" s="170">
        <v>20600</v>
      </c>
      <c r="D30" s="170">
        <v>0</v>
      </c>
      <c r="E30" s="166">
        <f t="shared" si="0"/>
        <v>20600</v>
      </c>
    </row>
    <row r="31" spans="1:7">
      <c r="A31" s="175">
        <f t="shared" si="1"/>
        <v>26</v>
      </c>
      <c r="B31" s="177" t="s">
        <v>214</v>
      </c>
      <c r="C31" s="170">
        <v>176901</v>
      </c>
      <c r="D31" s="170">
        <v>0</v>
      </c>
      <c r="E31" s="166">
        <f t="shared" si="0"/>
        <v>176901</v>
      </c>
    </row>
    <row r="32" spans="1:7">
      <c r="A32" s="175">
        <f t="shared" si="1"/>
        <v>27</v>
      </c>
      <c r="B32" s="177" t="s">
        <v>215</v>
      </c>
      <c r="C32" s="170">
        <v>107400</v>
      </c>
      <c r="D32" s="170">
        <v>0</v>
      </c>
      <c r="E32" s="166">
        <f t="shared" si="0"/>
        <v>107400</v>
      </c>
    </row>
    <row r="33" spans="1:5">
      <c r="A33" s="175">
        <f t="shared" si="1"/>
        <v>28</v>
      </c>
      <c r="B33" s="177" t="s">
        <v>216</v>
      </c>
      <c r="C33" s="170">
        <v>39600</v>
      </c>
      <c r="D33" s="170">
        <v>0</v>
      </c>
      <c r="E33" s="166">
        <f t="shared" si="0"/>
        <v>39600</v>
      </c>
    </row>
    <row r="34" spans="1:5">
      <c r="A34" s="175">
        <f t="shared" si="1"/>
        <v>29</v>
      </c>
      <c r="B34" s="177" t="s">
        <v>217</v>
      </c>
      <c r="C34" s="170">
        <v>216500</v>
      </c>
      <c r="D34" s="170">
        <v>0</v>
      </c>
      <c r="E34" s="166">
        <f t="shared" si="0"/>
        <v>216500</v>
      </c>
    </row>
    <row r="35" spans="1:5">
      <c r="A35" s="175">
        <f t="shared" si="1"/>
        <v>30</v>
      </c>
      <c r="B35" s="177" t="s">
        <v>218</v>
      </c>
      <c r="C35" s="170">
        <v>23700</v>
      </c>
      <c r="D35" s="170">
        <v>0</v>
      </c>
      <c r="E35" s="166">
        <f t="shared" si="0"/>
        <v>23700</v>
      </c>
    </row>
    <row r="36" spans="1:5">
      <c r="A36" s="175">
        <f t="shared" si="1"/>
        <v>31</v>
      </c>
      <c r="B36" s="177" t="s">
        <v>27</v>
      </c>
      <c r="C36" s="170">
        <v>57600</v>
      </c>
      <c r="D36" s="170">
        <v>0</v>
      </c>
      <c r="E36" s="166">
        <f t="shared" si="0"/>
        <v>57600</v>
      </c>
    </row>
    <row r="37" spans="1:5">
      <c r="A37" s="175">
        <f t="shared" si="1"/>
        <v>32</v>
      </c>
      <c r="B37" s="177" t="s">
        <v>28</v>
      </c>
      <c r="C37" s="170">
        <v>32700</v>
      </c>
      <c r="D37" s="170">
        <v>0</v>
      </c>
      <c r="E37" s="166">
        <f t="shared" si="0"/>
        <v>32700</v>
      </c>
    </row>
    <row r="38" spans="1:5">
      <c r="A38" s="175">
        <f t="shared" si="1"/>
        <v>33</v>
      </c>
      <c r="B38" s="177" t="s">
        <v>219</v>
      </c>
      <c r="C38" s="170">
        <v>63400</v>
      </c>
      <c r="D38" s="170">
        <v>0</v>
      </c>
      <c r="E38" s="166">
        <f t="shared" si="0"/>
        <v>63400</v>
      </c>
    </row>
    <row r="39" spans="1:5">
      <c r="A39" s="175">
        <f t="shared" si="1"/>
        <v>34</v>
      </c>
      <c r="B39" s="177" t="s">
        <v>220</v>
      </c>
      <c r="C39" s="170">
        <v>28000</v>
      </c>
      <c r="D39" s="170">
        <v>0</v>
      </c>
      <c r="E39" s="166">
        <f t="shared" si="0"/>
        <v>28000</v>
      </c>
    </row>
    <row r="40" spans="1:5">
      <c r="A40" s="175">
        <f t="shared" si="1"/>
        <v>35</v>
      </c>
      <c r="B40" s="177" t="s">
        <v>29</v>
      </c>
      <c r="C40" s="170">
        <v>1537400</v>
      </c>
      <c r="D40" s="170">
        <v>0</v>
      </c>
      <c r="E40" s="166">
        <f t="shared" si="0"/>
        <v>1537400</v>
      </c>
    </row>
    <row r="41" spans="1:5">
      <c r="A41" s="175">
        <f t="shared" si="1"/>
        <v>36</v>
      </c>
      <c r="B41" s="177" t="s">
        <v>221</v>
      </c>
      <c r="C41" s="170">
        <v>33800</v>
      </c>
      <c r="D41" s="170">
        <v>0</v>
      </c>
      <c r="E41" s="166">
        <f t="shared" si="0"/>
        <v>33800</v>
      </c>
    </row>
    <row r="42" spans="1:5">
      <c r="A42" s="175">
        <f t="shared" si="1"/>
        <v>37</v>
      </c>
      <c r="B42" s="177" t="s">
        <v>132</v>
      </c>
      <c r="C42" s="170">
        <v>543201</v>
      </c>
      <c r="D42" s="170">
        <v>0</v>
      </c>
      <c r="E42" s="166">
        <f t="shared" si="0"/>
        <v>543201</v>
      </c>
    </row>
    <row r="43" spans="1:5">
      <c r="A43" s="175">
        <f t="shared" si="1"/>
        <v>38</v>
      </c>
      <c r="B43" s="177" t="s">
        <v>222</v>
      </c>
      <c r="C43" s="170">
        <v>84500</v>
      </c>
      <c r="D43" s="170">
        <v>0</v>
      </c>
      <c r="E43" s="166">
        <f t="shared" si="0"/>
        <v>84500</v>
      </c>
    </row>
    <row r="44" spans="1:5">
      <c r="A44" s="175">
        <f t="shared" si="1"/>
        <v>39</v>
      </c>
      <c r="B44" s="177" t="s">
        <v>30</v>
      </c>
      <c r="C44" s="170">
        <v>750200</v>
      </c>
      <c r="D44" s="170">
        <v>0</v>
      </c>
      <c r="E44" s="166">
        <f t="shared" si="0"/>
        <v>750200</v>
      </c>
    </row>
    <row r="45" spans="1:5">
      <c r="A45" s="175">
        <f t="shared" si="1"/>
        <v>40</v>
      </c>
      <c r="B45" s="177" t="s">
        <v>31</v>
      </c>
      <c r="C45" s="170">
        <v>662100</v>
      </c>
      <c r="D45" s="170">
        <v>0</v>
      </c>
      <c r="E45" s="166">
        <f t="shared" si="0"/>
        <v>662100</v>
      </c>
    </row>
    <row r="46" spans="1:5">
      <c r="A46" s="175">
        <f t="shared" si="1"/>
        <v>41</v>
      </c>
      <c r="B46" s="177" t="s">
        <v>223</v>
      </c>
      <c r="C46" s="170">
        <v>51700</v>
      </c>
      <c r="D46" s="170">
        <v>0</v>
      </c>
      <c r="E46" s="166">
        <f t="shared" si="0"/>
        <v>51700</v>
      </c>
    </row>
    <row r="47" spans="1:5">
      <c r="A47" s="175">
        <f t="shared" si="1"/>
        <v>42</v>
      </c>
      <c r="B47" s="177" t="s">
        <v>138</v>
      </c>
      <c r="C47" s="170">
        <v>1700</v>
      </c>
      <c r="D47" s="170">
        <v>0</v>
      </c>
      <c r="E47" s="166">
        <f t="shared" si="0"/>
        <v>1700</v>
      </c>
    </row>
    <row r="48" spans="1:5">
      <c r="A48" s="175">
        <f t="shared" si="1"/>
        <v>43</v>
      </c>
      <c r="B48" s="177" t="s">
        <v>32</v>
      </c>
      <c r="C48" s="170">
        <v>111500</v>
      </c>
      <c r="D48" s="170">
        <v>0</v>
      </c>
      <c r="E48" s="166">
        <f t="shared" si="0"/>
        <v>111500</v>
      </c>
    </row>
    <row r="49" spans="1:7">
      <c r="A49" s="175">
        <f t="shared" si="1"/>
        <v>44</v>
      </c>
      <c r="B49" s="177" t="s">
        <v>224</v>
      </c>
      <c r="C49" s="170">
        <v>31900</v>
      </c>
      <c r="D49" s="170">
        <v>0</v>
      </c>
      <c r="E49" s="166">
        <f t="shared" si="0"/>
        <v>31900</v>
      </c>
    </row>
    <row r="50" spans="1:7">
      <c r="A50" s="175">
        <f t="shared" si="1"/>
        <v>45</v>
      </c>
      <c r="B50" s="177" t="s">
        <v>33</v>
      </c>
      <c r="C50" s="170">
        <v>121200</v>
      </c>
      <c r="D50" s="170">
        <v>0</v>
      </c>
      <c r="E50" s="166">
        <f t="shared" si="0"/>
        <v>121200</v>
      </c>
    </row>
    <row r="51" spans="1:7">
      <c r="A51" s="175">
        <f t="shared" si="1"/>
        <v>46</v>
      </c>
      <c r="B51" s="177" t="s">
        <v>140</v>
      </c>
      <c r="C51" s="170">
        <v>59500</v>
      </c>
      <c r="D51" s="170">
        <v>0</v>
      </c>
      <c r="E51" s="166">
        <f t="shared" si="0"/>
        <v>59500</v>
      </c>
    </row>
    <row r="52" spans="1:7">
      <c r="A52" s="175">
        <f t="shared" si="1"/>
        <v>47</v>
      </c>
      <c r="B52" s="177" t="s">
        <v>34</v>
      </c>
      <c r="C52" s="170">
        <v>1307800</v>
      </c>
      <c r="D52" s="170">
        <v>0</v>
      </c>
      <c r="E52" s="166">
        <f t="shared" si="0"/>
        <v>1307800</v>
      </c>
    </row>
    <row r="53" spans="1:7">
      <c r="A53" s="175">
        <f t="shared" si="1"/>
        <v>48</v>
      </c>
      <c r="B53" s="177" t="s">
        <v>225</v>
      </c>
      <c r="C53" s="170">
        <v>34700</v>
      </c>
      <c r="D53" s="170">
        <v>0</v>
      </c>
      <c r="E53" s="166">
        <f t="shared" si="0"/>
        <v>34700</v>
      </c>
    </row>
    <row r="54" spans="1:7">
      <c r="A54" s="175">
        <f t="shared" si="1"/>
        <v>49</v>
      </c>
      <c r="B54" s="177" t="s">
        <v>226</v>
      </c>
      <c r="C54" s="170">
        <v>24300</v>
      </c>
      <c r="D54" s="170">
        <v>0</v>
      </c>
      <c r="E54" s="166">
        <f t="shared" si="0"/>
        <v>24300</v>
      </c>
    </row>
    <row r="55" spans="1:7">
      <c r="A55" s="175">
        <f t="shared" si="1"/>
        <v>50</v>
      </c>
      <c r="B55" s="177" t="s">
        <v>133</v>
      </c>
      <c r="C55" s="170">
        <v>108900</v>
      </c>
      <c r="D55" s="170">
        <v>0</v>
      </c>
      <c r="E55" s="166">
        <f t="shared" si="0"/>
        <v>108900</v>
      </c>
    </row>
    <row r="56" spans="1:7">
      <c r="A56" s="175">
        <f t="shared" si="1"/>
        <v>51</v>
      </c>
      <c r="B56" s="177" t="s">
        <v>227</v>
      </c>
      <c r="C56" s="170">
        <v>30000</v>
      </c>
      <c r="D56" s="170">
        <v>0</v>
      </c>
      <c r="E56" s="166">
        <f t="shared" si="0"/>
        <v>30000</v>
      </c>
    </row>
    <row r="57" spans="1:7">
      <c r="A57" s="175">
        <f t="shared" si="1"/>
        <v>52</v>
      </c>
      <c r="B57" s="177" t="s">
        <v>228</v>
      </c>
      <c r="C57" s="170">
        <v>114200</v>
      </c>
      <c r="D57" s="170">
        <v>0</v>
      </c>
      <c r="E57" s="166">
        <f t="shared" si="0"/>
        <v>114200</v>
      </c>
    </row>
    <row r="58" spans="1:7">
      <c r="A58" s="175">
        <f t="shared" si="1"/>
        <v>53</v>
      </c>
      <c r="B58" s="177" t="s">
        <v>141</v>
      </c>
      <c r="C58" s="170">
        <v>23300</v>
      </c>
      <c r="D58" s="170">
        <v>0</v>
      </c>
      <c r="E58" s="166">
        <f>C58</f>
        <v>23300</v>
      </c>
    </row>
    <row r="59" spans="1:7">
      <c r="A59" s="175">
        <f t="shared" si="1"/>
        <v>54</v>
      </c>
      <c r="B59" s="177" t="s">
        <v>229</v>
      </c>
      <c r="C59" s="170">
        <v>3500</v>
      </c>
      <c r="D59" s="170">
        <v>0</v>
      </c>
      <c r="E59" s="166">
        <f t="shared" si="0"/>
        <v>3500</v>
      </c>
    </row>
    <row r="60" spans="1:7">
      <c r="A60" s="175">
        <f t="shared" si="1"/>
        <v>55</v>
      </c>
      <c r="B60" s="177" t="s">
        <v>35</v>
      </c>
      <c r="C60" s="170">
        <v>929900</v>
      </c>
      <c r="D60" s="170">
        <v>0</v>
      </c>
      <c r="E60" s="166">
        <f t="shared" si="0"/>
        <v>929900</v>
      </c>
    </row>
    <row r="61" spans="1:7">
      <c r="A61" s="175">
        <f t="shared" si="1"/>
        <v>56</v>
      </c>
      <c r="B61" s="177" t="s">
        <v>230</v>
      </c>
      <c r="C61" s="170">
        <v>36200</v>
      </c>
      <c r="D61" s="170">
        <v>0</v>
      </c>
      <c r="E61" s="166">
        <f t="shared" si="0"/>
        <v>36200</v>
      </c>
    </row>
    <row r="62" spans="1:7">
      <c r="A62" s="175">
        <f t="shared" si="1"/>
        <v>57</v>
      </c>
      <c r="B62" s="177" t="s">
        <v>36</v>
      </c>
      <c r="C62" s="170">
        <v>240000</v>
      </c>
      <c r="D62" s="170">
        <v>0</v>
      </c>
      <c r="E62" s="166">
        <f t="shared" si="0"/>
        <v>240000</v>
      </c>
      <c r="G62" s="133"/>
    </row>
    <row r="63" spans="1:7">
      <c r="A63" s="175">
        <f t="shared" si="1"/>
        <v>58</v>
      </c>
      <c r="B63" s="177" t="s">
        <v>129</v>
      </c>
      <c r="C63" s="170">
        <v>50500</v>
      </c>
      <c r="D63" s="170">
        <v>0</v>
      </c>
      <c r="E63" s="166">
        <f>C63+D63</f>
        <v>50500</v>
      </c>
    </row>
    <row r="64" spans="1:7">
      <c r="A64" s="175">
        <f t="shared" si="1"/>
        <v>59</v>
      </c>
      <c r="B64" s="177" t="s">
        <v>37</v>
      </c>
      <c r="C64" s="170">
        <v>312200</v>
      </c>
      <c r="D64" s="170">
        <v>0</v>
      </c>
      <c r="E64" s="166">
        <f t="shared" si="0"/>
        <v>312200</v>
      </c>
    </row>
    <row r="65" spans="1:7">
      <c r="A65" s="175">
        <f t="shared" si="1"/>
        <v>60</v>
      </c>
      <c r="B65" s="177" t="s">
        <v>38</v>
      </c>
      <c r="C65" s="170">
        <v>604600</v>
      </c>
      <c r="D65" s="170">
        <v>0</v>
      </c>
      <c r="E65" s="166">
        <f t="shared" si="0"/>
        <v>604600</v>
      </c>
    </row>
    <row r="66" spans="1:7">
      <c r="A66" s="175">
        <f t="shared" si="1"/>
        <v>61</v>
      </c>
      <c r="B66" s="177" t="s">
        <v>155</v>
      </c>
      <c r="C66" s="170">
        <v>71400</v>
      </c>
      <c r="D66" s="170">
        <v>0</v>
      </c>
      <c r="E66" s="166">
        <f t="shared" si="0"/>
        <v>71400</v>
      </c>
    </row>
    <row r="67" spans="1:7">
      <c r="A67" s="175">
        <f t="shared" si="1"/>
        <v>62</v>
      </c>
      <c r="B67" s="177" t="s">
        <v>231</v>
      </c>
      <c r="C67" s="170">
        <v>133900</v>
      </c>
      <c r="D67" s="170">
        <v>0</v>
      </c>
      <c r="E67" s="166">
        <f t="shared" si="0"/>
        <v>133900</v>
      </c>
      <c r="G67" s="133"/>
    </row>
    <row r="68" spans="1:7">
      <c r="A68" s="175">
        <f t="shared" si="1"/>
        <v>63</v>
      </c>
      <c r="B68" s="177" t="s">
        <v>232</v>
      </c>
      <c r="C68" s="170">
        <v>24300</v>
      </c>
      <c r="D68" s="170">
        <v>0</v>
      </c>
      <c r="E68" s="166">
        <f t="shared" ref="E68:E133" si="2">C68+D68</f>
        <v>24300</v>
      </c>
    </row>
    <row r="69" spans="1:7">
      <c r="A69" s="175">
        <f t="shared" si="1"/>
        <v>64</v>
      </c>
      <c r="B69" s="177" t="s">
        <v>39</v>
      </c>
      <c r="C69" s="170">
        <v>64700</v>
      </c>
      <c r="D69" s="170">
        <v>0</v>
      </c>
      <c r="E69" s="166">
        <f t="shared" si="2"/>
        <v>64700</v>
      </c>
    </row>
    <row r="70" spans="1:7">
      <c r="A70" s="175">
        <f t="shared" si="1"/>
        <v>65</v>
      </c>
      <c r="B70" s="177" t="s">
        <v>142</v>
      </c>
      <c r="C70" s="170">
        <v>42500</v>
      </c>
      <c r="D70" s="170">
        <v>0</v>
      </c>
      <c r="E70" s="166">
        <f t="shared" si="2"/>
        <v>42500</v>
      </c>
    </row>
    <row r="71" spans="1:7">
      <c r="A71" s="175">
        <f t="shared" si="1"/>
        <v>66</v>
      </c>
      <c r="B71" s="177" t="s">
        <v>40</v>
      </c>
      <c r="C71" s="170">
        <v>54900</v>
      </c>
      <c r="D71" s="170">
        <v>0</v>
      </c>
      <c r="E71" s="166">
        <f t="shared" si="2"/>
        <v>54900</v>
      </c>
    </row>
    <row r="72" spans="1:7">
      <c r="A72" s="175">
        <f t="shared" ref="A72:A135" si="3">+A71+1</f>
        <v>67</v>
      </c>
      <c r="B72" s="177" t="s">
        <v>233</v>
      </c>
      <c r="C72" s="170">
        <v>44500</v>
      </c>
      <c r="D72" s="170">
        <v>0</v>
      </c>
      <c r="E72" s="166">
        <f t="shared" si="2"/>
        <v>44500</v>
      </c>
    </row>
    <row r="73" spans="1:7">
      <c r="A73" s="175">
        <f t="shared" si="3"/>
        <v>68</v>
      </c>
      <c r="B73" s="177" t="s">
        <v>134</v>
      </c>
      <c r="C73" s="170">
        <v>59000</v>
      </c>
      <c r="D73" s="170">
        <v>0</v>
      </c>
      <c r="E73" s="166">
        <f t="shared" si="2"/>
        <v>59000</v>
      </c>
    </row>
    <row r="74" spans="1:7">
      <c r="A74" s="175">
        <f t="shared" si="3"/>
        <v>69</v>
      </c>
      <c r="B74" s="177" t="s">
        <v>234</v>
      </c>
      <c r="C74" s="170">
        <v>29000</v>
      </c>
      <c r="D74" s="170">
        <v>0</v>
      </c>
      <c r="E74" s="166">
        <f t="shared" si="2"/>
        <v>29000</v>
      </c>
    </row>
    <row r="75" spans="1:7">
      <c r="A75" s="175">
        <f t="shared" si="3"/>
        <v>70</v>
      </c>
      <c r="B75" s="177" t="s">
        <v>235</v>
      </c>
      <c r="C75" s="170">
        <v>22600</v>
      </c>
      <c r="D75" s="170">
        <v>0</v>
      </c>
      <c r="E75" s="166">
        <f t="shared" si="2"/>
        <v>22600</v>
      </c>
    </row>
    <row r="76" spans="1:7">
      <c r="A76" s="175">
        <f t="shared" si="3"/>
        <v>71</v>
      </c>
      <c r="B76" s="177" t="s">
        <v>236</v>
      </c>
      <c r="C76" s="170">
        <v>46200</v>
      </c>
      <c r="D76" s="170">
        <v>0</v>
      </c>
      <c r="E76" s="166">
        <f t="shared" si="2"/>
        <v>46200</v>
      </c>
    </row>
    <row r="77" spans="1:7">
      <c r="A77" s="175">
        <f t="shared" si="3"/>
        <v>72</v>
      </c>
      <c r="B77" s="177" t="s">
        <v>237</v>
      </c>
      <c r="C77" s="170">
        <v>6600</v>
      </c>
      <c r="D77" s="170">
        <v>0</v>
      </c>
      <c r="E77" s="166">
        <f t="shared" si="2"/>
        <v>6600</v>
      </c>
    </row>
    <row r="78" spans="1:7">
      <c r="A78" s="175">
        <f t="shared" si="3"/>
        <v>73</v>
      </c>
      <c r="B78" s="177" t="s">
        <v>238</v>
      </c>
      <c r="C78" s="170">
        <v>46900</v>
      </c>
      <c r="D78" s="170">
        <v>0</v>
      </c>
      <c r="E78" s="166">
        <f t="shared" si="2"/>
        <v>46900</v>
      </c>
    </row>
    <row r="79" spans="1:7">
      <c r="A79" s="175">
        <f t="shared" si="3"/>
        <v>74</v>
      </c>
      <c r="B79" s="177" t="s">
        <v>239</v>
      </c>
      <c r="C79" s="170">
        <v>29250</v>
      </c>
      <c r="D79" s="170">
        <v>0</v>
      </c>
      <c r="E79" s="166">
        <f t="shared" si="2"/>
        <v>29250</v>
      </c>
    </row>
    <row r="80" spans="1:7">
      <c r="A80" s="175">
        <f t="shared" si="3"/>
        <v>75</v>
      </c>
      <c r="B80" s="177" t="s">
        <v>240</v>
      </c>
      <c r="C80" s="170">
        <v>32800</v>
      </c>
      <c r="D80" s="170">
        <v>0</v>
      </c>
      <c r="E80" s="166">
        <f t="shared" si="2"/>
        <v>32800</v>
      </c>
    </row>
    <row r="81" spans="1:5">
      <c r="A81" s="175">
        <f t="shared" si="3"/>
        <v>76</v>
      </c>
      <c r="B81" s="177" t="s">
        <v>241</v>
      </c>
      <c r="C81" s="170">
        <v>209800</v>
      </c>
      <c r="D81" s="170">
        <v>0</v>
      </c>
      <c r="E81" s="166">
        <f t="shared" si="2"/>
        <v>209800</v>
      </c>
    </row>
    <row r="82" spans="1:5">
      <c r="A82" s="175">
        <f t="shared" si="3"/>
        <v>77</v>
      </c>
      <c r="B82" s="177" t="s">
        <v>242</v>
      </c>
      <c r="C82" s="170">
        <v>193866</v>
      </c>
      <c r="D82" s="170">
        <v>0</v>
      </c>
      <c r="E82" s="166">
        <f t="shared" si="2"/>
        <v>193866</v>
      </c>
    </row>
    <row r="83" spans="1:5">
      <c r="A83" s="175">
        <f t="shared" si="3"/>
        <v>78</v>
      </c>
      <c r="B83" s="177" t="s">
        <v>243</v>
      </c>
      <c r="C83" s="170">
        <v>118000</v>
      </c>
      <c r="D83" s="170">
        <v>0</v>
      </c>
      <c r="E83" s="166">
        <f t="shared" si="2"/>
        <v>118000</v>
      </c>
    </row>
    <row r="84" spans="1:5">
      <c r="A84" s="175">
        <f t="shared" si="3"/>
        <v>79</v>
      </c>
      <c r="B84" s="177" t="s">
        <v>41</v>
      </c>
      <c r="C84" s="170">
        <v>1805900</v>
      </c>
      <c r="D84" s="170">
        <v>0</v>
      </c>
      <c r="E84" s="166">
        <f t="shared" si="2"/>
        <v>1805900</v>
      </c>
    </row>
    <row r="85" spans="1:5">
      <c r="A85" s="175">
        <f t="shared" si="3"/>
        <v>80</v>
      </c>
      <c r="B85" s="177" t="s">
        <v>244</v>
      </c>
      <c r="C85" s="170">
        <v>24000</v>
      </c>
      <c r="D85" s="170">
        <v>0</v>
      </c>
      <c r="E85" s="166">
        <f t="shared" si="2"/>
        <v>24000</v>
      </c>
    </row>
    <row r="86" spans="1:5">
      <c r="A86" s="175">
        <f t="shared" si="3"/>
        <v>81</v>
      </c>
      <c r="B86" s="177" t="s">
        <v>245</v>
      </c>
      <c r="C86" s="170">
        <v>556630</v>
      </c>
      <c r="D86" s="170">
        <v>0</v>
      </c>
      <c r="E86" s="166">
        <f t="shared" si="2"/>
        <v>556630</v>
      </c>
    </row>
    <row r="87" spans="1:5">
      <c r="A87" s="175">
        <f t="shared" si="3"/>
        <v>82</v>
      </c>
      <c r="B87" s="177" t="s">
        <v>42</v>
      </c>
      <c r="C87" s="170">
        <v>429900</v>
      </c>
      <c r="D87" s="170">
        <v>0</v>
      </c>
      <c r="E87" s="166">
        <f t="shared" si="2"/>
        <v>429900</v>
      </c>
    </row>
    <row r="88" spans="1:5">
      <c r="A88" s="175">
        <f t="shared" si="3"/>
        <v>83</v>
      </c>
      <c r="B88" s="177" t="s">
        <v>246</v>
      </c>
      <c r="C88" s="170">
        <v>18800</v>
      </c>
      <c r="D88" s="170">
        <v>0</v>
      </c>
      <c r="E88" s="166">
        <f t="shared" si="2"/>
        <v>18800</v>
      </c>
    </row>
    <row r="89" spans="1:5">
      <c r="A89" s="175">
        <f t="shared" si="3"/>
        <v>84</v>
      </c>
      <c r="B89" s="177" t="s">
        <v>128</v>
      </c>
      <c r="C89" s="170">
        <v>35800</v>
      </c>
      <c r="D89" s="170">
        <v>0</v>
      </c>
      <c r="E89" s="166">
        <f t="shared" si="2"/>
        <v>35800</v>
      </c>
    </row>
    <row r="90" spans="1:5">
      <c r="A90" s="175">
        <f t="shared" si="3"/>
        <v>85</v>
      </c>
      <c r="B90" s="177" t="s">
        <v>156</v>
      </c>
      <c r="C90" s="170">
        <v>2843200</v>
      </c>
      <c r="D90" s="170">
        <v>0</v>
      </c>
      <c r="E90" s="166">
        <f t="shared" si="2"/>
        <v>2843200</v>
      </c>
    </row>
    <row r="91" spans="1:5">
      <c r="A91" s="175">
        <f t="shared" si="3"/>
        <v>86</v>
      </c>
      <c r="B91" s="177" t="s">
        <v>157</v>
      </c>
      <c r="C91" s="170">
        <v>0</v>
      </c>
      <c r="D91" s="170">
        <v>2550000</v>
      </c>
      <c r="E91" s="166">
        <f t="shared" si="2"/>
        <v>2550000</v>
      </c>
    </row>
    <row r="92" spans="1:5">
      <c r="A92" s="175">
        <f t="shared" si="3"/>
        <v>87</v>
      </c>
      <c r="B92" s="177" t="s">
        <v>43</v>
      </c>
      <c r="C92" s="170">
        <v>62000</v>
      </c>
      <c r="D92" s="170">
        <v>0</v>
      </c>
      <c r="E92" s="166">
        <f t="shared" si="2"/>
        <v>62000</v>
      </c>
    </row>
    <row r="93" spans="1:5">
      <c r="A93" s="175">
        <f t="shared" si="3"/>
        <v>88</v>
      </c>
      <c r="B93" s="177" t="s">
        <v>143</v>
      </c>
      <c r="C93" s="170">
        <v>40300</v>
      </c>
      <c r="D93" s="170">
        <v>0</v>
      </c>
      <c r="E93" s="166">
        <f t="shared" si="2"/>
        <v>40300</v>
      </c>
    </row>
    <row r="94" spans="1:5">
      <c r="A94" s="175">
        <f t="shared" si="3"/>
        <v>89</v>
      </c>
      <c r="B94" s="177" t="s">
        <v>44</v>
      </c>
      <c r="C94" s="170">
        <v>160500</v>
      </c>
      <c r="D94" s="170">
        <v>0</v>
      </c>
      <c r="E94" s="166">
        <f t="shared" si="2"/>
        <v>160500</v>
      </c>
    </row>
    <row r="95" spans="1:5">
      <c r="A95" s="175">
        <f t="shared" si="3"/>
        <v>90</v>
      </c>
      <c r="B95" s="177" t="s">
        <v>247</v>
      </c>
      <c r="C95" s="170">
        <v>239100</v>
      </c>
      <c r="D95" s="170">
        <v>0</v>
      </c>
      <c r="E95" s="166">
        <f t="shared" si="2"/>
        <v>239100</v>
      </c>
    </row>
    <row r="96" spans="1:5">
      <c r="A96" s="175">
        <f t="shared" si="3"/>
        <v>91</v>
      </c>
      <c r="B96" s="177" t="s">
        <v>248</v>
      </c>
      <c r="C96" s="170">
        <v>28500</v>
      </c>
      <c r="D96" s="170">
        <v>0</v>
      </c>
      <c r="E96" s="166">
        <f t="shared" si="2"/>
        <v>28500</v>
      </c>
    </row>
    <row r="97" spans="1:5">
      <c r="A97" s="175">
        <f t="shared" si="3"/>
        <v>92</v>
      </c>
      <c r="B97" s="177" t="s">
        <v>249</v>
      </c>
      <c r="C97" s="170">
        <v>119000</v>
      </c>
      <c r="D97" s="170">
        <v>0</v>
      </c>
      <c r="E97" s="166">
        <f t="shared" si="2"/>
        <v>119000</v>
      </c>
    </row>
    <row r="98" spans="1:5">
      <c r="A98" s="175">
        <f t="shared" si="3"/>
        <v>93</v>
      </c>
      <c r="B98" s="177" t="s">
        <v>250</v>
      </c>
      <c r="C98" s="170">
        <v>120600</v>
      </c>
      <c r="D98" s="170">
        <v>0</v>
      </c>
      <c r="E98" s="166">
        <f t="shared" si="2"/>
        <v>120600</v>
      </c>
    </row>
    <row r="99" spans="1:5">
      <c r="A99" s="175">
        <f t="shared" si="3"/>
        <v>94</v>
      </c>
      <c r="B99" s="177" t="s">
        <v>251</v>
      </c>
      <c r="C99" s="170">
        <v>133500</v>
      </c>
      <c r="D99" s="170">
        <v>0</v>
      </c>
      <c r="E99" s="166">
        <f t="shared" si="2"/>
        <v>133500</v>
      </c>
    </row>
    <row r="100" spans="1:5">
      <c r="A100" s="175">
        <f t="shared" si="3"/>
        <v>95</v>
      </c>
      <c r="B100" s="177" t="s">
        <v>252</v>
      </c>
      <c r="C100" s="170">
        <v>88650</v>
      </c>
      <c r="D100" s="170">
        <v>0</v>
      </c>
      <c r="E100" s="166">
        <f t="shared" si="2"/>
        <v>88650</v>
      </c>
    </row>
    <row r="101" spans="1:5">
      <c r="A101" s="175">
        <f t="shared" si="3"/>
        <v>96</v>
      </c>
      <c r="B101" s="177" t="s">
        <v>253</v>
      </c>
      <c r="C101" s="170">
        <v>126400</v>
      </c>
      <c r="D101" s="170">
        <v>0</v>
      </c>
      <c r="E101" s="166">
        <f t="shared" si="2"/>
        <v>126400</v>
      </c>
    </row>
    <row r="102" spans="1:5">
      <c r="A102" s="175">
        <f t="shared" si="3"/>
        <v>97</v>
      </c>
      <c r="B102" s="177" t="s">
        <v>254</v>
      </c>
      <c r="C102" s="170">
        <v>31200</v>
      </c>
      <c r="D102" s="170">
        <v>0</v>
      </c>
      <c r="E102" s="166">
        <f t="shared" si="2"/>
        <v>31200</v>
      </c>
    </row>
    <row r="103" spans="1:5">
      <c r="A103" s="175">
        <f t="shared" si="3"/>
        <v>98</v>
      </c>
      <c r="B103" s="177" t="s">
        <v>255</v>
      </c>
      <c r="C103" s="170">
        <v>189799</v>
      </c>
      <c r="D103" s="170">
        <v>0</v>
      </c>
      <c r="E103" s="166">
        <f t="shared" si="2"/>
        <v>189799</v>
      </c>
    </row>
    <row r="104" spans="1:5">
      <c r="A104" s="175">
        <f t="shared" si="3"/>
        <v>99</v>
      </c>
      <c r="B104" s="177" t="s">
        <v>256</v>
      </c>
      <c r="C104" s="170">
        <v>29700</v>
      </c>
      <c r="D104" s="170">
        <v>0</v>
      </c>
      <c r="E104" s="166">
        <f t="shared" si="2"/>
        <v>29700</v>
      </c>
    </row>
    <row r="105" spans="1:5">
      <c r="A105" s="175">
        <f t="shared" si="3"/>
        <v>100</v>
      </c>
      <c r="B105" s="177" t="s">
        <v>257</v>
      </c>
      <c r="C105" s="170">
        <v>48800</v>
      </c>
      <c r="D105" s="170">
        <v>0</v>
      </c>
      <c r="E105" s="166">
        <f t="shared" si="2"/>
        <v>48800</v>
      </c>
    </row>
    <row r="106" spans="1:5">
      <c r="A106" s="175">
        <f t="shared" si="3"/>
        <v>101</v>
      </c>
      <c r="B106" s="177" t="s">
        <v>45</v>
      </c>
      <c r="C106" s="170">
        <v>175700</v>
      </c>
      <c r="D106" s="170">
        <v>0</v>
      </c>
      <c r="E106" s="166">
        <f t="shared" si="2"/>
        <v>175700</v>
      </c>
    </row>
    <row r="107" spans="1:5">
      <c r="A107" s="175">
        <f t="shared" si="3"/>
        <v>102</v>
      </c>
      <c r="B107" s="177" t="s">
        <v>46</v>
      </c>
      <c r="C107" s="170">
        <v>0</v>
      </c>
      <c r="D107" s="170">
        <v>56100</v>
      </c>
      <c r="E107" s="166">
        <f t="shared" si="2"/>
        <v>56100</v>
      </c>
    </row>
    <row r="108" spans="1:5">
      <c r="A108" s="175">
        <f t="shared" si="3"/>
        <v>103</v>
      </c>
      <c r="B108" s="177" t="s">
        <v>47</v>
      </c>
      <c r="C108" s="170">
        <v>207200</v>
      </c>
      <c r="D108" s="170">
        <v>0</v>
      </c>
      <c r="E108" s="166">
        <f t="shared" si="2"/>
        <v>207200</v>
      </c>
    </row>
    <row r="109" spans="1:5">
      <c r="A109" s="175">
        <f t="shared" si="3"/>
        <v>104</v>
      </c>
      <c r="B109" s="177" t="s">
        <v>144</v>
      </c>
      <c r="C109" s="170">
        <v>373000</v>
      </c>
      <c r="D109" s="170">
        <v>0</v>
      </c>
      <c r="E109" s="166">
        <f t="shared" si="2"/>
        <v>373000</v>
      </c>
    </row>
    <row r="110" spans="1:5">
      <c r="A110" s="175">
        <f t="shared" si="3"/>
        <v>105</v>
      </c>
      <c r="B110" s="177" t="s">
        <v>258</v>
      </c>
      <c r="C110" s="170">
        <v>35000</v>
      </c>
      <c r="D110" s="170">
        <v>0</v>
      </c>
      <c r="E110" s="166">
        <f t="shared" si="2"/>
        <v>35000</v>
      </c>
    </row>
    <row r="111" spans="1:5">
      <c r="A111" s="175">
        <f t="shared" si="3"/>
        <v>106</v>
      </c>
      <c r="B111" s="177" t="s">
        <v>259</v>
      </c>
      <c r="C111" s="170">
        <v>30100</v>
      </c>
      <c r="D111" s="170">
        <v>0</v>
      </c>
      <c r="E111" s="166">
        <f>C111+D111</f>
        <v>30100</v>
      </c>
    </row>
    <row r="112" spans="1:5">
      <c r="A112" s="175">
        <f t="shared" si="3"/>
        <v>107</v>
      </c>
      <c r="B112" s="177" t="s">
        <v>48</v>
      </c>
      <c r="C112" s="170">
        <v>241000</v>
      </c>
      <c r="D112" s="170">
        <v>0</v>
      </c>
      <c r="E112" s="166">
        <f>C112+D112</f>
        <v>241000</v>
      </c>
    </row>
    <row r="113" spans="1:7">
      <c r="A113" s="175">
        <f t="shared" si="3"/>
        <v>108</v>
      </c>
      <c r="B113" s="177" t="s">
        <v>260</v>
      </c>
      <c r="C113" s="170">
        <v>184000</v>
      </c>
      <c r="D113" s="170">
        <v>0</v>
      </c>
      <c r="E113" s="166">
        <f t="shared" si="2"/>
        <v>184000</v>
      </c>
    </row>
    <row r="114" spans="1:7">
      <c r="A114" s="175">
        <f t="shared" si="3"/>
        <v>109</v>
      </c>
      <c r="B114" s="177" t="s">
        <v>145</v>
      </c>
      <c r="C114" s="170">
        <v>39700</v>
      </c>
      <c r="D114" s="170">
        <v>0</v>
      </c>
      <c r="E114" s="166">
        <f t="shared" si="2"/>
        <v>39700</v>
      </c>
    </row>
    <row r="115" spans="1:7">
      <c r="A115" s="175">
        <f t="shared" si="3"/>
        <v>110</v>
      </c>
      <c r="B115" s="177" t="s">
        <v>146</v>
      </c>
      <c r="C115" s="170">
        <v>46000</v>
      </c>
      <c r="D115" s="170">
        <v>0</v>
      </c>
      <c r="E115" s="166">
        <f t="shared" si="2"/>
        <v>46000</v>
      </c>
    </row>
    <row r="116" spans="1:7">
      <c r="A116" s="175">
        <f t="shared" si="3"/>
        <v>111</v>
      </c>
      <c r="B116" s="177" t="s">
        <v>49</v>
      </c>
      <c r="C116" s="173">
        <f>3966900-11500</f>
        <v>3955400</v>
      </c>
      <c r="D116" s="170">
        <v>0</v>
      </c>
      <c r="E116" s="166">
        <f t="shared" si="2"/>
        <v>3955400</v>
      </c>
    </row>
    <row r="117" spans="1:7">
      <c r="A117" s="175">
        <f t="shared" si="3"/>
        <v>112</v>
      </c>
      <c r="B117" s="177" t="s">
        <v>261</v>
      </c>
      <c r="C117" s="170">
        <v>89100</v>
      </c>
      <c r="D117" s="170">
        <v>0</v>
      </c>
      <c r="E117" s="166">
        <f t="shared" si="2"/>
        <v>89100</v>
      </c>
    </row>
    <row r="118" spans="1:7">
      <c r="A118" s="175">
        <f t="shared" si="3"/>
        <v>113</v>
      </c>
      <c r="B118" s="177" t="s">
        <v>135</v>
      </c>
      <c r="C118" s="170">
        <v>24200</v>
      </c>
      <c r="D118" s="170">
        <v>0</v>
      </c>
      <c r="E118" s="166">
        <f t="shared" si="2"/>
        <v>24200</v>
      </c>
    </row>
    <row r="119" spans="1:7">
      <c r="A119" s="175">
        <f t="shared" si="3"/>
        <v>114</v>
      </c>
      <c r="B119" s="177" t="s">
        <v>147</v>
      </c>
      <c r="C119" s="170">
        <v>36200</v>
      </c>
      <c r="D119" s="170">
        <v>0</v>
      </c>
      <c r="E119" s="166">
        <f t="shared" si="2"/>
        <v>36200</v>
      </c>
    </row>
    <row r="120" spans="1:7">
      <c r="A120" s="175">
        <f t="shared" si="3"/>
        <v>115</v>
      </c>
      <c r="B120" s="177" t="s">
        <v>262</v>
      </c>
      <c r="C120" s="170">
        <v>30900</v>
      </c>
      <c r="D120" s="170">
        <v>0</v>
      </c>
      <c r="E120" s="166">
        <f t="shared" si="2"/>
        <v>30900</v>
      </c>
    </row>
    <row r="121" spans="1:7">
      <c r="A121" s="175">
        <f t="shared" si="3"/>
        <v>116</v>
      </c>
      <c r="B121" s="177" t="s">
        <v>158</v>
      </c>
      <c r="C121" s="170">
        <v>141200</v>
      </c>
      <c r="D121" s="170">
        <v>0</v>
      </c>
      <c r="E121" s="166">
        <f t="shared" si="2"/>
        <v>141200</v>
      </c>
    </row>
    <row r="122" spans="1:7">
      <c r="A122" s="175">
        <f t="shared" si="3"/>
        <v>117</v>
      </c>
      <c r="B122" s="177" t="s">
        <v>136</v>
      </c>
      <c r="C122" s="170">
        <v>509600</v>
      </c>
      <c r="D122" s="170">
        <v>0</v>
      </c>
      <c r="E122" s="166">
        <f t="shared" si="2"/>
        <v>509600</v>
      </c>
    </row>
    <row r="123" spans="1:7">
      <c r="A123" s="175">
        <f t="shared" si="3"/>
        <v>118</v>
      </c>
      <c r="B123" s="177" t="s">
        <v>263</v>
      </c>
      <c r="C123" s="170">
        <v>5700</v>
      </c>
      <c r="D123" s="170">
        <v>0</v>
      </c>
      <c r="E123" s="166">
        <f t="shared" si="2"/>
        <v>5700</v>
      </c>
    </row>
    <row r="124" spans="1:7">
      <c r="A124" s="175">
        <f t="shared" si="3"/>
        <v>119</v>
      </c>
      <c r="B124" s="177" t="s">
        <v>264</v>
      </c>
      <c r="C124" s="170">
        <v>23300</v>
      </c>
      <c r="D124" s="170">
        <v>0</v>
      </c>
      <c r="E124" s="166">
        <f t="shared" si="2"/>
        <v>23300</v>
      </c>
      <c r="G124" s="133"/>
    </row>
    <row r="125" spans="1:7">
      <c r="A125" s="175">
        <f t="shared" si="3"/>
        <v>120</v>
      </c>
      <c r="B125" s="177" t="s">
        <v>265</v>
      </c>
      <c r="C125" s="170">
        <v>29200</v>
      </c>
      <c r="D125" s="170">
        <v>0</v>
      </c>
      <c r="E125" s="166">
        <f t="shared" si="2"/>
        <v>29200</v>
      </c>
    </row>
    <row r="126" spans="1:7">
      <c r="A126" s="175">
        <f t="shared" si="3"/>
        <v>121</v>
      </c>
      <c r="B126" s="177" t="s">
        <v>148</v>
      </c>
      <c r="C126" s="170">
        <v>54400</v>
      </c>
      <c r="D126" s="170">
        <v>0</v>
      </c>
      <c r="E126" s="166">
        <f t="shared" si="2"/>
        <v>54400</v>
      </c>
    </row>
    <row r="127" spans="1:7">
      <c r="A127" s="175">
        <f t="shared" si="3"/>
        <v>122</v>
      </c>
      <c r="B127" s="177" t="s">
        <v>266</v>
      </c>
      <c r="C127" s="170">
        <v>31000</v>
      </c>
      <c r="D127" s="170">
        <v>0</v>
      </c>
      <c r="E127" s="166">
        <f t="shared" si="2"/>
        <v>31000</v>
      </c>
    </row>
    <row r="128" spans="1:7">
      <c r="A128" s="175">
        <f t="shared" si="3"/>
        <v>123</v>
      </c>
      <c r="B128" s="177" t="s">
        <v>267</v>
      </c>
      <c r="C128" s="170">
        <v>33000</v>
      </c>
      <c r="D128" s="170">
        <v>0</v>
      </c>
      <c r="E128" s="166">
        <f t="shared" si="2"/>
        <v>33000</v>
      </c>
    </row>
    <row r="129" spans="1:5">
      <c r="A129" s="175">
        <f t="shared" si="3"/>
        <v>124</v>
      </c>
      <c r="B129" s="177" t="s">
        <v>268</v>
      </c>
      <c r="C129" s="170">
        <v>97500</v>
      </c>
      <c r="D129" s="170">
        <v>0</v>
      </c>
      <c r="E129" s="166">
        <f t="shared" si="2"/>
        <v>97500</v>
      </c>
    </row>
    <row r="130" spans="1:5">
      <c r="A130" s="175">
        <f t="shared" si="3"/>
        <v>125</v>
      </c>
      <c r="B130" s="177" t="s">
        <v>269</v>
      </c>
      <c r="C130" s="170">
        <v>34600</v>
      </c>
      <c r="D130" s="170">
        <v>0</v>
      </c>
      <c r="E130" s="166">
        <f t="shared" si="2"/>
        <v>34600</v>
      </c>
    </row>
    <row r="131" spans="1:5">
      <c r="A131" s="175">
        <f t="shared" si="3"/>
        <v>126</v>
      </c>
      <c r="B131" s="177" t="s">
        <v>270</v>
      </c>
      <c r="C131" s="170">
        <v>23500</v>
      </c>
      <c r="D131" s="170">
        <v>0</v>
      </c>
      <c r="E131" s="166">
        <f t="shared" si="2"/>
        <v>23500</v>
      </c>
    </row>
    <row r="132" spans="1:5">
      <c r="A132" s="175">
        <f t="shared" si="3"/>
        <v>127</v>
      </c>
      <c r="B132" s="177" t="s">
        <v>149</v>
      </c>
      <c r="C132" s="170">
        <v>1296500</v>
      </c>
      <c r="D132" s="170">
        <v>0</v>
      </c>
      <c r="E132" s="166">
        <f>C132+D132</f>
        <v>1296500</v>
      </c>
    </row>
    <row r="133" spans="1:5">
      <c r="A133" s="175">
        <f t="shared" si="3"/>
        <v>128</v>
      </c>
      <c r="B133" s="177" t="s">
        <v>271</v>
      </c>
      <c r="C133" s="170">
        <v>29200</v>
      </c>
      <c r="D133" s="170">
        <v>0</v>
      </c>
      <c r="E133" s="166">
        <f t="shared" si="2"/>
        <v>29200</v>
      </c>
    </row>
    <row r="134" spans="1:5">
      <c r="A134" s="175">
        <f t="shared" si="3"/>
        <v>129</v>
      </c>
      <c r="B134" s="177" t="s">
        <v>272</v>
      </c>
      <c r="C134" s="170">
        <v>858164</v>
      </c>
      <c r="D134" s="170">
        <v>0</v>
      </c>
      <c r="E134" s="166">
        <f t="shared" ref="E134:E158" si="4">C134+D134</f>
        <v>858164</v>
      </c>
    </row>
    <row r="135" spans="1:5">
      <c r="A135" s="175">
        <f t="shared" si="3"/>
        <v>130</v>
      </c>
      <c r="B135" s="177" t="s">
        <v>273</v>
      </c>
      <c r="C135" s="170">
        <v>48000</v>
      </c>
      <c r="D135" s="170">
        <v>0</v>
      </c>
      <c r="E135" s="166">
        <f t="shared" si="4"/>
        <v>48000</v>
      </c>
    </row>
    <row r="136" spans="1:5">
      <c r="A136" s="175">
        <f t="shared" ref="A136:A158" si="5">+A135+1</f>
        <v>131</v>
      </c>
      <c r="B136" s="177" t="s">
        <v>274</v>
      </c>
      <c r="C136" s="170">
        <v>42000</v>
      </c>
      <c r="D136" s="170">
        <v>0</v>
      </c>
      <c r="E136" s="166">
        <f t="shared" si="4"/>
        <v>42000</v>
      </c>
    </row>
    <row r="137" spans="1:5">
      <c r="A137" s="175">
        <f t="shared" si="5"/>
        <v>132</v>
      </c>
      <c r="B137" s="177" t="s">
        <v>275</v>
      </c>
      <c r="C137" s="170">
        <v>207300</v>
      </c>
      <c r="D137" s="170">
        <v>0</v>
      </c>
      <c r="E137" s="166">
        <f t="shared" si="4"/>
        <v>207300</v>
      </c>
    </row>
    <row r="138" spans="1:5">
      <c r="A138" s="175">
        <f t="shared" si="5"/>
        <v>133</v>
      </c>
      <c r="B138" s="177" t="s">
        <v>150</v>
      </c>
      <c r="C138" s="170">
        <v>24200</v>
      </c>
      <c r="D138" s="170">
        <v>0</v>
      </c>
      <c r="E138" s="166">
        <f t="shared" si="4"/>
        <v>24200</v>
      </c>
    </row>
    <row r="139" spans="1:5">
      <c r="A139" s="175">
        <f t="shared" si="5"/>
        <v>134</v>
      </c>
      <c r="B139" s="177" t="s">
        <v>276</v>
      </c>
      <c r="C139" s="170">
        <v>650400</v>
      </c>
      <c r="D139" s="170">
        <v>0</v>
      </c>
      <c r="E139" s="166">
        <f t="shared" si="4"/>
        <v>650400</v>
      </c>
    </row>
    <row r="140" spans="1:5">
      <c r="A140" s="175">
        <f t="shared" si="5"/>
        <v>135</v>
      </c>
      <c r="B140" s="177" t="s">
        <v>50</v>
      </c>
      <c r="C140" s="170">
        <v>78700</v>
      </c>
      <c r="D140" s="170">
        <v>0</v>
      </c>
      <c r="E140" s="166">
        <f t="shared" si="4"/>
        <v>78700</v>
      </c>
    </row>
    <row r="141" spans="1:5">
      <c r="A141" s="175">
        <f t="shared" si="5"/>
        <v>136</v>
      </c>
      <c r="B141" s="177" t="s">
        <v>151</v>
      </c>
      <c r="C141" s="170">
        <v>484850</v>
      </c>
      <c r="D141" s="170">
        <v>0</v>
      </c>
      <c r="E141" s="166">
        <f t="shared" si="4"/>
        <v>484850</v>
      </c>
    </row>
    <row r="142" spans="1:5">
      <c r="A142" s="175">
        <f t="shared" si="5"/>
        <v>137</v>
      </c>
      <c r="B142" s="177" t="s">
        <v>277</v>
      </c>
      <c r="C142" s="170">
        <v>232950</v>
      </c>
      <c r="D142" s="170">
        <v>0</v>
      </c>
      <c r="E142" s="166">
        <f t="shared" si="4"/>
        <v>232950</v>
      </c>
    </row>
    <row r="143" spans="1:5">
      <c r="A143" s="175">
        <f t="shared" si="5"/>
        <v>138</v>
      </c>
      <c r="B143" s="177" t="s">
        <v>137</v>
      </c>
      <c r="C143" s="170">
        <v>72000</v>
      </c>
      <c r="D143" s="170">
        <v>0</v>
      </c>
      <c r="E143" s="166">
        <f t="shared" si="4"/>
        <v>72000</v>
      </c>
    </row>
    <row r="144" spans="1:5">
      <c r="A144" s="175">
        <f t="shared" si="5"/>
        <v>139</v>
      </c>
      <c r="B144" s="177" t="s">
        <v>278</v>
      </c>
      <c r="C144" s="170">
        <v>38900</v>
      </c>
      <c r="D144" s="170">
        <v>0</v>
      </c>
      <c r="E144" s="166">
        <f t="shared" si="4"/>
        <v>38900</v>
      </c>
    </row>
    <row r="145" spans="1:7">
      <c r="A145" s="175">
        <f t="shared" si="5"/>
        <v>140</v>
      </c>
      <c r="B145" s="177" t="s">
        <v>279</v>
      </c>
      <c r="C145" s="170">
        <v>29500</v>
      </c>
      <c r="D145" s="170">
        <v>0</v>
      </c>
      <c r="E145" s="166">
        <f t="shared" si="4"/>
        <v>29500</v>
      </c>
    </row>
    <row r="146" spans="1:7">
      <c r="A146" s="175">
        <f t="shared" si="5"/>
        <v>141</v>
      </c>
      <c r="B146" s="177" t="s">
        <v>280</v>
      </c>
      <c r="C146" s="170">
        <v>71000</v>
      </c>
      <c r="D146" s="170">
        <v>0</v>
      </c>
      <c r="E146" s="166">
        <f t="shared" si="4"/>
        <v>71000</v>
      </c>
    </row>
    <row r="147" spans="1:7">
      <c r="A147" s="175">
        <f t="shared" si="5"/>
        <v>142</v>
      </c>
      <c r="B147" s="177" t="s">
        <v>281</v>
      </c>
      <c r="C147" s="170">
        <v>28400</v>
      </c>
      <c r="D147" s="170">
        <v>0</v>
      </c>
      <c r="E147" s="166">
        <f t="shared" si="4"/>
        <v>28400</v>
      </c>
    </row>
    <row r="148" spans="1:7">
      <c r="A148" s="175">
        <f t="shared" si="5"/>
        <v>143</v>
      </c>
      <c r="B148" s="177" t="s">
        <v>152</v>
      </c>
      <c r="C148" s="170">
        <v>1426300</v>
      </c>
      <c r="D148" s="170">
        <v>0</v>
      </c>
      <c r="E148" s="166">
        <f t="shared" si="4"/>
        <v>1426300</v>
      </c>
    </row>
    <row r="149" spans="1:7">
      <c r="A149" s="175">
        <f t="shared" si="5"/>
        <v>144</v>
      </c>
      <c r="B149" s="177" t="s">
        <v>130</v>
      </c>
      <c r="C149" s="170">
        <v>107300</v>
      </c>
      <c r="D149" s="170">
        <v>0</v>
      </c>
      <c r="E149" s="166">
        <f t="shared" si="4"/>
        <v>107300</v>
      </c>
    </row>
    <row r="150" spans="1:7">
      <c r="A150" s="175">
        <f t="shared" si="5"/>
        <v>145</v>
      </c>
      <c r="B150" s="177" t="s">
        <v>282</v>
      </c>
      <c r="C150" s="170">
        <v>36500</v>
      </c>
      <c r="D150" s="170">
        <v>0</v>
      </c>
      <c r="E150" s="166">
        <f t="shared" si="4"/>
        <v>36500</v>
      </c>
      <c r="G150" s="133"/>
    </row>
    <row r="151" spans="1:7">
      <c r="A151" s="175">
        <f t="shared" si="5"/>
        <v>146</v>
      </c>
      <c r="B151" s="177" t="s">
        <v>159</v>
      </c>
      <c r="C151" s="170">
        <v>112800</v>
      </c>
      <c r="D151" s="170">
        <v>0</v>
      </c>
      <c r="E151" s="166">
        <f t="shared" si="4"/>
        <v>112800</v>
      </c>
      <c r="G151" s="133"/>
    </row>
    <row r="152" spans="1:7">
      <c r="A152" s="175">
        <f t="shared" si="5"/>
        <v>147</v>
      </c>
      <c r="B152" s="177" t="s">
        <v>283</v>
      </c>
      <c r="C152" s="170">
        <v>38000</v>
      </c>
      <c r="D152" s="170">
        <v>0</v>
      </c>
      <c r="E152" s="166">
        <f t="shared" si="4"/>
        <v>38000</v>
      </c>
      <c r="G152" s="133"/>
    </row>
    <row r="153" spans="1:7">
      <c r="A153" s="175">
        <f t="shared" si="5"/>
        <v>148</v>
      </c>
      <c r="B153" s="177" t="s">
        <v>284</v>
      </c>
      <c r="C153" s="170">
        <v>93200</v>
      </c>
      <c r="D153" s="170">
        <v>0</v>
      </c>
      <c r="E153" s="166">
        <f t="shared" si="4"/>
        <v>93200</v>
      </c>
      <c r="G153" s="133"/>
    </row>
    <row r="154" spans="1:7">
      <c r="A154" s="175">
        <f t="shared" si="5"/>
        <v>149</v>
      </c>
      <c r="B154" s="177" t="s">
        <v>285</v>
      </c>
      <c r="C154" s="170">
        <v>29100</v>
      </c>
      <c r="D154" s="170">
        <v>0</v>
      </c>
      <c r="E154" s="166">
        <f t="shared" si="4"/>
        <v>29100</v>
      </c>
      <c r="G154" s="133"/>
    </row>
    <row r="155" spans="1:7">
      <c r="A155" s="175">
        <f t="shared" si="5"/>
        <v>150</v>
      </c>
      <c r="B155" s="177" t="s">
        <v>51</v>
      </c>
      <c r="C155" s="170">
        <v>782778</v>
      </c>
      <c r="D155" s="170">
        <v>735030</v>
      </c>
      <c r="E155" s="166">
        <f t="shared" si="4"/>
        <v>1517808</v>
      </c>
      <c r="G155" s="133"/>
    </row>
    <row r="156" spans="1:7">
      <c r="A156" s="175">
        <f t="shared" si="5"/>
        <v>151</v>
      </c>
      <c r="B156" s="177" t="s">
        <v>52</v>
      </c>
      <c r="C156" s="170">
        <v>0</v>
      </c>
      <c r="D156" s="170">
        <v>1100000</v>
      </c>
      <c r="E156" s="166">
        <f t="shared" si="4"/>
        <v>1100000</v>
      </c>
      <c r="G156" s="133"/>
    </row>
    <row r="157" spans="1:7">
      <c r="A157" s="175">
        <f t="shared" si="5"/>
        <v>152</v>
      </c>
      <c r="B157" s="177" t="s">
        <v>153</v>
      </c>
      <c r="C157" s="170">
        <v>19400</v>
      </c>
      <c r="D157" s="170">
        <v>0</v>
      </c>
      <c r="E157" s="166">
        <f t="shared" si="4"/>
        <v>19400</v>
      </c>
      <c r="G157" s="133"/>
    </row>
    <row r="158" spans="1:7">
      <c r="A158" s="175">
        <f t="shared" si="5"/>
        <v>153</v>
      </c>
      <c r="B158" s="177" t="s">
        <v>286</v>
      </c>
      <c r="C158" s="170">
        <v>135000</v>
      </c>
      <c r="D158" s="170">
        <v>0</v>
      </c>
      <c r="E158" s="166">
        <f t="shared" si="4"/>
        <v>135000</v>
      </c>
      <c r="G158" s="133"/>
    </row>
    <row r="159" spans="1:7">
      <c r="A159" s="175"/>
      <c r="B159" s="178"/>
      <c r="C159" s="171"/>
      <c r="D159" s="171"/>
      <c r="E159" s="168"/>
    </row>
    <row r="160" spans="1:7">
      <c r="A160" s="315" t="s">
        <v>17</v>
      </c>
      <c r="B160" s="316"/>
      <c r="C160" s="179">
        <f>SUM(C6:C159)</f>
        <v>36170870</v>
      </c>
      <c r="D160" s="179">
        <f>SUM(D6:D159)</f>
        <v>4441130</v>
      </c>
      <c r="E160" s="179">
        <f>SUM(E6:E159)</f>
        <v>40612000</v>
      </c>
      <c r="F160" s="102"/>
    </row>
    <row r="161" spans="3:5">
      <c r="C161" s="134"/>
      <c r="D161" s="103"/>
    </row>
    <row r="162" spans="3:5">
      <c r="E162" s="133"/>
    </row>
    <row r="164" spans="3:5">
      <c r="E164" s="133"/>
    </row>
  </sheetData>
  <customSheetViews>
    <customSheetView guid="{87824C19-B10C-495C-99E6-C6D53A8CE673}" showPageBreaks="1" printArea="1" state="hidden" view="pageBreakPreview">
      <selection activeCell="C166" sqref="C166"/>
      <rowBreaks count="2" manualBreakCount="2">
        <brk id="65" max="4" man="1"/>
        <brk id="130" max="4" man="1"/>
      </rowBreaks>
      <pageMargins left="0.51" right="0.14000000000000001" top="0.31" bottom="0.18" header="0.14000000000000001" footer="0.14000000000000001"/>
      <pageSetup scale="75" orientation="portrait" r:id="rId1"/>
    </customSheetView>
  </customSheetViews>
  <mergeCells count="7">
    <mergeCell ref="A160:B160"/>
    <mergeCell ref="C3:C4"/>
    <mergeCell ref="D3:D4"/>
    <mergeCell ref="E3:E4"/>
    <mergeCell ref="A1:E1"/>
    <mergeCell ref="A3:A4"/>
    <mergeCell ref="B3:B4"/>
  </mergeCells>
  <pageMargins left="0.51" right="0.14000000000000001" top="0.31" bottom="0.18" header="0.14000000000000001" footer="0.14000000000000001"/>
  <pageSetup scale="75" orientation="portrait" r:id="rId2"/>
  <rowBreaks count="2" manualBreakCount="2">
    <brk id="65" max="4" man="1"/>
    <brk id="13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G53"/>
  <sheetViews>
    <sheetView view="pageBreakPreview" topLeftCell="A40" zoomScaleSheetLayoutView="100" workbookViewId="0">
      <selection activeCell="E52" sqref="E52"/>
    </sheetView>
  </sheetViews>
  <sheetFormatPr defaultRowHeight="15.75"/>
  <cols>
    <col min="1" max="1" width="7" style="33" bestFit="1" customWidth="1"/>
    <col min="2" max="2" width="42.85546875" style="33" bestFit="1" customWidth="1"/>
    <col min="3" max="3" width="9.140625" style="33"/>
    <col min="4" max="4" width="49.85546875" style="33" customWidth="1"/>
    <col min="5" max="5" width="18.140625" style="33" customWidth="1"/>
    <col min="6" max="6" width="9.140625" style="33" hidden="1" customWidth="1"/>
    <col min="7" max="16384" width="9.140625" style="33"/>
  </cols>
  <sheetData>
    <row r="2" spans="1:7">
      <c r="A2" s="329" t="s">
        <v>160</v>
      </c>
      <c r="B2" s="329"/>
      <c r="C2" s="329"/>
      <c r="D2" s="329"/>
      <c r="E2" s="329"/>
      <c r="F2" s="329"/>
      <c r="G2" s="31"/>
    </row>
    <row r="3" spans="1:7">
      <c r="A3" s="34"/>
      <c r="B3" s="34"/>
      <c r="C3" s="34"/>
      <c r="D3" s="34"/>
      <c r="E3" s="34"/>
      <c r="F3" s="34"/>
      <c r="G3" s="31"/>
    </row>
    <row r="4" spans="1:7">
      <c r="A4" s="329" t="s">
        <v>161</v>
      </c>
      <c r="B4" s="329"/>
      <c r="C4" s="329"/>
      <c r="D4" s="329"/>
      <c r="E4" s="329"/>
      <c r="F4" s="329"/>
    </row>
    <row r="5" spans="1:7" ht="16.5" thickBot="1"/>
    <row r="6" spans="1:7" ht="16.5" thickBot="1">
      <c r="A6" s="63" t="s">
        <v>54</v>
      </c>
      <c r="B6" s="330" t="s">
        <v>6</v>
      </c>
      <c r="C6" s="328"/>
      <c r="D6" s="331"/>
      <c r="E6" s="67" t="s">
        <v>53</v>
      </c>
    </row>
    <row r="7" spans="1:7">
      <c r="A7" s="64">
        <v>1</v>
      </c>
      <c r="B7" s="69" t="s">
        <v>116</v>
      </c>
      <c r="C7" s="28"/>
      <c r="D7" s="70"/>
      <c r="E7" s="73">
        <v>1250</v>
      </c>
    </row>
    <row r="8" spans="1:7">
      <c r="A8" s="64">
        <v>2</v>
      </c>
      <c r="B8" s="69" t="s">
        <v>117</v>
      </c>
      <c r="C8" s="28"/>
      <c r="D8" s="70"/>
      <c r="E8" s="73">
        <v>48464</v>
      </c>
    </row>
    <row r="9" spans="1:7">
      <c r="A9" s="64">
        <v>3</v>
      </c>
      <c r="B9" s="69" t="s">
        <v>118</v>
      </c>
      <c r="C9" s="28"/>
      <c r="D9" s="70"/>
      <c r="E9" s="73">
        <v>105000</v>
      </c>
    </row>
    <row r="10" spans="1:7">
      <c r="A10" s="64">
        <v>4</v>
      </c>
      <c r="B10" s="69" t="s">
        <v>121</v>
      </c>
      <c r="C10" s="28"/>
      <c r="D10" s="70"/>
      <c r="E10" s="73">
        <v>21436.97</v>
      </c>
    </row>
    <row r="11" spans="1:7">
      <c r="A11" s="64">
        <v>5</v>
      </c>
      <c r="B11" s="69" t="s">
        <v>294</v>
      </c>
      <c r="C11" s="28"/>
      <c r="D11" s="70"/>
      <c r="E11" s="73">
        <v>66902</v>
      </c>
    </row>
    <row r="12" spans="1:7">
      <c r="A12" s="64">
        <v>6</v>
      </c>
      <c r="B12" s="69" t="s">
        <v>119</v>
      </c>
      <c r="C12" s="28"/>
      <c r="D12" s="70"/>
      <c r="E12" s="73">
        <v>53580</v>
      </c>
    </row>
    <row r="13" spans="1:7">
      <c r="A13" s="64">
        <v>7</v>
      </c>
      <c r="B13" s="69" t="s">
        <v>120</v>
      </c>
      <c r="C13" s="28"/>
      <c r="D13" s="70"/>
      <c r="E13" s="73">
        <v>162708.44</v>
      </c>
    </row>
    <row r="14" spans="1:7" ht="16.5" thickBot="1">
      <c r="A14" s="61"/>
      <c r="B14" s="69"/>
      <c r="C14" s="28"/>
      <c r="D14" s="70"/>
      <c r="E14" s="60"/>
    </row>
    <row r="15" spans="1:7" ht="16.5" thickBot="1">
      <c r="A15" s="65"/>
      <c r="B15" s="71" t="s">
        <v>89</v>
      </c>
      <c r="C15" s="68"/>
      <c r="D15" s="72"/>
      <c r="E15" s="74">
        <f>SUM(E7:E13)</f>
        <v>459341.41</v>
      </c>
    </row>
    <row r="18" spans="1:6">
      <c r="A18" s="329" t="s">
        <v>295</v>
      </c>
      <c r="B18" s="329"/>
      <c r="C18" s="329"/>
      <c r="D18" s="329"/>
      <c r="E18" s="329"/>
      <c r="F18" s="329"/>
    </row>
    <row r="19" spans="1:6" ht="16.5" thickBot="1"/>
    <row r="20" spans="1:6" ht="16.5" thickBot="1">
      <c r="A20" s="63" t="s">
        <v>54</v>
      </c>
      <c r="B20" s="328" t="s">
        <v>6</v>
      </c>
      <c r="C20" s="328"/>
      <c r="D20" s="328"/>
      <c r="E20" s="67" t="s">
        <v>53</v>
      </c>
      <c r="F20" s="75"/>
    </row>
    <row r="21" spans="1:6">
      <c r="A21" s="64">
        <v>1</v>
      </c>
      <c r="B21" s="32" t="s">
        <v>94</v>
      </c>
      <c r="C21" s="28"/>
      <c r="D21" s="28"/>
      <c r="E21" s="77">
        <v>4200</v>
      </c>
      <c r="F21" s="70"/>
    </row>
    <row r="22" spans="1:6">
      <c r="A22" s="64">
        <v>2</v>
      </c>
      <c r="B22" s="32" t="s">
        <v>95</v>
      </c>
      <c r="C22" s="28"/>
      <c r="D22" s="28"/>
      <c r="E22" s="77">
        <v>3559</v>
      </c>
      <c r="F22" s="70"/>
    </row>
    <row r="23" spans="1:6">
      <c r="A23" s="64">
        <v>3</v>
      </c>
      <c r="B23" s="32" t="s">
        <v>96</v>
      </c>
      <c r="C23" s="28"/>
      <c r="D23" s="28"/>
      <c r="E23" s="77">
        <v>3595.82</v>
      </c>
      <c r="F23" s="70"/>
    </row>
    <row r="24" spans="1:6">
      <c r="A24" s="64">
        <v>4</v>
      </c>
      <c r="B24" s="32" t="s">
        <v>97</v>
      </c>
      <c r="C24" s="28"/>
      <c r="D24" s="28"/>
      <c r="E24" s="77">
        <v>3939.89</v>
      </c>
      <c r="F24" s="70"/>
    </row>
    <row r="25" spans="1:6">
      <c r="A25" s="64">
        <v>5</v>
      </c>
      <c r="B25" s="32" t="s">
        <v>98</v>
      </c>
      <c r="C25" s="28"/>
      <c r="D25" s="28"/>
      <c r="E25" s="77">
        <v>17010.72</v>
      </c>
      <c r="F25" s="70"/>
    </row>
    <row r="26" spans="1:6">
      <c r="A26" s="64">
        <v>6</v>
      </c>
      <c r="B26" s="32" t="s">
        <v>99</v>
      </c>
      <c r="C26" s="28"/>
      <c r="D26" s="28"/>
      <c r="E26" s="77">
        <v>9</v>
      </c>
      <c r="F26" s="70"/>
    </row>
    <row r="27" spans="1:6">
      <c r="A27" s="64">
        <v>7</v>
      </c>
      <c r="B27" s="32" t="s">
        <v>100</v>
      </c>
      <c r="C27" s="28"/>
      <c r="D27" s="28"/>
      <c r="E27" s="77">
        <v>5838.72</v>
      </c>
      <c r="F27" s="70"/>
    </row>
    <row r="28" spans="1:6">
      <c r="A28" s="64">
        <v>8</v>
      </c>
      <c r="B28" s="32" t="s">
        <v>101</v>
      </c>
      <c r="C28" s="28"/>
      <c r="D28" s="28"/>
      <c r="E28" s="77">
        <v>8245</v>
      </c>
      <c r="F28" s="70"/>
    </row>
    <row r="29" spans="1:6">
      <c r="A29" s="64">
        <v>9</v>
      </c>
      <c r="B29" s="32" t="s">
        <v>102</v>
      </c>
      <c r="C29" s="28"/>
      <c r="D29" s="28"/>
      <c r="E29" s="77">
        <v>9448.11</v>
      </c>
      <c r="F29" s="70"/>
    </row>
    <row r="30" spans="1:6">
      <c r="A30" s="64">
        <v>10</v>
      </c>
      <c r="B30" s="32" t="s">
        <v>103</v>
      </c>
      <c r="C30" s="28"/>
      <c r="D30" s="28"/>
      <c r="E30" s="77">
        <v>17251.439999999999</v>
      </c>
      <c r="F30" s="70"/>
    </row>
    <row r="31" spans="1:6">
      <c r="A31" s="64">
        <v>11</v>
      </c>
      <c r="B31" s="32" t="s">
        <v>104</v>
      </c>
      <c r="C31" s="28"/>
      <c r="D31" s="28"/>
      <c r="E31" s="77">
        <v>9312.07</v>
      </c>
      <c r="F31" s="70"/>
    </row>
    <row r="32" spans="1:6">
      <c r="A32" s="64">
        <v>12</v>
      </c>
      <c r="B32" s="32" t="s">
        <v>105</v>
      </c>
      <c r="C32" s="28"/>
      <c r="D32" s="28"/>
      <c r="E32" s="77">
        <v>29401.82</v>
      </c>
      <c r="F32" s="70"/>
    </row>
    <row r="33" spans="1:6">
      <c r="A33" s="64">
        <v>13</v>
      </c>
      <c r="B33" s="32" t="s">
        <v>106</v>
      </c>
      <c r="C33" s="28"/>
      <c r="D33" s="28"/>
      <c r="E33" s="77">
        <v>4467.66</v>
      </c>
      <c r="F33" s="70"/>
    </row>
    <row r="34" spans="1:6">
      <c r="A34" s="64">
        <v>14</v>
      </c>
      <c r="B34" s="32" t="s">
        <v>107</v>
      </c>
      <c r="C34" s="28"/>
      <c r="D34" s="28"/>
      <c r="E34" s="77">
        <v>4433.33</v>
      </c>
      <c r="F34" s="70"/>
    </row>
    <row r="35" spans="1:6">
      <c r="A35" s="64">
        <v>15</v>
      </c>
      <c r="B35" s="32" t="s">
        <v>108</v>
      </c>
      <c r="C35" s="28"/>
      <c r="D35" s="28"/>
      <c r="E35" s="77">
        <v>4652.17</v>
      </c>
      <c r="F35" s="70"/>
    </row>
    <row r="36" spans="1:6">
      <c r="A36" s="64">
        <v>16</v>
      </c>
      <c r="B36" s="32" t="s">
        <v>109</v>
      </c>
      <c r="C36" s="28"/>
      <c r="D36" s="28"/>
      <c r="E36" s="77">
        <v>19049.36</v>
      </c>
      <c r="F36" s="70"/>
    </row>
    <row r="37" spans="1:6">
      <c r="A37" s="64">
        <v>17</v>
      </c>
      <c r="B37" s="32" t="s">
        <v>110</v>
      </c>
      <c r="C37" s="28"/>
      <c r="D37" s="28"/>
      <c r="E37" s="77">
        <v>1900</v>
      </c>
      <c r="F37" s="70"/>
    </row>
    <row r="38" spans="1:6">
      <c r="A38" s="64">
        <v>18</v>
      </c>
      <c r="B38" s="32" t="s">
        <v>111</v>
      </c>
      <c r="C38" s="28"/>
      <c r="D38" s="28"/>
      <c r="E38" s="77">
        <v>1900</v>
      </c>
      <c r="F38" s="70"/>
    </row>
    <row r="39" spans="1:6">
      <c r="A39" s="64">
        <v>19</v>
      </c>
      <c r="B39" s="32" t="s">
        <v>112</v>
      </c>
      <c r="C39" s="28"/>
      <c r="D39" s="28"/>
      <c r="E39" s="77">
        <v>44492.27</v>
      </c>
      <c r="F39" s="70"/>
    </row>
    <row r="40" spans="1:6">
      <c r="A40" s="64">
        <v>20</v>
      </c>
      <c r="B40" s="32" t="s">
        <v>113</v>
      </c>
      <c r="C40" s="28"/>
      <c r="D40" s="28"/>
      <c r="E40" s="77">
        <v>11440.13</v>
      </c>
      <c r="F40" s="70"/>
    </row>
    <row r="41" spans="1:6">
      <c r="A41" s="64">
        <v>21</v>
      </c>
      <c r="B41" s="32" t="s">
        <v>114</v>
      </c>
      <c r="C41" s="28"/>
      <c r="D41" s="28"/>
      <c r="E41" s="77">
        <v>760</v>
      </c>
      <c r="F41" s="70"/>
    </row>
    <row r="42" spans="1:6">
      <c r="A42" s="64">
        <v>22</v>
      </c>
      <c r="B42" s="32" t="s">
        <v>115</v>
      </c>
      <c r="C42" s="28"/>
      <c r="D42" s="28"/>
      <c r="E42" s="77">
        <v>8728.5</v>
      </c>
      <c r="F42" s="70"/>
    </row>
    <row r="43" spans="1:6" ht="16.5" thickBot="1">
      <c r="A43" s="61"/>
      <c r="B43" s="28"/>
      <c r="C43" s="28"/>
      <c r="D43" s="28"/>
      <c r="E43" s="61"/>
      <c r="F43" s="70"/>
    </row>
    <row r="44" spans="1:6" ht="16.5" thickBot="1">
      <c r="A44" s="65"/>
      <c r="B44" s="66" t="s">
        <v>89</v>
      </c>
      <c r="C44" s="68"/>
      <c r="D44" s="68"/>
      <c r="E44" s="62">
        <f>SUM(E21:E43)</f>
        <v>213635.00999999998</v>
      </c>
      <c r="F44" s="76"/>
    </row>
    <row r="46" spans="1:6">
      <c r="A46" s="329" t="s">
        <v>162</v>
      </c>
      <c r="B46" s="329"/>
      <c r="C46" s="329"/>
      <c r="D46" s="329"/>
      <c r="E46" s="329"/>
      <c r="F46" s="329"/>
    </row>
    <row r="47" spans="1:6" ht="16.5" thickBot="1"/>
    <row r="48" spans="1:6" ht="16.5" thickBot="1">
      <c r="A48" s="63" t="s">
        <v>54</v>
      </c>
      <c r="B48" s="328" t="s">
        <v>6</v>
      </c>
      <c r="C48" s="328"/>
      <c r="D48" s="328"/>
      <c r="E48" s="67" t="s">
        <v>53</v>
      </c>
    </row>
    <row r="49" spans="1:5">
      <c r="A49" s="61"/>
      <c r="E49" s="61"/>
    </row>
    <row r="50" spans="1:5">
      <c r="A50" s="64">
        <v>1</v>
      </c>
      <c r="B50" s="37" t="s">
        <v>163</v>
      </c>
      <c r="E50" s="78">
        <f>35901.18-624</f>
        <v>35277.18</v>
      </c>
    </row>
    <row r="51" spans="1:5">
      <c r="A51" s="64">
        <v>2</v>
      </c>
      <c r="B51" s="33" t="s">
        <v>93</v>
      </c>
      <c r="E51" s="78">
        <f>967.47-0.05-0.27</f>
        <v>967.15000000000009</v>
      </c>
    </row>
    <row r="52" spans="1:5" ht="16.5" thickBot="1">
      <c r="A52" s="64"/>
      <c r="E52" s="61"/>
    </row>
    <row r="53" spans="1:5" ht="16.5" thickBot="1">
      <c r="A53" s="65"/>
      <c r="B53" s="66" t="s">
        <v>89</v>
      </c>
      <c r="C53" s="68"/>
      <c r="D53" s="68"/>
      <c r="E53" s="62">
        <f>SUM(E50:E51)</f>
        <v>36244.33</v>
      </c>
    </row>
  </sheetData>
  <customSheetViews>
    <customSheetView guid="{87824C19-B10C-495C-99E6-C6D53A8CE673}" showPageBreaks="1" printArea="1" hiddenColumns="1" state="hidden" view="pageBreakPreview" topLeftCell="A40">
      <selection activeCell="E52" sqref="E52"/>
      <pageMargins left="0.47244094488188981" right="0.39370078740157483" top="0.74803149606299213" bottom="0.74803149606299213" header="0.27559055118110237" footer="0.31496062992125984"/>
      <pageSetup scale="73" orientation="portrait" r:id="rId1"/>
    </customSheetView>
  </customSheetViews>
  <mergeCells count="7">
    <mergeCell ref="B48:D48"/>
    <mergeCell ref="A4:F4"/>
    <mergeCell ref="A2:F2"/>
    <mergeCell ref="B6:D6"/>
    <mergeCell ref="B20:D20"/>
    <mergeCell ref="A18:F18"/>
    <mergeCell ref="A46:F46"/>
  </mergeCells>
  <pageMargins left="0.47244094488188981" right="0.39370078740157483" top="0.74803149606299213" bottom="0.74803149606299213" header="0.27559055118110237" footer="0.31496062992125984"/>
  <pageSetup scale="73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6"/>
  <sheetViews>
    <sheetView view="pageBreakPreview" zoomScale="125" zoomScaleSheetLayoutView="125" workbookViewId="0">
      <selection activeCell="E16" sqref="E16"/>
    </sheetView>
  </sheetViews>
  <sheetFormatPr defaultRowHeight="12.75"/>
  <cols>
    <col min="1" max="1" width="35.5703125" customWidth="1"/>
    <col min="2" max="2" width="15.85546875" style="30" bestFit="1" customWidth="1"/>
    <col min="5" max="5" width="13" customWidth="1"/>
  </cols>
  <sheetData>
    <row r="1" spans="1:3" ht="15">
      <c r="A1" s="332" t="s">
        <v>297</v>
      </c>
      <c r="B1" s="332"/>
      <c r="C1" s="104"/>
    </row>
    <row r="3" spans="1:3">
      <c r="A3" s="29" t="s">
        <v>122</v>
      </c>
    </row>
    <row r="5" spans="1:3">
      <c r="A5" t="s">
        <v>123</v>
      </c>
      <c r="B5" s="30">
        <f>'FIXEd ASSETS'!M60</f>
        <v>862196.6</v>
      </c>
    </row>
    <row r="6" spans="1:3">
      <c r="A6" t="s">
        <v>124</v>
      </c>
      <c r="B6" s="30">
        <f>+Compu!J47</f>
        <v>1212580.1100000001</v>
      </c>
    </row>
    <row r="8" spans="1:3">
      <c r="A8" t="s">
        <v>125</v>
      </c>
      <c r="B8" s="30">
        <f>B6-B5</f>
        <v>350383.51000000013</v>
      </c>
    </row>
    <row r="10" spans="1:3">
      <c r="A10" s="35" t="s">
        <v>126</v>
      </c>
      <c r="B10" s="36">
        <f>ROUND(B8*30.9%,0)</f>
        <v>108269</v>
      </c>
    </row>
    <row r="13" spans="1:3">
      <c r="A13" s="29" t="s">
        <v>78</v>
      </c>
    </row>
    <row r="15" spans="1:3">
      <c r="A15" t="s">
        <v>127</v>
      </c>
      <c r="B15" s="30" t="e">
        <f>#REF!+#REF!</f>
        <v>#REF!</v>
      </c>
    </row>
    <row r="17" spans="1:2">
      <c r="A17" s="35" t="s">
        <v>126</v>
      </c>
      <c r="B17" s="36" t="e">
        <f>ROUND(B15*30.9%,0)</f>
        <v>#REF!</v>
      </c>
    </row>
    <row r="23" spans="1:2">
      <c r="B23" s="30">
        <f>261765+7853</f>
        <v>269618</v>
      </c>
    </row>
    <row r="24" spans="1:2">
      <c r="B24" s="30">
        <v>4841</v>
      </c>
    </row>
    <row r="25" spans="1:2">
      <c r="B25" s="30">
        <f>B23+B24</f>
        <v>274459</v>
      </c>
    </row>
    <row r="26" spans="1:2">
      <c r="B26" s="30">
        <v>274500</v>
      </c>
    </row>
  </sheetData>
  <customSheetViews>
    <customSheetView guid="{87824C19-B10C-495C-99E6-C6D53A8CE673}" scale="125" showPageBreaks="1" printArea="1" state="hidden" view="pageBreakPreview">
      <selection activeCell="E16" sqref="E16"/>
      <pageMargins left="0.7" right="0.7" top="0.75" bottom="0.75" header="0.3" footer="0.3"/>
      <pageSetup orientation="portrait" r:id="rId1"/>
    </customSheetView>
  </customSheetViews>
  <mergeCells count="1">
    <mergeCell ref="A1:B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P81"/>
  <sheetViews>
    <sheetView topLeftCell="A24" workbookViewId="0">
      <selection activeCell="B30" sqref="B30"/>
    </sheetView>
  </sheetViews>
  <sheetFormatPr defaultRowHeight="12.75"/>
  <cols>
    <col min="1" max="1" width="44.28515625" bestFit="1" customWidth="1"/>
    <col min="2" max="3" width="12.85546875" bestFit="1" customWidth="1"/>
    <col min="4" max="4" width="9.5703125" bestFit="1" customWidth="1"/>
    <col min="5" max="5" width="10.85546875" bestFit="1" customWidth="1"/>
    <col min="6" max="6" width="11.5703125" bestFit="1" customWidth="1"/>
    <col min="8" max="8" width="11.7109375" bestFit="1" customWidth="1"/>
    <col min="9" max="9" width="13.42578125" customWidth="1"/>
    <col min="10" max="11" width="11.7109375" bestFit="1" customWidth="1"/>
  </cols>
  <sheetData>
    <row r="2" spans="1:3">
      <c r="A2" s="333" t="s">
        <v>335</v>
      </c>
      <c r="B2" s="334"/>
      <c r="C2" s="335"/>
    </row>
    <row r="3" spans="1:3">
      <c r="A3" s="129"/>
      <c r="B3" s="130"/>
      <c r="C3" s="131"/>
    </row>
    <row r="4" spans="1:3">
      <c r="A4" s="121" t="s">
        <v>298</v>
      </c>
      <c r="B4" s="122"/>
      <c r="C4" s="117" t="e">
        <f>SUM(B6:B17)</f>
        <v>#REF!</v>
      </c>
    </row>
    <row r="5" spans="1:3">
      <c r="A5" s="123"/>
      <c r="B5" s="115"/>
      <c r="C5" s="115"/>
    </row>
    <row r="6" spans="1:3">
      <c r="A6" s="123" t="s">
        <v>299</v>
      </c>
      <c r="B6" s="116" t="e">
        <f>ROUND(+#REF!,0)</f>
        <v>#REF!</v>
      </c>
      <c r="C6" s="115"/>
    </row>
    <row r="7" spans="1:3">
      <c r="A7" s="124" t="s">
        <v>300</v>
      </c>
      <c r="B7" s="115"/>
      <c r="C7" s="115"/>
    </row>
    <row r="8" spans="1:3">
      <c r="A8" s="123" t="s">
        <v>301</v>
      </c>
      <c r="B8" s="116" t="e">
        <f>ROUND(+#REF!,0)</f>
        <v>#REF!</v>
      </c>
      <c r="C8" s="115"/>
    </row>
    <row r="9" spans="1:3">
      <c r="A9" s="135" t="s">
        <v>336</v>
      </c>
      <c r="B9" s="136"/>
      <c r="C9" s="115"/>
    </row>
    <row r="10" spans="1:3">
      <c r="A10" s="123" t="s">
        <v>304</v>
      </c>
      <c r="B10" s="116" t="e">
        <f>+#REF!</f>
        <v>#REF!</v>
      </c>
      <c r="C10" s="115"/>
    </row>
    <row r="11" spans="1:3">
      <c r="A11" s="123" t="s">
        <v>305</v>
      </c>
      <c r="B11" s="116" t="e">
        <f>+#REF!</f>
        <v>#REF!</v>
      </c>
      <c r="C11" s="115"/>
    </row>
    <row r="12" spans="1:3">
      <c r="A12" s="123" t="s">
        <v>306</v>
      </c>
      <c r="B12" s="116" t="e">
        <f>+#REF!</f>
        <v>#REF!</v>
      </c>
      <c r="C12" s="115"/>
    </row>
    <row r="13" spans="1:3">
      <c r="A13" s="123" t="s">
        <v>307</v>
      </c>
      <c r="B13" s="116" t="e">
        <f>ROUND(+#REF!,0)</f>
        <v>#REF!</v>
      </c>
      <c r="C13" s="115"/>
    </row>
    <row r="14" spans="1:3">
      <c r="A14" s="123"/>
      <c r="B14" s="115"/>
      <c r="C14" s="115"/>
    </row>
    <row r="15" spans="1:3">
      <c r="A15" s="124" t="s">
        <v>302</v>
      </c>
      <c r="B15" s="115"/>
      <c r="C15" s="115"/>
    </row>
    <row r="16" spans="1:3">
      <c r="A16" s="123" t="s">
        <v>303</v>
      </c>
      <c r="B16" s="116" t="e">
        <f>+#REF!</f>
        <v>#REF!</v>
      </c>
      <c r="C16" s="115"/>
    </row>
    <row r="17" spans="1:3">
      <c r="A17" s="123" t="s">
        <v>308</v>
      </c>
      <c r="B17" s="116">
        <f>-I47</f>
        <v>-243160</v>
      </c>
      <c r="C17" s="115"/>
    </row>
    <row r="18" spans="1:3">
      <c r="A18" s="123"/>
      <c r="B18" s="115"/>
      <c r="C18" s="115"/>
    </row>
    <row r="19" spans="1:3">
      <c r="A19" s="123" t="s">
        <v>324</v>
      </c>
      <c r="B19" s="115"/>
      <c r="C19" s="117" t="e">
        <f>SUM(C4:C18)</f>
        <v>#REF!</v>
      </c>
    </row>
    <row r="20" spans="1:3">
      <c r="A20" s="123"/>
      <c r="B20" s="115"/>
      <c r="C20" s="115"/>
    </row>
    <row r="21" spans="1:3">
      <c r="A21" s="123" t="s">
        <v>325</v>
      </c>
      <c r="B21" s="115"/>
      <c r="C21" s="117" t="e">
        <f>+C19</f>
        <v>#REF!</v>
      </c>
    </row>
    <row r="22" spans="1:3">
      <c r="A22" s="123" t="s">
        <v>326</v>
      </c>
      <c r="B22" s="115"/>
      <c r="C22" s="118" t="e">
        <f>+ROUND(C21,-1)</f>
        <v>#REF!</v>
      </c>
    </row>
    <row r="23" spans="1:3">
      <c r="A23" s="123"/>
      <c r="B23" s="115"/>
      <c r="C23" s="115"/>
    </row>
    <row r="24" spans="1:3">
      <c r="A24" s="125" t="s">
        <v>327</v>
      </c>
      <c r="B24" s="115"/>
      <c r="C24" s="115"/>
    </row>
    <row r="25" spans="1:3">
      <c r="A25" s="123" t="s">
        <v>328</v>
      </c>
      <c r="B25" s="116" t="e">
        <f>+B6</f>
        <v>#REF!</v>
      </c>
      <c r="C25" s="115"/>
    </row>
    <row r="26" spans="1:3">
      <c r="A26" s="123" t="s">
        <v>329</v>
      </c>
      <c r="B26" s="119" t="e">
        <f>ROUND(+B25*18.5%,0)</f>
        <v>#REF!</v>
      </c>
      <c r="C26" s="115"/>
    </row>
    <row r="27" spans="1:3">
      <c r="A27" s="123"/>
      <c r="B27" s="115"/>
      <c r="C27" s="115"/>
    </row>
    <row r="28" spans="1:3">
      <c r="A28" s="123" t="s">
        <v>330</v>
      </c>
      <c r="B28" s="119" t="e">
        <f>ROUND(+C22*30%,0)</f>
        <v>#REF!</v>
      </c>
      <c r="C28" s="115"/>
    </row>
    <row r="29" spans="1:3">
      <c r="A29" s="123" t="s">
        <v>331</v>
      </c>
      <c r="B29" s="119" t="e">
        <f>ROUND(B28*3%,0)</f>
        <v>#REF!</v>
      </c>
      <c r="C29" s="115"/>
    </row>
    <row r="30" spans="1:3">
      <c r="A30" s="123"/>
      <c r="B30" s="120" t="e">
        <f>+B28+B29</f>
        <v>#REF!</v>
      </c>
      <c r="C30" s="115"/>
    </row>
    <row r="31" spans="1:3">
      <c r="A31" s="123" t="s">
        <v>332</v>
      </c>
      <c r="B31" s="119" t="e">
        <f>+#REF!</f>
        <v>#REF!</v>
      </c>
      <c r="C31" s="115"/>
    </row>
    <row r="32" spans="1:3">
      <c r="A32" s="123"/>
      <c r="B32" s="120" t="e">
        <f>+B30-B31</f>
        <v>#REF!</v>
      </c>
      <c r="C32" s="115"/>
    </row>
    <row r="33" spans="1:16">
      <c r="A33" s="123" t="s">
        <v>333</v>
      </c>
      <c r="B33" s="119" t="e">
        <f>+#REF!</f>
        <v>#REF!</v>
      </c>
      <c r="C33" s="115"/>
    </row>
    <row r="34" spans="1:16">
      <c r="A34" s="126" t="s">
        <v>334</v>
      </c>
      <c r="B34" s="127" t="e">
        <f>+B32-B33</f>
        <v>#REF!</v>
      </c>
      <c r="C34" s="128"/>
    </row>
    <row r="37" spans="1:16" ht="19.5">
      <c r="A37" s="109" t="s">
        <v>309</v>
      </c>
    </row>
    <row r="39" spans="1:16" ht="38.25">
      <c r="A39" s="110" t="s">
        <v>6</v>
      </c>
      <c r="B39" s="110" t="s">
        <v>310</v>
      </c>
      <c r="C39" s="110" t="s">
        <v>311</v>
      </c>
      <c r="D39" s="111" t="s">
        <v>312</v>
      </c>
      <c r="E39" s="111" t="s">
        <v>313</v>
      </c>
      <c r="F39" s="110" t="s">
        <v>7</v>
      </c>
      <c r="G39" s="110" t="s">
        <v>314</v>
      </c>
      <c r="H39" s="111" t="s">
        <v>315</v>
      </c>
      <c r="I39" s="111" t="s">
        <v>323</v>
      </c>
      <c r="J39" s="111" t="s">
        <v>316</v>
      </c>
    </row>
    <row r="40" spans="1:16">
      <c r="A40" s="113"/>
      <c r="B40" s="113"/>
      <c r="C40" s="113"/>
      <c r="D40" s="114"/>
      <c r="E40" s="114"/>
      <c r="F40" s="113"/>
      <c r="G40" s="113"/>
      <c r="H40" s="114"/>
      <c r="I40" s="114"/>
      <c r="J40" s="114"/>
    </row>
    <row r="41" spans="1:16">
      <c r="A41" t="s">
        <v>189</v>
      </c>
      <c r="B41" s="108">
        <v>0.6</v>
      </c>
      <c r="C41" s="106">
        <v>38864</v>
      </c>
      <c r="D41" s="106">
        <f>+F56</f>
        <v>19700</v>
      </c>
      <c r="E41" s="106">
        <f>+E56</f>
        <v>0</v>
      </c>
      <c r="F41" s="106">
        <f>SUM(C41:E41)</f>
        <v>58564</v>
      </c>
      <c r="G41" s="106">
        <v>0</v>
      </c>
      <c r="H41" s="106">
        <f>+F41-G41</f>
        <v>58564</v>
      </c>
      <c r="I41" s="106">
        <f>ROUND((C41+D41-G41)*B41+(E41*B41/2),0)</f>
        <v>35138</v>
      </c>
      <c r="J41" s="106">
        <f>+H41-I41</f>
        <v>23426</v>
      </c>
      <c r="K41" s="106"/>
      <c r="L41" s="106"/>
      <c r="P41" s="106"/>
    </row>
    <row r="42" spans="1:16">
      <c r="A42" t="s">
        <v>317</v>
      </c>
      <c r="B42" s="108">
        <v>0.15</v>
      </c>
      <c r="C42" s="106">
        <v>207263</v>
      </c>
      <c r="D42" s="106">
        <f>+F64</f>
        <v>23537</v>
      </c>
      <c r="E42" s="106">
        <f>+E64</f>
        <v>22500</v>
      </c>
      <c r="F42" s="106">
        <f>SUM(C42:E42)</f>
        <v>253300</v>
      </c>
      <c r="G42" s="106">
        <v>0</v>
      </c>
      <c r="H42" s="106">
        <f>+F42-G42</f>
        <v>253300</v>
      </c>
      <c r="I42" s="106">
        <f>ROUND((C42+D42-G42)*B42+(E42*B42/2),0)</f>
        <v>36308</v>
      </c>
      <c r="J42" s="106">
        <f>+H42-I42</f>
        <v>216992</v>
      </c>
      <c r="K42" s="106"/>
      <c r="L42" s="106"/>
      <c r="P42" s="106"/>
    </row>
    <row r="43" spans="1:16">
      <c r="A43" t="s">
        <v>318</v>
      </c>
      <c r="B43" s="108">
        <v>0.15</v>
      </c>
      <c r="C43" s="106">
        <v>1157974</v>
      </c>
      <c r="D43" s="106">
        <v>0</v>
      </c>
      <c r="E43" s="106">
        <v>0</v>
      </c>
      <c r="F43" s="106">
        <f>SUM(C43:E43)</f>
        <v>1157974</v>
      </c>
      <c r="G43" s="106">
        <f>+B76</f>
        <v>26666.67</v>
      </c>
      <c r="H43" s="106">
        <f>+F43-G43</f>
        <v>1131307.33</v>
      </c>
      <c r="I43" s="106">
        <f>ROUND((C43+D43-G43)*B43+(E43*B43/2),0)</f>
        <v>169696</v>
      </c>
      <c r="J43" s="106">
        <f>+H43-I43</f>
        <v>961611.33000000007</v>
      </c>
      <c r="K43" s="106"/>
      <c r="L43" s="106"/>
      <c r="P43" s="106"/>
    </row>
    <row r="44" spans="1:16">
      <c r="A44" t="s">
        <v>319</v>
      </c>
      <c r="B44" s="108">
        <v>0.1</v>
      </c>
      <c r="C44" s="106">
        <v>5248</v>
      </c>
      <c r="D44" s="106">
        <v>0</v>
      </c>
      <c r="E44" s="106">
        <v>0</v>
      </c>
      <c r="F44" s="106">
        <f>SUM(C44:E44)</f>
        <v>5248</v>
      </c>
      <c r="G44" s="106">
        <v>0</v>
      </c>
      <c r="H44" s="106">
        <f>+F44-G44</f>
        <v>5248</v>
      </c>
      <c r="I44" s="106">
        <f>ROUND((C44+D44-G44)*B44+(E44*B44/2),0)</f>
        <v>525</v>
      </c>
      <c r="J44" s="106">
        <f>+H44-I44</f>
        <v>4723</v>
      </c>
      <c r="K44" s="106"/>
      <c r="L44" s="106"/>
      <c r="P44" s="106"/>
    </row>
    <row r="45" spans="1:16">
      <c r="A45" t="s">
        <v>320</v>
      </c>
      <c r="B45" s="108">
        <v>0.25</v>
      </c>
      <c r="C45" s="106">
        <v>2126</v>
      </c>
      <c r="D45" s="106">
        <f>+F69</f>
        <v>2500</v>
      </c>
      <c r="E45" s="106">
        <f>+E69</f>
        <v>2694.78</v>
      </c>
      <c r="F45" s="106">
        <f>SUM(C45:E45)</f>
        <v>7320.7800000000007</v>
      </c>
      <c r="G45" s="106">
        <v>0</v>
      </c>
      <c r="H45" s="106">
        <f>+F45-G45</f>
        <v>7320.7800000000007</v>
      </c>
      <c r="I45" s="106">
        <f>ROUND((C45+D45-G45)*B45+(E45*B45/2),0)</f>
        <v>1493</v>
      </c>
      <c r="J45" s="106">
        <f>+H45-I45</f>
        <v>5827.7800000000007</v>
      </c>
      <c r="K45" s="106"/>
      <c r="L45" s="106"/>
      <c r="P45" s="106"/>
    </row>
    <row r="46" spans="1:16">
      <c r="B46" s="108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P46" s="106"/>
    </row>
    <row r="47" spans="1:16">
      <c r="A47" s="107" t="s">
        <v>7</v>
      </c>
      <c r="B47" s="107"/>
      <c r="C47" s="112">
        <f>SUM(C41:C45)</f>
        <v>1411475</v>
      </c>
      <c r="D47" s="112">
        <f t="shared" ref="D47:J47" si="0">SUM(D41:D45)</f>
        <v>45737</v>
      </c>
      <c r="E47" s="112">
        <f t="shared" si="0"/>
        <v>25194.78</v>
      </c>
      <c r="F47" s="112">
        <f t="shared" si="0"/>
        <v>1482406.78</v>
      </c>
      <c r="G47" s="112">
        <f t="shared" si="0"/>
        <v>26666.67</v>
      </c>
      <c r="H47" s="112">
        <f t="shared" si="0"/>
        <v>1455740.11</v>
      </c>
      <c r="I47" s="112">
        <f t="shared" si="0"/>
        <v>243160</v>
      </c>
      <c r="J47" s="112">
        <f t="shared" si="0"/>
        <v>1212580.1100000001</v>
      </c>
    </row>
    <row r="49" spans="1:6">
      <c r="A49" s="140" t="s">
        <v>165</v>
      </c>
      <c r="B49" s="141"/>
      <c r="C49" s="142">
        <v>41729</v>
      </c>
      <c r="D49" s="137"/>
      <c r="E49" s="137"/>
      <c r="F49" s="137"/>
    </row>
    <row r="50" spans="1:6" ht="42.75" customHeight="1">
      <c r="A50" s="143" t="s">
        <v>166</v>
      </c>
      <c r="B50" s="140" t="s">
        <v>53</v>
      </c>
      <c r="C50" s="144" t="s">
        <v>287</v>
      </c>
      <c r="D50" s="145" t="s">
        <v>167</v>
      </c>
      <c r="E50" s="105" t="s">
        <v>321</v>
      </c>
      <c r="F50" s="105" t="s">
        <v>322</v>
      </c>
    </row>
    <row r="51" spans="1:6" ht="15">
      <c r="A51" s="146" t="s">
        <v>288</v>
      </c>
      <c r="B51" s="141"/>
      <c r="C51" s="141"/>
      <c r="D51" s="141"/>
      <c r="E51" s="137"/>
      <c r="F51" s="137"/>
    </row>
    <row r="52" spans="1:6" ht="15">
      <c r="A52" s="146" t="s">
        <v>189</v>
      </c>
      <c r="B52" s="141"/>
      <c r="C52" s="141"/>
      <c r="D52" s="141"/>
      <c r="E52" s="137"/>
      <c r="F52" s="137"/>
    </row>
    <row r="53" spans="1:6">
      <c r="A53" s="147" t="s">
        <v>190</v>
      </c>
      <c r="B53" s="141">
        <v>6400</v>
      </c>
      <c r="C53" s="148">
        <v>41485</v>
      </c>
      <c r="D53" s="149">
        <f>+$C$49-C53+1</f>
        <v>245</v>
      </c>
      <c r="E53" s="138" t="str">
        <f>IF(D53&lt;180,B53,"0")</f>
        <v>0</v>
      </c>
      <c r="F53" s="139">
        <f>IF(D53&lt;180,"",B53)</f>
        <v>6400</v>
      </c>
    </row>
    <row r="54" spans="1:6">
      <c r="A54" s="147" t="s">
        <v>191</v>
      </c>
      <c r="B54" s="141">
        <v>11400</v>
      </c>
      <c r="C54" s="148">
        <v>41453</v>
      </c>
      <c r="D54" s="149">
        <f>+$C$49-C54+1</f>
        <v>277</v>
      </c>
      <c r="E54" s="138" t="str">
        <f>IF(D54&lt;180,B54,"0")</f>
        <v>0</v>
      </c>
      <c r="F54" s="139">
        <f>IF(D54&lt;180,"",B54)</f>
        <v>11400</v>
      </c>
    </row>
    <row r="55" spans="1:6">
      <c r="A55" s="147" t="s">
        <v>192</v>
      </c>
      <c r="B55" s="141">
        <v>1900</v>
      </c>
      <c r="C55" s="148">
        <v>41424</v>
      </c>
      <c r="D55" s="149">
        <f>+$C$49-C55+1</f>
        <v>306</v>
      </c>
      <c r="E55" s="138" t="str">
        <f>IF(D55&lt;180,B55,"0")</f>
        <v>0</v>
      </c>
      <c r="F55" s="139">
        <f>IF(D55&lt;180,"",B55)</f>
        <v>1900</v>
      </c>
    </row>
    <row r="56" spans="1:6" ht="15">
      <c r="A56" s="146"/>
      <c r="B56" s="140">
        <f>SUM(B53:B55)</f>
        <v>19700</v>
      </c>
      <c r="C56" s="141"/>
      <c r="D56" s="149"/>
      <c r="E56" s="150">
        <f>SUM(E53:E55)</f>
        <v>0</v>
      </c>
      <c r="F56" s="150">
        <f>SUM(F53:F55)</f>
        <v>19700</v>
      </c>
    </row>
    <row r="57" spans="1:6" ht="15">
      <c r="A57" s="146" t="s">
        <v>15</v>
      </c>
      <c r="B57" s="140"/>
      <c r="C57" s="141"/>
      <c r="D57" s="149"/>
      <c r="E57" s="138"/>
      <c r="F57" s="139"/>
    </row>
    <row r="58" spans="1:6">
      <c r="A58" s="147" t="s">
        <v>289</v>
      </c>
      <c r="B58" s="141">
        <v>7500</v>
      </c>
      <c r="C58" s="148">
        <v>41684</v>
      </c>
      <c r="D58" s="149">
        <f>+$C$49-C58+1</f>
        <v>46</v>
      </c>
      <c r="E58" s="138">
        <f>IF(D58&lt;180,B58,"")</f>
        <v>7500</v>
      </c>
      <c r="F58" s="139" t="str">
        <f>IF(D58&lt;180,"",B58)</f>
        <v/>
      </c>
    </row>
    <row r="59" spans="1:6">
      <c r="A59" s="141"/>
      <c r="B59" s="141">
        <v>15000</v>
      </c>
      <c r="C59" s="148">
        <v>41697</v>
      </c>
      <c r="D59" s="149">
        <f>+$C$49-C59+1</f>
        <v>33</v>
      </c>
      <c r="E59" s="138">
        <f>IF(D59&lt;180,B59,"")</f>
        <v>15000</v>
      </c>
      <c r="F59" s="139" t="str">
        <f>IF(D59&lt;180,"",B59)</f>
        <v/>
      </c>
    </row>
    <row r="60" spans="1:6">
      <c r="A60" s="141"/>
      <c r="B60" s="151">
        <f>SUM(B58:B59)</f>
        <v>22500</v>
      </c>
      <c r="C60" s="148"/>
      <c r="D60" s="152"/>
      <c r="E60" s="150">
        <f>SUM(E58:E59)</f>
        <v>22500</v>
      </c>
      <c r="F60" s="150">
        <f>SUM(F58:F59)</f>
        <v>0</v>
      </c>
    </row>
    <row r="61" spans="1:6">
      <c r="A61" s="147" t="s">
        <v>169</v>
      </c>
      <c r="B61" s="141">
        <v>18787</v>
      </c>
      <c r="C61" s="148">
        <v>41521</v>
      </c>
      <c r="D61" s="149">
        <f>+$C$49-C61+1</f>
        <v>209</v>
      </c>
      <c r="E61" s="138" t="str">
        <f>IF(D61&lt;180,B61,"0")</f>
        <v>0</v>
      </c>
      <c r="F61" s="139">
        <f>IF(D61&lt;180,"",B61)</f>
        <v>18787</v>
      </c>
    </row>
    <row r="62" spans="1:6">
      <c r="A62" s="147" t="s">
        <v>170</v>
      </c>
      <c r="B62" s="141">
        <v>1600</v>
      </c>
      <c r="C62" s="148">
        <v>41380</v>
      </c>
      <c r="D62" s="149">
        <f>+$C$49-C62+1</f>
        <v>350</v>
      </c>
      <c r="E62" s="138" t="str">
        <f>IF(D62&lt;180,B62,"0")</f>
        <v>0</v>
      </c>
      <c r="F62" s="139">
        <f>IF(D62&lt;180,"",B62)</f>
        <v>1600</v>
      </c>
    </row>
    <row r="63" spans="1:6">
      <c r="A63" s="147" t="s">
        <v>193</v>
      </c>
      <c r="B63" s="141">
        <v>3150</v>
      </c>
      <c r="C63" s="148">
        <v>41394</v>
      </c>
      <c r="D63" s="149">
        <f>+$C$49-C63+1</f>
        <v>336</v>
      </c>
      <c r="E63" s="138" t="str">
        <f>IF(D63&lt;180,B63,"0")</f>
        <v>0</v>
      </c>
      <c r="F63" s="139">
        <f>IF(D63&lt;180,"",B63)</f>
        <v>3150</v>
      </c>
    </row>
    <row r="64" spans="1:6">
      <c r="A64" s="141" t="s">
        <v>172</v>
      </c>
      <c r="B64" s="140">
        <f>+B56+B60+B61+B62+B63</f>
        <v>65737</v>
      </c>
      <c r="C64" s="148"/>
      <c r="D64" s="149"/>
      <c r="E64" s="150">
        <f>+E60+E61+E62+E63</f>
        <v>22500</v>
      </c>
      <c r="F64" s="150">
        <f>+F60+F61+F62+F63</f>
        <v>23537</v>
      </c>
    </row>
    <row r="65" spans="1:6">
      <c r="A65" s="141"/>
      <c r="B65" s="141"/>
      <c r="C65" s="148"/>
      <c r="D65" s="149"/>
      <c r="E65" s="138"/>
      <c r="F65" s="139"/>
    </row>
    <row r="66" spans="1:6">
      <c r="A66" s="140" t="s">
        <v>86</v>
      </c>
      <c r="B66" s="141"/>
      <c r="C66" s="148"/>
      <c r="D66" s="149"/>
      <c r="E66" s="138"/>
      <c r="F66" s="139"/>
    </row>
    <row r="67" spans="1:6">
      <c r="A67" s="141" t="s">
        <v>171</v>
      </c>
      <c r="B67" s="141">
        <v>2694.78</v>
      </c>
      <c r="C67" s="148">
        <v>41659</v>
      </c>
      <c r="D67" s="149">
        <f>+$C$49-C67+1</f>
        <v>71</v>
      </c>
      <c r="E67" s="138">
        <f>IF(D67&lt;180,B67,"0")</f>
        <v>2694.78</v>
      </c>
      <c r="F67" s="139" t="str">
        <f>IF(D67&lt;180,"",B67)</f>
        <v/>
      </c>
    </row>
    <row r="68" spans="1:6">
      <c r="A68" s="141" t="s">
        <v>290</v>
      </c>
      <c r="B68" s="141">
        <v>2500</v>
      </c>
      <c r="C68" s="148">
        <v>41460</v>
      </c>
      <c r="D68" s="149">
        <f>+$C$49-C68+1</f>
        <v>270</v>
      </c>
      <c r="E68" s="138" t="str">
        <f>IF(D68&lt;180,B68,"0")</f>
        <v>0</v>
      </c>
      <c r="F68" s="139">
        <f>IF(D68&lt;180,"",B68)</f>
        <v>2500</v>
      </c>
    </row>
    <row r="69" spans="1:6">
      <c r="A69" s="141" t="s">
        <v>173</v>
      </c>
      <c r="B69" s="140">
        <f>SUM(B67:B68)</f>
        <v>5194.7800000000007</v>
      </c>
      <c r="C69" s="142"/>
      <c r="D69" s="152"/>
      <c r="E69" s="150">
        <f>SUM(E67:E68)</f>
        <v>2694.78</v>
      </c>
      <c r="F69" s="150">
        <f>SUM(F67:F68)</f>
        <v>2500</v>
      </c>
    </row>
    <row r="70" spans="1:6">
      <c r="A70" s="141"/>
      <c r="B70" s="140"/>
      <c r="C70" s="142"/>
      <c r="D70" s="152"/>
      <c r="E70" s="139"/>
      <c r="F70" s="139"/>
    </row>
    <row r="71" spans="1:6">
      <c r="A71" s="140" t="s">
        <v>17</v>
      </c>
      <c r="B71" s="140">
        <f>+B64+B69</f>
        <v>70931.78</v>
      </c>
      <c r="C71" s="142"/>
      <c r="D71" s="140"/>
      <c r="E71" s="150">
        <f>+E64+E69+E56</f>
        <v>25194.78</v>
      </c>
      <c r="F71" s="150">
        <f>+F64+F69+F56</f>
        <v>45737</v>
      </c>
    </row>
    <row r="72" spans="1:6">
      <c r="A72" s="141"/>
      <c r="B72" s="141"/>
      <c r="C72" s="148"/>
      <c r="D72" s="141"/>
      <c r="E72" s="137"/>
      <c r="F72" s="137"/>
    </row>
    <row r="73" spans="1:6">
      <c r="A73" s="140" t="s">
        <v>174</v>
      </c>
      <c r="B73" s="141"/>
      <c r="C73" s="148"/>
      <c r="D73" s="141"/>
      <c r="E73" s="137"/>
      <c r="F73" s="137"/>
    </row>
    <row r="74" spans="1:6">
      <c r="A74" s="140" t="s">
        <v>6</v>
      </c>
      <c r="B74" s="141"/>
      <c r="C74" s="148"/>
      <c r="D74" s="141"/>
      <c r="E74" s="137"/>
      <c r="F74" s="137"/>
    </row>
    <row r="75" spans="1:6">
      <c r="A75" s="141" t="s">
        <v>175</v>
      </c>
      <c r="B75" s="141" t="s">
        <v>176</v>
      </c>
      <c r="C75" s="148"/>
      <c r="D75" s="141"/>
      <c r="E75" s="137"/>
      <c r="F75" s="137"/>
    </row>
    <row r="76" spans="1:6">
      <c r="A76" s="141" t="s">
        <v>177</v>
      </c>
      <c r="B76" s="141">
        <v>26666.67</v>
      </c>
      <c r="C76" s="148"/>
      <c r="D76" s="141"/>
      <c r="E76" s="137"/>
      <c r="F76" s="137"/>
    </row>
    <row r="77" spans="1:6">
      <c r="A77" s="141" t="s">
        <v>179</v>
      </c>
      <c r="B77" s="148">
        <v>41395</v>
      </c>
      <c r="C77" s="148"/>
      <c r="D77" s="141"/>
      <c r="E77" s="137"/>
      <c r="F77" s="137"/>
    </row>
    <row r="78" spans="1:6" ht="15">
      <c r="A78" s="24"/>
      <c r="B78" s="24"/>
      <c r="C78" s="80"/>
      <c r="D78" s="24"/>
    </row>
    <row r="79" spans="1:6" ht="15">
      <c r="A79" s="24"/>
      <c r="B79" s="24"/>
      <c r="C79" s="80"/>
      <c r="D79" s="24"/>
    </row>
    <row r="80" spans="1:6" ht="15">
      <c r="A80" s="24"/>
      <c r="B80" s="24"/>
      <c r="C80" s="24"/>
      <c r="D80" s="24"/>
    </row>
    <row r="81" spans="1:4" ht="15">
      <c r="A81" s="24"/>
      <c r="B81" s="24"/>
      <c r="C81" s="24"/>
      <c r="D81" s="24"/>
    </row>
  </sheetData>
  <customSheetViews>
    <customSheetView guid="{87824C19-B10C-495C-99E6-C6D53A8CE673}" showPageBreaks="1" printArea="1" state="hidden" topLeftCell="A24">
      <selection activeCell="B30" sqref="B30"/>
      <pageMargins left="0.7" right="0.7" top="0.75" bottom="0.75" header="0.3" footer="0.3"/>
      <pageSetup paperSize="9" orientation="portrait" verticalDpi="0" r:id="rId1"/>
    </customSheetView>
  </customSheetViews>
  <mergeCells count="1">
    <mergeCell ref="A2:C2"/>
  </mergeCells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3:I18"/>
  <sheetViews>
    <sheetView view="pageBreakPreview" topLeftCell="A3" zoomScale="160" zoomScaleSheetLayoutView="160" workbookViewId="0">
      <selection activeCell="A9" sqref="A9"/>
    </sheetView>
  </sheetViews>
  <sheetFormatPr defaultRowHeight="12.75"/>
  <cols>
    <col min="1" max="1" width="31.7109375" bestFit="1" customWidth="1"/>
  </cols>
  <sheetData>
    <row r="3" spans="1:9" ht="15">
      <c r="A3" s="204"/>
    </row>
    <row r="4" spans="1:9">
      <c r="A4" t="s">
        <v>362</v>
      </c>
      <c r="B4">
        <v>60</v>
      </c>
    </row>
    <row r="5" spans="1:9">
      <c r="A5" t="s">
        <v>361</v>
      </c>
      <c r="B5">
        <v>30</v>
      </c>
    </row>
    <row r="6" spans="1:9">
      <c r="A6" t="s">
        <v>378</v>
      </c>
      <c r="B6">
        <v>0</v>
      </c>
    </row>
    <row r="7" spans="1:9">
      <c r="A7" t="s">
        <v>363</v>
      </c>
      <c r="B7">
        <v>30</v>
      </c>
    </row>
    <row r="8" spans="1:9">
      <c r="A8" t="s">
        <v>364</v>
      </c>
      <c r="B8">
        <v>5</v>
      </c>
    </row>
    <row r="9" spans="1:9">
      <c r="A9" t="s">
        <v>365</v>
      </c>
      <c r="B9">
        <v>3</v>
      </c>
    </row>
    <row r="10" spans="1:9">
      <c r="A10" t="s">
        <v>366</v>
      </c>
      <c r="B10">
        <v>15</v>
      </c>
    </row>
    <row r="11" spans="1:9">
      <c r="A11" t="s">
        <v>367</v>
      </c>
      <c r="B11">
        <v>10</v>
      </c>
    </row>
    <row r="12" spans="1:9">
      <c r="A12" t="s">
        <v>368</v>
      </c>
      <c r="B12">
        <v>8</v>
      </c>
      <c r="I12" t="s">
        <v>359</v>
      </c>
    </row>
    <row r="13" spans="1:9">
      <c r="A13" t="s">
        <v>369</v>
      </c>
      <c r="B13">
        <v>10</v>
      </c>
      <c r="F13" t="s">
        <v>360</v>
      </c>
    </row>
    <row r="14" spans="1:9">
      <c r="A14" t="s">
        <v>370</v>
      </c>
      <c r="B14">
        <v>6</v>
      </c>
    </row>
    <row r="15" spans="1:9">
      <c r="A15" t="s">
        <v>371</v>
      </c>
      <c r="B15">
        <v>8</v>
      </c>
    </row>
    <row r="16" spans="1:9">
      <c r="A16" t="s">
        <v>372</v>
      </c>
      <c r="B16">
        <v>5</v>
      </c>
    </row>
    <row r="17" spans="1:2">
      <c r="A17" t="s">
        <v>373</v>
      </c>
      <c r="B17">
        <v>3</v>
      </c>
    </row>
    <row r="18" spans="1:2">
      <c r="A18" t="s">
        <v>374</v>
      </c>
      <c r="B18">
        <v>10</v>
      </c>
    </row>
  </sheetData>
  <sheetProtection password="D045" sheet="1" objects="1" scenarios="1"/>
  <dataValidations disablePrompts="1" count="2">
    <dataValidation type="list" allowBlank="1" showInputMessage="1" showErrorMessage="1" sqref="F13">
      <formula1>"vivek"</formula1>
    </dataValidation>
    <dataValidation type="list" allowBlank="1" showInputMessage="1" showErrorMessage="1" sqref="I12">
      <formula1>vivek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4:B5"/>
  <sheetViews>
    <sheetView topLeftCell="A3" workbookViewId="0">
      <selection activeCell="B5" sqref="B5"/>
    </sheetView>
  </sheetViews>
  <sheetFormatPr defaultRowHeight="12.75"/>
  <sheetData>
    <row r="4" spans="1:2">
      <c r="A4" t="s">
        <v>377</v>
      </c>
      <c r="B4">
        <v>1</v>
      </c>
    </row>
    <row r="5" spans="1:2">
      <c r="A5" t="s">
        <v>376</v>
      </c>
      <c r="B5">
        <v>0</v>
      </c>
    </row>
  </sheetData>
  <sheetProtection password="D045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15</vt:i4>
      </vt:variant>
    </vt:vector>
  </HeadingPairs>
  <TitlesOfParts>
    <vt:vector size="24" baseType="lpstr">
      <vt:lpstr>Long term provisions</vt:lpstr>
      <vt:lpstr>FIXEd ASSETS</vt:lpstr>
      <vt:lpstr>F. A</vt:lpstr>
      <vt:lpstr>List T R</vt:lpstr>
      <vt:lpstr>R&amp;P &amp; Tele Exp</vt:lpstr>
      <vt:lpstr>DTA</vt:lpstr>
      <vt:lpstr>Compu</vt:lpstr>
      <vt:lpstr>Sheet1</vt:lpstr>
      <vt:lpstr>Sheet2</vt:lpstr>
      <vt:lpstr>Sheet1!a</vt:lpstr>
      <vt:lpstr>METHOD</vt:lpstr>
      <vt:lpstr>Compu!Print_Area</vt:lpstr>
      <vt:lpstr>DTA!Print_Area</vt:lpstr>
      <vt:lpstr>'F. A'!Print_Area</vt:lpstr>
      <vt:lpstr>'FIXEd ASSETS'!Print_Area</vt:lpstr>
      <vt:lpstr>'List T R'!Print_Area</vt:lpstr>
      <vt:lpstr>'Long term provisions'!Print_Area</vt:lpstr>
      <vt:lpstr>'R&amp;P &amp; Tele Exp'!Print_Area</vt:lpstr>
      <vt:lpstr>Sheet1!Print_Area</vt:lpstr>
      <vt:lpstr>'List T R'!Print_Titles</vt:lpstr>
      <vt:lpstr>scheduleii</vt:lpstr>
      <vt:lpstr>sfhsafha</vt:lpstr>
      <vt:lpstr>Sheet1!vehicle</vt:lpstr>
      <vt:lpstr>vivek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narula9</dc:creator>
  <cp:lastModifiedBy>admin</cp:lastModifiedBy>
  <cp:lastPrinted>2015-05-15T11:43:52Z</cp:lastPrinted>
  <dcterms:created xsi:type="dcterms:W3CDTF">2012-02-24T07:11:49Z</dcterms:created>
  <dcterms:modified xsi:type="dcterms:W3CDTF">2015-05-19T05:19:25Z</dcterms:modified>
</cp:coreProperties>
</file>