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comments4.xml" ContentType="application/vnd.openxmlformats-officedocument.spreadsheetml.comments+xml"/>
  <Override PartName="/xl/worksheets/sheet3.xml" ContentType="application/vnd.openxmlformats-officedocument.spreadsheetml.worksheet+xml"/>
  <Override PartName="/xl/externalLinks/externalLink3.xml" ContentType="application/vnd.openxmlformats-officedocument.spreadsheetml.externalLink+xml"/>
  <Override PartName="/xl/comments2.xml" ContentType="application/vnd.openxmlformats-officedocument.spreadsheetml.comments+xml"/>
  <Override PartName="/xl/worksheets/sheet1.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externalLinks/externalLink6.xml" ContentType="application/vnd.openxmlformats-officedocument.spreadsheetml.externalLink+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comments3.xml" ContentType="application/vnd.openxmlformats-officedocument.spreadsheetml.comments+xml"/>
  <Override PartName="/xl/worksheets/sheet59.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240" yWindow="105" windowWidth="14805" windowHeight="8010" tabRatio="911" firstSheet="5" activeTab="6"/>
  </bookViews>
  <sheets>
    <sheet name="BS (2)" sheetId="46" state="hidden" r:id="rId1"/>
    <sheet name="SCH_BS" sheetId="47" state="hidden" r:id="rId2"/>
    <sheet name="NOTES" sheetId="50" state="hidden" r:id="rId3"/>
    <sheet name="ABST" sheetId="51" state="hidden" r:id="rId4"/>
    <sheet name="PL (2)" sheetId="52" state="hidden" r:id="rId5"/>
    <sheet name="Instr" sheetId="82" r:id="rId6"/>
    <sheet name="master" sheetId="39" r:id="rId7"/>
    <sheet name="TB" sheetId="38" r:id="rId8"/>
    <sheet name="TB_ANNX" sheetId="41" r:id="rId9"/>
    <sheet name="audr" sheetId="42" r:id="rId10"/>
    <sheet name="audr1" sheetId="43" r:id="rId11"/>
    <sheet name="notice" sheetId="44" r:id="rId12"/>
    <sheet name="dir" sheetId="45" r:id="rId13"/>
    <sheet name="BS" sheetId="1" r:id="rId14"/>
    <sheet name="PL" sheetId="2" r:id="rId15"/>
    <sheet name="CF" sheetId="81" r:id="rId16"/>
    <sheet name="1" sheetId="15" r:id="rId17"/>
    <sheet name="2" sheetId="16" r:id="rId18"/>
    <sheet name="3" sheetId="17" r:id="rId19"/>
    <sheet name="4" sheetId="19" r:id="rId20"/>
    <sheet name="5" sheetId="20" r:id="rId21"/>
    <sheet name="6" sheetId="21" r:id="rId22"/>
    <sheet name="7" sheetId="22" r:id="rId23"/>
    <sheet name="8" sheetId="23" r:id="rId24"/>
    <sheet name="9" sheetId="24" r:id="rId25"/>
    <sheet name="10" sheetId="25" r:id="rId26"/>
    <sheet name="11" sheetId="78" r:id="rId27"/>
    <sheet name="12" sheetId="27" r:id="rId28"/>
    <sheet name="13" sheetId="28" r:id="rId29"/>
    <sheet name="14" sheetId="29" r:id="rId30"/>
    <sheet name="15" sheetId="30" r:id="rId31"/>
    <sheet name="16" sheetId="31" r:id="rId32"/>
    <sheet name="17" sheetId="32" r:id="rId33"/>
    <sheet name="18" sheetId="33" r:id="rId34"/>
    <sheet name="19" sheetId="34" r:id="rId35"/>
    <sheet name="20" sheetId="35" r:id="rId36"/>
    <sheet name="21" sheetId="36" r:id="rId37"/>
    <sheet name="22" sheetId="3" r:id="rId38"/>
    <sheet name="23" sheetId="4" r:id="rId39"/>
    <sheet name="24" sheetId="5" r:id="rId40"/>
    <sheet name="25" sheetId="6" r:id="rId41"/>
    <sheet name="26" sheetId="7" r:id="rId42"/>
    <sheet name="27" sheetId="8" r:id="rId43"/>
    <sheet name="28" sheetId="9" r:id="rId44"/>
    <sheet name="29" sheetId="10" r:id="rId45"/>
    <sheet name="30" sheetId="11" r:id="rId46"/>
    <sheet name="31" sheetId="12" r:id="rId47"/>
    <sheet name="32" sheetId="13" r:id="rId48"/>
    <sheet name="33" sheetId="14" r:id="rId49"/>
    <sheet name="34" sheetId="37" r:id="rId50"/>
    <sheet name="tax" sheetId="76" r:id="rId51"/>
    <sheet name="def tax" sheetId="77" r:id="rId52"/>
    <sheet name="3CA" sheetId="59" r:id="rId53"/>
    <sheet name="3CD" sheetId="66" r:id="rId54"/>
    <sheet name="3CD1" sheetId="67" r:id="rId55"/>
    <sheet name="C" sheetId="69" r:id="rId56"/>
    <sheet name="depit" sheetId="79" r:id="rId57"/>
    <sheet name="FA" sheetId="71" r:id="rId58"/>
    <sheet name="3cd_loans" sheetId="61" r:id="rId59"/>
    <sheet name="3cd_40A(2)" sheetId="73" r:id="rId60"/>
    <sheet name="3cd_TDS" sheetId="74" r:id="rId61"/>
    <sheet name="3cd_Stock" sheetId="75" r:id="rId62"/>
    <sheet name="ar" sheetId="55" r:id="rId63"/>
    <sheet name="ard" sheetId="56" r:id="rId64"/>
    <sheet name="ars" sheetId="57" r:id="rId65"/>
    <sheet name="art" sheetId="58" r:id="rId66"/>
  </sheets>
  <externalReferences>
    <externalReference r:id="rId67"/>
    <externalReference r:id="rId68"/>
    <externalReference r:id="rId69"/>
    <externalReference r:id="rId70"/>
    <externalReference r:id="rId71"/>
    <externalReference r:id="rId72"/>
    <externalReference r:id="rId73"/>
  </externalReferences>
  <definedNames>
    <definedName name="___INDEX_SHEET___ASAP_Utilities">#REF!</definedName>
    <definedName name="__123Graph_A" hidden="1">'[1]TRIAL BALANCE'!#REF!</definedName>
    <definedName name="__123Graph_B" hidden="1">'[1]TRIAL BALANCE'!#REF!</definedName>
    <definedName name="__123Graph_X" hidden="1">'[1]TRIAL BALANCE'!#REF!</definedName>
    <definedName name="_col1" localSheetId="26">#REF!</definedName>
    <definedName name="_col1" localSheetId="56">#REF!</definedName>
    <definedName name="_col1">#REF!</definedName>
    <definedName name="_col10" localSheetId="26">#REF!</definedName>
    <definedName name="_col10" localSheetId="56">#REF!</definedName>
    <definedName name="_col10">#REF!</definedName>
    <definedName name="_col11" localSheetId="26">#REF!</definedName>
    <definedName name="_col11" localSheetId="56">#REF!</definedName>
    <definedName name="_col11">#REF!</definedName>
    <definedName name="_col12" localSheetId="26">#REF!</definedName>
    <definedName name="_col12" localSheetId="56">#REF!</definedName>
    <definedName name="_col12">#REF!</definedName>
    <definedName name="_col13" localSheetId="26">#REF!</definedName>
    <definedName name="_col13" localSheetId="56">#REF!</definedName>
    <definedName name="_col13">#REF!</definedName>
    <definedName name="_col2" localSheetId="26">#REF!</definedName>
    <definedName name="_col2" localSheetId="56">#REF!</definedName>
    <definedName name="_col2">#REF!</definedName>
    <definedName name="_col3" localSheetId="26">#REF!</definedName>
    <definedName name="_col3" localSheetId="56">#REF!</definedName>
    <definedName name="_col3">#REF!</definedName>
    <definedName name="_col4" localSheetId="26">#REF!</definedName>
    <definedName name="_col4" localSheetId="56">#REF!</definedName>
    <definedName name="_col4">#REF!</definedName>
    <definedName name="_col5" localSheetId="26">#REF!</definedName>
    <definedName name="_col5" localSheetId="56">#REF!</definedName>
    <definedName name="_col5">#REF!</definedName>
    <definedName name="_col6" localSheetId="26">#REF!</definedName>
    <definedName name="_col6" localSheetId="56">#REF!</definedName>
    <definedName name="_col6">#REF!</definedName>
    <definedName name="_col7" localSheetId="26">#REF!</definedName>
    <definedName name="_col7" localSheetId="56">#REF!</definedName>
    <definedName name="_col7">#REF!</definedName>
    <definedName name="_col8" localSheetId="26">#REF!</definedName>
    <definedName name="_col8" localSheetId="56">#REF!</definedName>
    <definedName name="_col8">#REF!</definedName>
    <definedName name="_col9" localSheetId="26">#REF!</definedName>
    <definedName name="_col9" localSheetId="56">#REF!</definedName>
    <definedName name="_col9">#REF!</definedName>
    <definedName name="_MAR9091">'[2]TRIAL BALANCE'!#REF!</definedName>
    <definedName name="_Order1" hidden="1">255</definedName>
    <definedName name="AS2DocOpenMode" hidden="1">"AS2DocumentEdit"</definedName>
    <definedName name="ASIA_PLASTIC_in_KUSD" localSheetId="26">#REF!</definedName>
    <definedName name="ASIA_PLASTIC_in_KUSD" localSheetId="56">#REF!</definedName>
    <definedName name="ASIA_PLASTIC_in_KUSD">#REF!</definedName>
    <definedName name="AsstYr">[3]Masters!$C$34</definedName>
    <definedName name="axedoc" localSheetId="26">#REF!</definedName>
    <definedName name="axedoc" localSheetId="56">#REF!</definedName>
    <definedName name="axedoc">#REF!</definedName>
    <definedName name="BSDateSF">[3]Masters!$C$28</definedName>
    <definedName name="CHINA_PLASTIC_in_KUSD" localSheetId="26">#REF!</definedName>
    <definedName name="CHINA_PLASTIC_in_KUSD" localSheetId="56">#REF!</definedName>
    <definedName name="CHINA_PLASTIC_in_KUSD">#REF!</definedName>
    <definedName name="CoAdd">[3]Masters!$C$4</definedName>
    <definedName name="CoName">[3]Masters!$C$3</definedName>
    <definedName name="COST" localSheetId="26">#REF!</definedName>
    <definedName name="COST" localSheetId="56">#REF!</definedName>
    <definedName name="COST">#REF!</definedName>
    <definedName name="cost_calcn" localSheetId="26">#REF!</definedName>
    <definedName name="cost_calcn" localSheetId="56">#REF!</definedName>
    <definedName name="cost_calcn">#REF!</definedName>
    <definedName name="CoStatus">[3]Masters!$C$7</definedName>
    <definedName name="_xlnm.Database" localSheetId="26">#REF!</definedName>
    <definedName name="_xlnm.Database" localSheetId="56">#REF!</definedName>
    <definedName name="_xlnm.Database">#REF!</definedName>
    <definedName name="Gross_Margin___Rs_M" localSheetId="26">#REF!</definedName>
    <definedName name="Gross_Margin___Rs_M" localSheetId="56">#REF!</definedName>
    <definedName name="Gross_Margin___Rs_M">#REF!</definedName>
    <definedName name="INDIA_PLASTIC_in_KUSD" localSheetId="26">#REF!</definedName>
    <definedName name="INDIA_PLASTIC_in_KUSD" localSheetId="56">#REF!</definedName>
    <definedName name="INDIA_PLASTIC_in_KUSD">#REF!</definedName>
    <definedName name="KOREA_PLASTIC_in_KUSD" localSheetId="26">#REF!</definedName>
    <definedName name="KOREA_PLASTIC_in_KUSD" localSheetId="56">#REF!</definedName>
    <definedName name="KOREA_PLASTIC_in_KUSD">#REF!</definedName>
    <definedName name="LAC">#REF!</definedName>
    <definedName name="MDEVISES">#REF!,#REF!,#REF!</definedName>
    <definedName name="MethodAcc">[3]Masters!$C$46</definedName>
    <definedName name="MFRF">#REF!,#REF!,#REF!,#REF!,#REF!</definedName>
    <definedName name="MStVal">[3]Masters!$C$47</definedName>
    <definedName name="NatureBusiness">[3]Masters!$C$45</definedName>
    <definedName name="operations" localSheetId="26">#REF!</definedName>
    <definedName name="operations" localSheetId="56">#REF!</definedName>
    <definedName name="operations">#REF!</definedName>
    <definedName name="P___L___Statement" localSheetId="26">#REF!</definedName>
    <definedName name="P___L___Statement" localSheetId="56">#REF!</definedName>
    <definedName name="P___L___Statement">#REF!</definedName>
    <definedName name="PAN">[3]Masters!$C$11</definedName>
    <definedName name="PartDesignation">[3]Masters!$C$16</definedName>
    <definedName name="_xlnm.Print_Area" localSheetId="26">'11'!$A$1:$L$40</definedName>
    <definedName name="_xlnm.Print_Area" localSheetId="45">'30'!$A$1:$D$81</definedName>
    <definedName name="_xlnm.Print_Area" localSheetId="53">'3CD'!$A$2:$D$211</definedName>
    <definedName name="_xlnm.Print_Area" localSheetId="60">'3cd_TDS'!$A$1:$H$22</definedName>
    <definedName name="_xlnm.Print_Area" localSheetId="54">'3CD1'!$A$1:$D$57</definedName>
    <definedName name="_xlnm.Print_Area" localSheetId="13">BS!$A$1:$H$70</definedName>
    <definedName name="_xlnm.Print_Area" localSheetId="55">'C'!$A$1</definedName>
    <definedName name="_xlnm.Print_Area" localSheetId="15">CF!$A$1:$G$95</definedName>
    <definedName name="_xlnm.Print_Area" localSheetId="56">depit!$A$1:$H$39</definedName>
    <definedName name="_xlnm.Print_Area" localSheetId="57">FA!$A$1:$H$14</definedName>
    <definedName name="_xlnm.Print_Area" localSheetId="5">Instr!$A$1</definedName>
    <definedName name="_xlnm.Print_Area" localSheetId="6">master!$A$1</definedName>
    <definedName name="_xlnm.Print_Area" localSheetId="14">PL!$A$1:$H$67</definedName>
    <definedName name="_xlnm.Print_Area" localSheetId="4">'PL (2)'!$A$1:$D$44</definedName>
    <definedName name="_xlnm.Print_Area" localSheetId="50">tax!$A$1:$C$63</definedName>
    <definedName name="_xlnm.Print_Area" localSheetId="7">TB!#REF!</definedName>
    <definedName name="_xlnm.Print_Area" localSheetId="8">TB_ANNX!$A$1:$C$277</definedName>
    <definedName name="_xlnm.Print_Area">#REF!</definedName>
    <definedName name="PRINT_AREA_MI">#REF!</definedName>
    <definedName name="print_area1">#REF!</definedName>
    <definedName name="_xlnm.Print_Titles" localSheetId="15">CF!$7:$7</definedName>
    <definedName name="Realisations_salevalue" localSheetId="26">#REF!</definedName>
    <definedName name="Realisations_salevalue" localSheetId="56">#REF!</definedName>
    <definedName name="Realisations_salevalue">#REF!</definedName>
    <definedName name="RMB">[4]Data!$D$10</definedName>
    <definedName name="SALES" localSheetId="26">#REF!</definedName>
    <definedName name="SALES" localSheetId="56">#REF!</definedName>
    <definedName name="SALES">#REF!</definedName>
    <definedName name="Stocks" localSheetId="26">#REF!</definedName>
    <definedName name="Stocks" localSheetId="56">#REF!</definedName>
    <definedName name="Stocks">#REF!</definedName>
    <definedName name="TAFName">[3]Masters!$C$19</definedName>
    <definedName name="TAMNo">[3]Masters!$C$23</definedName>
    <definedName name="TAName">[3]Masters!$C$20</definedName>
    <definedName name="TAPlace">[3]Masters!$C$43</definedName>
    <definedName name="TaxAudAdd">[3]Masters!$C$24</definedName>
    <definedName name="TaxAuditDate">[3]Masters!$C$40</definedName>
    <definedName name="THAI_PLASTIC_in_KUSD" localSheetId="26">#REF!</definedName>
    <definedName name="THAI_PLASTIC_in_KUSD" localSheetId="56">#REF!</definedName>
    <definedName name="THAI_PLASTIC_in_KUSD">#REF!</definedName>
    <definedName name="USD.A" localSheetId="26">#REF!</definedName>
    <definedName name="USD.A" localSheetId="56">#REF!</definedName>
    <definedName name="USD.A">#REF!</definedName>
    <definedName name="USD.E" localSheetId="26">#REF!</definedName>
    <definedName name="USD.E" localSheetId="56">#REF!</definedName>
    <definedName name="USD.E">#REF!</definedName>
    <definedName name="USD_B">#REF!</definedName>
    <definedName name="wrn.imprim." localSheetId="26"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 localSheetId="56"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 localSheetId="8"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xx">'[5]TRIAL BALANCE'!#REF!</definedName>
    <definedName name="Z_9426E38C_13B4_4AE0_934B_D7DFB740B66C_.wvu.PrintTitles" localSheetId="15" hidden="1">CF!$7:$7</definedName>
  </definedNames>
  <calcPr calcId="124519"/>
</workbook>
</file>

<file path=xl/calcChain.xml><?xml version="1.0" encoding="utf-8"?>
<calcChain xmlns="http://schemas.openxmlformats.org/spreadsheetml/2006/main">
  <c r="H44" i="79"/>
  <c r="B41"/>
  <c r="H32"/>
  <c r="G32"/>
  <c r="F32"/>
  <c r="E32"/>
  <c r="D32"/>
  <c r="C32"/>
  <c r="C38" s="1"/>
  <c r="H13"/>
  <c r="G13"/>
  <c r="F13"/>
  <c r="E13"/>
  <c r="D13"/>
  <c r="C13"/>
  <c r="H11"/>
  <c r="G11"/>
  <c r="H10"/>
  <c r="G10"/>
  <c r="G24"/>
  <c r="H24" s="1"/>
  <c r="L46" i="78"/>
  <c r="L44"/>
  <c r="K46"/>
  <c r="K44"/>
  <c r="H20"/>
  <c r="J20" s="1"/>
  <c r="K20" s="1"/>
  <c r="H18"/>
  <c r="J18" s="1"/>
  <c r="K18" s="1"/>
  <c r="H17"/>
  <c r="J17" s="1"/>
  <c r="K17" s="1"/>
  <c r="F20"/>
  <c r="F18"/>
  <c r="F17"/>
  <c r="H15"/>
  <c r="J15" s="1"/>
  <c r="K15" s="1"/>
  <c r="H14"/>
  <c r="J14" s="1"/>
  <c r="K14" s="1"/>
  <c r="J13"/>
  <c r="K13" s="1"/>
  <c r="H13"/>
  <c r="F15"/>
  <c r="F14"/>
  <c r="F13"/>
  <c r="D249" i="41"/>
  <c r="D485" i="38" s="1"/>
  <c r="C249" i="41"/>
  <c r="B485" i="38" s="1"/>
  <c r="D257" i="41"/>
  <c r="C257"/>
  <c r="C90"/>
  <c r="D90"/>
  <c r="G18" i="79"/>
  <c r="H18" s="1"/>
  <c r="G17"/>
  <c r="H17" s="1"/>
  <c r="G16"/>
  <c r="H16" s="1"/>
  <c r="H9" i="78"/>
  <c r="J9" s="1"/>
  <c r="R10"/>
  <c r="H10" s="1"/>
  <c r="J10" s="1"/>
  <c r="Q10"/>
  <c r="F10"/>
  <c r="F9"/>
  <c r="K10" l="1"/>
  <c r="K9"/>
  <c r="B20" i="76"/>
  <c r="B19"/>
  <c r="C26" i="79"/>
  <c r="G15"/>
  <c r="G23"/>
  <c r="G26" s="1"/>
  <c r="D10" i="41"/>
  <c r="E19" i="38" s="1"/>
  <c r="C7" i="41"/>
  <c r="C10" s="1"/>
  <c r="C19" i="38" s="1"/>
  <c r="D76" i="41"/>
  <c r="D191" i="38" s="1"/>
  <c r="C76" i="41"/>
  <c r="B191" i="38" s="1"/>
  <c r="C18" i="41"/>
  <c r="B32" i="38" s="1"/>
  <c r="D18" i="41"/>
  <c r="D32" i="38" s="1"/>
  <c r="D2" l="1"/>
  <c r="B2"/>
  <c r="A7" i="43"/>
  <c r="D214" i="41" l="1"/>
  <c r="E536" i="38" s="1"/>
  <c r="C214" i="41"/>
  <c r="C536" i="38" s="1"/>
  <c r="D497"/>
  <c r="B497"/>
  <c r="D231" i="41"/>
  <c r="D505" i="38" s="1"/>
  <c r="C231" i="41"/>
  <c r="B505" i="38" s="1"/>
  <c r="D181" i="41"/>
  <c r="D455" i="38" s="1"/>
  <c r="C181" i="41"/>
  <c r="B455" i="38" s="1"/>
  <c r="C170" i="41"/>
  <c r="D170"/>
  <c r="J7" i="71" l="1"/>
  <c r="J13" s="1"/>
  <c r="K13" s="1"/>
  <c r="M13" s="1"/>
  <c r="H7"/>
  <c r="E9" i="75"/>
  <c r="E11"/>
  <c r="E13"/>
  <c r="E15"/>
  <c r="E17"/>
  <c r="E19"/>
  <c r="E21"/>
  <c r="E23"/>
  <c r="E25"/>
  <c r="E27"/>
  <c r="E29"/>
  <c r="E31"/>
  <c r="E33"/>
  <c r="E35"/>
  <c r="E37"/>
  <c r="E39"/>
  <c r="E41"/>
  <c r="E43"/>
  <c r="E45"/>
  <c r="E47"/>
  <c r="E49"/>
  <c r="E51"/>
  <c r="E53"/>
  <c r="E55"/>
  <c r="E57"/>
  <c r="F57"/>
  <c r="F37"/>
  <c r="F35"/>
  <c r="F33"/>
  <c r="F31"/>
  <c r="F29"/>
  <c r="F27"/>
  <c r="F25"/>
  <c r="F23"/>
  <c r="F21"/>
  <c r="F19"/>
  <c r="F17"/>
  <c r="F15"/>
  <c r="F13"/>
  <c r="F11"/>
  <c r="F9"/>
  <c r="A3"/>
  <c r="B5" i="81"/>
  <c r="B3"/>
  <c r="G55"/>
  <c r="G66" s="1"/>
  <c r="G41"/>
  <c r="G51" s="1"/>
  <c r="F30"/>
  <c r="G28" s="1"/>
  <c r="G23"/>
  <c r="G11"/>
  <c r="G20" s="1"/>
  <c r="E11"/>
  <c r="E41"/>
  <c r="E51" s="1"/>
  <c r="D30"/>
  <c r="E28"/>
  <c r="E23"/>
  <c r="E20"/>
  <c r="G7" i="10"/>
  <c r="L42" i="78"/>
  <c r="K42"/>
  <c r="F87" i="37"/>
  <c r="E87"/>
  <c r="F74"/>
  <c r="E74"/>
  <c r="F66"/>
  <c r="E66"/>
  <c r="F53"/>
  <c r="E53"/>
  <c r="F47"/>
  <c r="E47"/>
  <c r="F32"/>
  <c r="E32"/>
  <c r="B59"/>
  <c r="B58"/>
  <c r="B57"/>
  <c r="B56"/>
  <c r="B55"/>
  <c r="B54"/>
  <c r="H11" i="71"/>
  <c r="H10"/>
  <c r="H12"/>
  <c r="F12"/>
  <c r="H13"/>
  <c r="H9"/>
  <c r="H8"/>
  <c r="F9"/>
  <c r="F7"/>
  <c r="F36" i="79"/>
  <c r="E36"/>
  <c r="D36"/>
  <c r="C36"/>
  <c r="F26"/>
  <c r="E26"/>
  <c r="D26"/>
  <c r="F20"/>
  <c r="E20"/>
  <c r="D20"/>
  <c r="C20"/>
  <c r="H7"/>
  <c r="C7"/>
  <c r="B6" i="76"/>
  <c r="E38" i="79" l="1"/>
  <c r="F38"/>
  <c r="D38"/>
  <c r="G33" i="81"/>
  <c r="G35" s="1"/>
  <c r="G37" s="1"/>
  <c r="E37" i="78"/>
  <c r="K7" i="71"/>
  <c r="M7" s="1"/>
  <c r="J8"/>
  <c r="K8" s="1"/>
  <c r="M8" s="1"/>
  <c r="J10"/>
  <c r="K10" s="1"/>
  <c r="M10" s="1"/>
  <c r="J12"/>
  <c r="K12" s="1"/>
  <c r="M12" s="1"/>
  <c r="J9"/>
  <c r="K9" s="1"/>
  <c r="M9" s="1"/>
  <c r="J11"/>
  <c r="K11" s="1"/>
  <c r="M11" s="1"/>
  <c r="G68" i="81"/>
  <c r="G71" s="1"/>
  <c r="E33"/>
  <c r="E35" s="1"/>
  <c r="E37" s="1"/>
  <c r="E55"/>
  <c r="E66" s="1"/>
  <c r="B25" i="59"/>
  <c r="B28"/>
  <c r="A38" i="42"/>
  <c r="D3" i="41"/>
  <c r="H37" i="1"/>
  <c r="H36"/>
  <c r="F37"/>
  <c r="F36"/>
  <c r="C65" i="41"/>
  <c r="D65"/>
  <c r="E145" i="38" s="1"/>
  <c r="G13" i="24" s="1"/>
  <c r="D52" i="41"/>
  <c r="E134" i="38" s="1"/>
  <c r="D137" i="41"/>
  <c r="D434" i="38" s="1"/>
  <c r="F12" i="33" s="1"/>
  <c r="C137" i="41"/>
  <c r="B434" i="38" s="1"/>
  <c r="E12" i="33" s="1"/>
  <c r="A1" i="41"/>
  <c r="D159" i="38"/>
  <c r="B159"/>
  <c r="F8" i="12"/>
  <c r="F7"/>
  <c r="D33" i="41"/>
  <c r="E132" i="38" s="1"/>
  <c r="F34" i="23" s="1"/>
  <c r="F35" s="1"/>
  <c r="C33" i="41"/>
  <c r="C132" i="38" s="1"/>
  <c r="E34" i="23" s="1"/>
  <c r="E35" s="1"/>
  <c r="D26" i="41"/>
  <c r="E114" i="38" s="1"/>
  <c r="F10" i="23" s="1"/>
  <c r="F11" s="1"/>
  <c r="C26" i="41"/>
  <c r="C114" i="38" s="1"/>
  <c r="E10" i="23" s="1"/>
  <c r="E11" s="1"/>
  <c r="B96" i="38"/>
  <c r="B95"/>
  <c r="E11" i="20" s="1"/>
  <c r="C91" i="38"/>
  <c r="C92"/>
  <c r="G36" i="79"/>
  <c r="H15"/>
  <c r="B33" i="76"/>
  <c r="B22"/>
  <c r="D420" i="38"/>
  <c r="B420"/>
  <c r="B21" i="76"/>
  <c r="D105" i="11"/>
  <c r="C105"/>
  <c r="E23" i="7"/>
  <c r="E24" s="1"/>
  <c r="E22"/>
  <c r="D23"/>
  <c r="D22"/>
  <c r="E18"/>
  <c r="E17"/>
  <c r="D18"/>
  <c r="D17"/>
  <c r="E13"/>
  <c r="E14" s="1"/>
  <c r="E12"/>
  <c r="D13"/>
  <c r="D12"/>
  <c r="E8"/>
  <c r="E7"/>
  <c r="D8"/>
  <c r="B603" i="38"/>
  <c r="D7" i="7" s="1"/>
  <c r="D239" i="41"/>
  <c r="C239"/>
  <c r="D205"/>
  <c r="H36" i="35" s="1"/>
  <c r="C205" i="41"/>
  <c r="G36" i="35" s="1"/>
  <c r="D454" i="38"/>
  <c r="G15" i="34" s="1"/>
  <c r="B454" i="38"/>
  <c r="F15" i="34" s="1"/>
  <c r="D124" i="41"/>
  <c r="D325" i="38" s="1"/>
  <c r="G60" i="29" s="1"/>
  <c r="C124" i="41"/>
  <c r="B325" i="38" s="1"/>
  <c r="F60" i="29" s="1"/>
  <c r="C116" i="41"/>
  <c r="B319" i="38" s="1"/>
  <c r="F53" i="29" s="1"/>
  <c r="D116" i="41"/>
  <c r="D319" i="38" s="1"/>
  <c r="G53" i="29" s="1"/>
  <c r="D105" i="41"/>
  <c r="D289" i="38" s="1"/>
  <c r="G18" i="29" s="1"/>
  <c r="D97" i="41"/>
  <c r="D285" i="38" s="1"/>
  <c r="G14" i="29" s="1"/>
  <c r="C97" i="41"/>
  <c r="B285" i="38" s="1"/>
  <c r="F14" i="29" s="1"/>
  <c r="C105" i="41"/>
  <c r="B289" i="38" s="1"/>
  <c r="F18" i="29" s="1"/>
  <c r="Q23" i="78"/>
  <c r="L37"/>
  <c r="I37"/>
  <c r="G37"/>
  <c r="D37"/>
  <c r="C37"/>
  <c r="Q33"/>
  <c r="Q31"/>
  <c r="Q27"/>
  <c r="Q26"/>
  <c r="Q19"/>
  <c r="M17"/>
  <c r="M14"/>
  <c r="M13"/>
  <c r="A1"/>
  <c r="C9" i="38"/>
  <c r="F6" i="16" s="1"/>
  <c r="G6"/>
  <c r="B6" i="15"/>
  <c r="G6"/>
  <c r="F6"/>
  <c r="C69" i="39"/>
  <c r="C72" s="1"/>
  <c r="G10" i="15" s="1"/>
  <c r="B69" i="39"/>
  <c r="B72" s="1"/>
  <c r="C50" i="67"/>
  <c r="B26"/>
  <c r="B25"/>
  <c r="C211" i="66"/>
  <c r="B56" i="67" s="1"/>
  <c r="C210" i="66"/>
  <c r="B55" i="67" s="1"/>
  <c r="B208" i="66"/>
  <c r="C56" i="67" s="1"/>
  <c r="B207" i="66"/>
  <c r="C55" i="67" s="1"/>
  <c r="B206" i="66"/>
  <c r="C54" i="67" s="1"/>
  <c r="B203" i="66"/>
  <c r="C51" i="67" s="1"/>
  <c r="B201" i="66"/>
  <c r="C49" i="67" s="1"/>
  <c r="D18" i="66"/>
  <c r="C17" i="67" s="1"/>
  <c r="D16" i="66"/>
  <c r="C15" i="67" s="1"/>
  <c r="D14" i="66"/>
  <c r="C13" i="67" s="1"/>
  <c r="D12" i="66"/>
  <c r="C11" i="67" s="1"/>
  <c r="D11" i="66"/>
  <c r="C9" i="67" s="1"/>
  <c r="D10" i="66"/>
  <c r="C8" i="67" s="1"/>
  <c r="D9" i="66"/>
  <c r="C7" i="67" s="1"/>
  <c r="D7" i="66"/>
  <c r="C5" i="67" s="1"/>
  <c r="A32" i="43"/>
  <c r="A34"/>
  <c r="A35"/>
  <c r="A45" i="42"/>
  <c r="A36" i="43" s="1"/>
  <c r="D17" i="4"/>
  <c r="C17"/>
  <c r="D16"/>
  <c r="C16"/>
  <c r="D15"/>
  <c r="C15"/>
  <c r="D14"/>
  <c r="C14"/>
  <c r="D13"/>
  <c r="C13"/>
  <c r="D12"/>
  <c r="C12"/>
  <c r="D11"/>
  <c r="C11"/>
  <c r="D10"/>
  <c r="C10"/>
  <c r="D9"/>
  <c r="D43" i="67" s="1"/>
  <c r="C9" i="4"/>
  <c r="C43" i="67" s="1"/>
  <c r="D8" i="4"/>
  <c r="C8"/>
  <c r="D7"/>
  <c r="D41" i="67" s="1"/>
  <c r="C7" i="4"/>
  <c r="C41" i="67" s="1"/>
  <c r="D6" i="4"/>
  <c r="D19" s="1"/>
  <c r="H13" i="2" s="1"/>
  <c r="C6" i="4"/>
  <c r="E19" i="8"/>
  <c r="D19"/>
  <c r="E18"/>
  <c r="D18"/>
  <c r="E17"/>
  <c r="D17"/>
  <c r="E16"/>
  <c r="D16"/>
  <c r="E15"/>
  <c r="D15"/>
  <c r="E14"/>
  <c r="D14"/>
  <c r="E13"/>
  <c r="D13"/>
  <c r="E12"/>
  <c r="D12"/>
  <c r="E11"/>
  <c r="D11"/>
  <c r="E10"/>
  <c r="D10"/>
  <c r="E9"/>
  <c r="D9"/>
  <c r="C87" i="11"/>
  <c r="D87"/>
  <c r="D119"/>
  <c r="C119"/>
  <c r="D118"/>
  <c r="C118"/>
  <c r="D117"/>
  <c r="C117"/>
  <c r="D116"/>
  <c r="C116"/>
  <c r="D115"/>
  <c r="C115"/>
  <c r="D114"/>
  <c r="C114"/>
  <c r="D113"/>
  <c r="C113"/>
  <c r="D112"/>
  <c r="C112"/>
  <c r="D111"/>
  <c r="C111"/>
  <c r="D110"/>
  <c r="C110"/>
  <c r="D109"/>
  <c r="C109"/>
  <c r="D108"/>
  <c r="C108"/>
  <c r="D107"/>
  <c r="C107"/>
  <c r="D106"/>
  <c r="C106"/>
  <c r="D104"/>
  <c r="C104"/>
  <c r="D103"/>
  <c r="C103"/>
  <c r="D102"/>
  <c r="C102"/>
  <c r="D101"/>
  <c r="C101"/>
  <c r="D100"/>
  <c r="C100"/>
  <c r="D99"/>
  <c r="C99"/>
  <c r="D98"/>
  <c r="C98"/>
  <c r="D97"/>
  <c r="C97"/>
  <c r="D96"/>
  <c r="C96"/>
  <c r="D95"/>
  <c r="C95"/>
  <c r="D94"/>
  <c r="C94"/>
  <c r="D93"/>
  <c r="C93"/>
  <c r="D92"/>
  <c r="C92"/>
  <c r="D91"/>
  <c r="C91"/>
  <c r="D90"/>
  <c r="C90"/>
  <c r="D89"/>
  <c r="C89"/>
  <c r="D88"/>
  <c r="C88"/>
  <c r="D86"/>
  <c r="C86"/>
  <c r="D85"/>
  <c r="C85"/>
  <c r="D84"/>
  <c r="C84"/>
  <c r="D78"/>
  <c r="C78"/>
  <c r="D77"/>
  <c r="C77"/>
  <c r="D76"/>
  <c r="C76"/>
  <c r="D74"/>
  <c r="C74"/>
  <c r="D73"/>
  <c r="C73"/>
  <c r="D72"/>
  <c r="C72"/>
  <c r="D71"/>
  <c r="C71"/>
  <c r="D70"/>
  <c r="C70"/>
  <c r="D68"/>
  <c r="C68"/>
  <c r="D67"/>
  <c r="C67"/>
  <c r="D66"/>
  <c r="C66"/>
  <c r="D65"/>
  <c r="C65"/>
  <c r="D64"/>
  <c r="C64"/>
  <c r="D63"/>
  <c r="C63"/>
  <c r="D62"/>
  <c r="C62"/>
  <c r="D61"/>
  <c r="C61"/>
  <c r="D60"/>
  <c r="C60"/>
  <c r="D59"/>
  <c r="C59"/>
  <c r="D58"/>
  <c r="C58"/>
  <c r="D57"/>
  <c r="C57"/>
  <c r="D56"/>
  <c r="C56"/>
  <c r="D55"/>
  <c r="C55"/>
  <c r="D54"/>
  <c r="C54"/>
  <c r="D53"/>
  <c r="C53"/>
  <c r="D52"/>
  <c r="C52"/>
  <c r="D51"/>
  <c r="C51"/>
  <c r="D49"/>
  <c r="C49"/>
  <c r="D48"/>
  <c r="C48"/>
  <c r="D47"/>
  <c r="C47"/>
  <c r="D46"/>
  <c r="C46"/>
  <c r="D45"/>
  <c r="C45"/>
  <c r="D44"/>
  <c r="C44"/>
  <c r="D43"/>
  <c r="C43"/>
  <c r="D42"/>
  <c r="C42"/>
  <c r="D37"/>
  <c r="D42" i="67" s="1"/>
  <c r="C37" i="11"/>
  <c r="C42" i="67" s="1"/>
  <c r="D36" i="11"/>
  <c r="C36"/>
  <c r="D35"/>
  <c r="C35"/>
  <c r="C38" s="1"/>
  <c r="D31"/>
  <c r="F59" i="37" s="1"/>
  <c r="C31" i="11"/>
  <c r="E59" i="37" s="1"/>
  <c r="D30" i="11"/>
  <c r="F58" i="37" s="1"/>
  <c r="C30" i="11"/>
  <c r="E58" i="37" s="1"/>
  <c r="D29" i="11"/>
  <c r="F57" i="37" s="1"/>
  <c r="C29" i="11"/>
  <c r="E57" i="37" s="1"/>
  <c r="D28" i="11"/>
  <c r="F56" i="37" s="1"/>
  <c r="C28" i="11"/>
  <c r="E56" i="37" s="1"/>
  <c r="D27" i="11"/>
  <c r="F55" i="37" s="1"/>
  <c r="C27" i="11"/>
  <c r="E55" i="37" s="1"/>
  <c r="D26" i="11"/>
  <c r="F54" i="37" s="1"/>
  <c r="F62" s="1"/>
  <c r="C26" i="11"/>
  <c r="E54" i="37" s="1"/>
  <c r="E62" s="1"/>
  <c r="D22" i="11"/>
  <c r="D23" s="1"/>
  <c r="C22"/>
  <c r="C23" s="1"/>
  <c r="D17"/>
  <c r="C17"/>
  <c r="D16"/>
  <c r="C16"/>
  <c r="D15"/>
  <c r="C15"/>
  <c r="D14"/>
  <c r="C14"/>
  <c r="D13"/>
  <c r="C13"/>
  <c r="D12"/>
  <c r="C12"/>
  <c r="D11"/>
  <c r="C11"/>
  <c r="D10"/>
  <c r="C10"/>
  <c r="D8"/>
  <c r="C8"/>
  <c r="D32"/>
  <c r="C32"/>
  <c r="C28" i="76"/>
  <c r="C34"/>
  <c r="C42" s="1"/>
  <c r="B8"/>
  <c r="B7"/>
  <c r="B5"/>
  <c r="B4"/>
  <c r="B3"/>
  <c r="B2"/>
  <c r="B1"/>
  <c r="C43"/>
  <c r="B39"/>
  <c r="B66" i="1"/>
  <c r="D13" i="74"/>
  <c r="G13"/>
  <c r="K13"/>
  <c r="K14"/>
  <c r="F14" i="71"/>
  <c r="D60" i="66"/>
  <c r="D78"/>
  <c r="D108"/>
  <c r="D109" s="1"/>
  <c r="D110" s="1"/>
  <c r="D111" s="1"/>
  <c r="D112" s="1"/>
  <c r="D114"/>
  <c r="D115" s="1"/>
  <c r="D117" s="1"/>
  <c r="D118" s="1"/>
  <c r="D153"/>
  <c r="D155"/>
  <c r="D159"/>
  <c r="D161"/>
  <c r="B59" i="2"/>
  <c r="B87" i="81" s="1"/>
  <c r="B56" i="2"/>
  <c r="B84" i="81" s="1"/>
  <c r="B55" i="2"/>
  <c r="F57"/>
  <c r="D85" i="81" s="1"/>
  <c r="H68" i="1"/>
  <c r="H65" i="2" s="1"/>
  <c r="H67" i="1"/>
  <c r="H64" i="2" s="1"/>
  <c r="F68" i="1"/>
  <c r="F65" i="2" s="1"/>
  <c r="E93" i="81" s="1"/>
  <c r="F67" i="1"/>
  <c r="F64" i="2" s="1"/>
  <c r="E92" i="81" s="1"/>
  <c r="H64" i="1"/>
  <c r="H61" i="2" s="1"/>
  <c r="F89" i="81" s="1"/>
  <c r="F64" i="1"/>
  <c r="F61" i="2" s="1"/>
  <c r="D89" i="81" s="1"/>
  <c r="H63" i="1"/>
  <c r="H60" i="2" s="1"/>
  <c r="F88" i="81" s="1"/>
  <c r="F63" i="1"/>
  <c r="F60" i="2" s="1"/>
  <c r="D88" i="81" s="1"/>
  <c r="B61" i="1"/>
  <c r="B58" i="2" s="1"/>
  <c r="B86" i="81" s="1"/>
  <c r="B70" i="1"/>
  <c r="B67" i="2" s="1"/>
  <c r="B95" i="81" s="1"/>
  <c r="B69" i="1"/>
  <c r="B66" i="2" s="1"/>
  <c r="B94" i="81" s="1"/>
  <c r="B67" i="1"/>
  <c r="B64" i="2" s="1"/>
  <c r="B92" i="81" s="1"/>
  <c r="B63" i="2"/>
  <c r="B91" i="81" s="1"/>
  <c r="B65" i="1"/>
  <c r="B62" i="2" s="1"/>
  <c r="B90" i="81" s="1"/>
  <c r="B60" i="1"/>
  <c r="B57" i="2" s="1"/>
  <c r="B85" i="81" s="1"/>
  <c r="H5" i="1"/>
  <c r="H4" i="2" s="1"/>
  <c r="G4" i="15" s="1"/>
  <c r="F5" i="1"/>
  <c r="B2" s="1"/>
  <c r="B1" i="2"/>
  <c r="B2" i="81" s="1"/>
  <c r="B1" i="1"/>
  <c r="A1" i="61"/>
  <c r="A1" i="59"/>
  <c r="A3"/>
  <c r="A4"/>
  <c r="A5"/>
  <c r="A6"/>
  <c r="B14"/>
  <c r="B16"/>
  <c r="B17"/>
  <c r="B23"/>
  <c r="B26"/>
  <c r="B27"/>
  <c r="B29"/>
  <c r="A1" i="58"/>
  <c r="A1" i="57"/>
  <c r="F11"/>
  <c r="I11"/>
  <c r="F15"/>
  <c r="I19"/>
  <c r="F22"/>
  <c r="A1" i="56"/>
  <c r="G10" i="55"/>
  <c r="U10"/>
  <c r="F12"/>
  <c r="AE12"/>
  <c r="P15"/>
  <c r="W15"/>
  <c r="F18"/>
  <c r="S18"/>
  <c r="H23"/>
  <c r="H25"/>
  <c r="H27"/>
  <c r="H29"/>
  <c r="H31"/>
  <c r="T31"/>
  <c r="H33"/>
  <c r="N33"/>
  <c r="H38"/>
  <c r="M46"/>
  <c r="M48"/>
  <c r="W48"/>
  <c r="M56"/>
  <c r="M58"/>
  <c r="W58"/>
  <c r="M68"/>
  <c r="M70"/>
  <c r="W70"/>
  <c r="M82"/>
  <c r="W82"/>
  <c r="M92"/>
  <c r="W92"/>
  <c r="M94"/>
  <c r="W94"/>
  <c r="M96"/>
  <c r="W96"/>
  <c r="J114"/>
  <c r="A117"/>
  <c r="F132"/>
  <c r="V132"/>
  <c r="F138"/>
  <c r="V138"/>
  <c r="F143"/>
  <c r="V143"/>
  <c r="F148"/>
  <c r="V148"/>
  <c r="V153"/>
  <c r="V179"/>
  <c r="V181"/>
  <c r="V183"/>
  <c r="V185"/>
  <c r="C7" i="52"/>
  <c r="D7"/>
  <c r="D8"/>
  <c r="D16"/>
  <c r="A1"/>
  <c r="A2"/>
  <c r="C4"/>
  <c r="D4"/>
  <c r="C14"/>
  <c r="B14" s="1"/>
  <c r="C16"/>
  <c r="D18"/>
  <c r="D24"/>
  <c r="D25"/>
  <c r="D26"/>
  <c r="D28"/>
  <c r="A34"/>
  <c r="C36"/>
  <c r="A40"/>
  <c r="C41"/>
  <c r="A43"/>
  <c r="A44"/>
  <c r="A1" i="51"/>
  <c r="D5"/>
  <c r="D6"/>
  <c r="D7"/>
  <c r="D31"/>
  <c r="A51"/>
  <c r="C51"/>
  <c r="A55"/>
  <c r="C55"/>
  <c r="A58"/>
  <c r="A59"/>
  <c r="A1" i="50"/>
  <c r="A3"/>
  <c r="A31"/>
  <c r="A47"/>
  <c r="A49"/>
  <c r="A52"/>
  <c r="A53"/>
  <c r="A54"/>
  <c r="A55"/>
  <c r="A1" i="47"/>
  <c r="A2"/>
  <c r="A8"/>
  <c r="C8"/>
  <c r="D8"/>
  <c r="C12"/>
  <c r="D12"/>
  <c r="C14"/>
  <c r="C8" i="46" s="1"/>
  <c r="D14" i="47"/>
  <c r="C17"/>
  <c r="D17"/>
  <c r="C19"/>
  <c r="C9" i="46" s="1"/>
  <c r="D19" i="47"/>
  <c r="C25"/>
  <c r="D25"/>
  <c r="C26"/>
  <c r="D26"/>
  <c r="C27"/>
  <c r="D27"/>
  <c r="C28"/>
  <c r="D28"/>
  <c r="C29"/>
  <c r="D29"/>
  <c r="C30"/>
  <c r="D30"/>
  <c r="C31"/>
  <c r="D31"/>
  <c r="D32"/>
  <c r="C38"/>
  <c r="D38"/>
  <c r="C39"/>
  <c r="D39"/>
  <c r="D41"/>
  <c r="D45" s="1"/>
  <c r="D13" i="46" s="1"/>
  <c r="C43" i="47"/>
  <c r="D43"/>
  <c r="D50"/>
  <c r="C51"/>
  <c r="D51"/>
  <c r="C53"/>
  <c r="D53"/>
  <c r="D54"/>
  <c r="D56"/>
  <c r="D14" i="46" s="1"/>
  <c r="D60" i="47"/>
  <c r="D61"/>
  <c r="D63"/>
  <c r="D69"/>
  <c r="D71" s="1"/>
  <c r="D23" i="46" s="1"/>
  <c r="C78" i="47"/>
  <c r="D78"/>
  <c r="C79"/>
  <c r="D79"/>
  <c r="C81"/>
  <c r="D81"/>
  <c r="C82"/>
  <c r="D82"/>
  <c r="C83"/>
  <c r="D83"/>
  <c r="C85"/>
  <c r="C24" i="46" s="1"/>
  <c r="D85" i="47"/>
  <c r="C91"/>
  <c r="C96" s="1"/>
  <c r="C26" i="46" s="1"/>
  <c r="D91" i="47"/>
  <c r="C92"/>
  <c r="D92"/>
  <c r="C93"/>
  <c r="D93"/>
  <c r="D101"/>
  <c r="D104" s="1"/>
  <c r="D27" i="46" s="1"/>
  <c r="D102" i="47"/>
  <c r="D110"/>
  <c r="D114" s="1"/>
  <c r="D28" i="46" s="1"/>
  <c r="C111" i="47"/>
  <c r="D111"/>
  <c r="C112"/>
  <c r="D112"/>
  <c r="C119"/>
  <c r="D119"/>
  <c r="C121"/>
  <c r="C29" i="46" s="1"/>
  <c r="D121" i="47"/>
  <c r="D129"/>
  <c r="D131"/>
  <c r="D134"/>
  <c r="D30" i="46" s="1"/>
  <c r="D139" i="47"/>
  <c r="D140"/>
  <c r="D141"/>
  <c r="C142"/>
  <c r="D142"/>
  <c r="C143"/>
  <c r="D143"/>
  <c r="C144"/>
  <c r="D144"/>
  <c r="C145"/>
  <c r="D145"/>
  <c r="C146"/>
  <c r="D146"/>
  <c r="C147"/>
  <c r="D147"/>
  <c r="C148"/>
  <c r="D148"/>
  <c r="C149"/>
  <c r="D149"/>
  <c r="D156"/>
  <c r="D157"/>
  <c r="C158"/>
  <c r="D158"/>
  <c r="C159"/>
  <c r="D159"/>
  <c r="C160"/>
  <c r="D160"/>
  <c r="C161"/>
  <c r="D161"/>
  <c r="C162"/>
  <c r="D162"/>
  <c r="C170"/>
  <c r="D170"/>
  <c r="C173"/>
  <c r="C39" i="46" s="1"/>
  <c r="D30" i="51" s="1"/>
  <c r="D173" i="47"/>
  <c r="D39" i="46" s="1"/>
  <c r="A1"/>
  <c r="A2"/>
  <c r="C5"/>
  <c r="D5"/>
  <c r="D8"/>
  <c r="D9"/>
  <c r="D20"/>
  <c r="D21"/>
  <c r="D24"/>
  <c r="D29"/>
  <c r="A49"/>
  <c r="C49"/>
  <c r="A53"/>
  <c r="C53"/>
  <c r="A55"/>
  <c r="A56"/>
  <c r="A1" i="45"/>
  <c r="A2"/>
  <c r="A3"/>
  <c r="A8"/>
  <c r="A10"/>
  <c r="D14"/>
  <c r="E14"/>
  <c r="A43"/>
  <c r="A69"/>
  <c r="A70"/>
  <c r="B71"/>
  <c r="A1" i="44"/>
  <c r="A2"/>
  <c r="A3"/>
  <c r="A7"/>
  <c r="A11"/>
  <c r="A17"/>
  <c r="A19"/>
  <c r="A20"/>
  <c r="A21"/>
  <c r="A1" i="43"/>
  <c r="A10"/>
  <c r="A11"/>
  <c r="A1" i="42"/>
  <c r="A3"/>
  <c r="A4"/>
  <c r="A5"/>
  <c r="A6"/>
  <c r="A11"/>
  <c r="A13"/>
  <c r="A17"/>
  <c r="A30"/>
  <c r="A34"/>
  <c r="A40"/>
  <c r="A31" i="43" s="1"/>
  <c r="A43" i="42"/>
  <c r="A44"/>
  <c r="A46"/>
  <c r="A37" i="43" s="1"/>
  <c r="C3" i="41"/>
  <c r="F8" i="29"/>
  <c r="G8"/>
  <c r="C153" i="41"/>
  <c r="B435" i="38" s="1"/>
  <c r="E13" i="33" s="1"/>
  <c r="D153" i="41"/>
  <c r="D435" i="38" s="1"/>
  <c r="F13" i="33" s="1"/>
  <c r="C101" i="47"/>
  <c r="C52" i="41"/>
  <c r="C139" i="47" s="1"/>
  <c r="C41"/>
  <c r="C50"/>
  <c r="C56" s="1"/>
  <c r="C14" i="46" s="1"/>
  <c r="C54" i="47"/>
  <c r="C60"/>
  <c r="C69"/>
  <c r="C71" s="1"/>
  <c r="C23" i="46" s="1"/>
  <c r="C94" i="47"/>
  <c r="D94"/>
  <c r="D96"/>
  <c r="D26" i="46" s="1"/>
  <c r="C110" i="47"/>
  <c r="C114" s="1"/>
  <c r="C28" i="46" s="1"/>
  <c r="C141" i="47"/>
  <c r="C157"/>
  <c r="C8" i="52"/>
  <c r="E63" i="39"/>
  <c r="W46" i="55" s="1"/>
  <c r="E64" i="39"/>
  <c r="E66"/>
  <c r="W56" i="55" s="1"/>
  <c r="R60" s="1"/>
  <c r="E67" i="39"/>
  <c r="E69"/>
  <c r="W68" i="55" s="1"/>
  <c r="E70" i="39"/>
  <c r="E73"/>
  <c r="E75"/>
  <c r="E76"/>
  <c r="A136"/>
  <c r="A16" i="43" s="1"/>
  <c r="G7" i="6"/>
  <c r="F7"/>
  <c r="G6"/>
  <c r="G9" s="1"/>
  <c r="H18" i="2" s="1"/>
  <c r="F6" i="6"/>
  <c r="G69" i="29"/>
  <c r="F69"/>
  <c r="F62"/>
  <c r="G62"/>
  <c r="G55"/>
  <c r="F55"/>
  <c r="F48"/>
  <c r="G48"/>
  <c r="G41"/>
  <c r="F41"/>
  <c r="F34"/>
  <c r="G34"/>
  <c r="G27"/>
  <c r="F27"/>
  <c r="F20"/>
  <c r="G20"/>
  <c r="G10"/>
  <c r="F10"/>
  <c r="G12" i="16"/>
  <c r="E25" i="45" s="1"/>
  <c r="H31" i="2"/>
  <c r="F31"/>
  <c r="H30"/>
  <c r="F30"/>
  <c r="H27"/>
  <c r="E20" i="45" s="1"/>
  <c r="F27" i="2"/>
  <c r="D20" i="45" s="1"/>
  <c r="H10" i="2"/>
  <c r="F10"/>
  <c r="F8" i="13"/>
  <c r="E8"/>
  <c r="F7"/>
  <c r="F9" s="1"/>
  <c r="H40" i="2" s="1"/>
  <c r="E7" i="13"/>
  <c r="E9" s="1"/>
  <c r="F40" i="2" s="1"/>
  <c r="F42" s="1"/>
  <c r="E22" i="45"/>
  <c r="E21"/>
  <c r="D38" i="11"/>
  <c r="F11" i="9"/>
  <c r="E11"/>
  <c r="F10"/>
  <c r="E10"/>
  <c r="F9"/>
  <c r="E9"/>
  <c r="F8"/>
  <c r="E8"/>
  <c r="F7"/>
  <c r="F13" s="1"/>
  <c r="H21" i="2" s="1"/>
  <c r="E7" i="9"/>
  <c r="E13" s="1"/>
  <c r="F21" i="2" s="1"/>
  <c r="E22" i="8"/>
  <c r="D22"/>
  <c r="E21"/>
  <c r="D21"/>
  <c r="E20"/>
  <c r="D20"/>
  <c r="E8"/>
  <c r="D8"/>
  <c r="E7"/>
  <c r="D7"/>
  <c r="E6"/>
  <c r="E23" s="1"/>
  <c r="H20" i="2" s="1"/>
  <c r="D6" i="8"/>
  <c r="G20" i="6"/>
  <c r="G22" s="1"/>
  <c r="F20"/>
  <c r="F22" s="1"/>
  <c r="G14"/>
  <c r="G16" s="1"/>
  <c r="F14"/>
  <c r="F16" s="1"/>
  <c r="F31" i="5"/>
  <c r="E31"/>
  <c r="F30"/>
  <c r="E30"/>
  <c r="F29"/>
  <c r="F32" s="1"/>
  <c r="E29"/>
  <c r="F25"/>
  <c r="E25"/>
  <c r="F24"/>
  <c r="E24"/>
  <c r="F23"/>
  <c r="F26" s="1"/>
  <c r="E23"/>
  <c r="E26" s="1"/>
  <c r="F19"/>
  <c r="E19"/>
  <c r="F18"/>
  <c r="E18"/>
  <c r="F17"/>
  <c r="F20" s="1"/>
  <c r="E17"/>
  <c r="E20" s="1"/>
  <c r="F13"/>
  <c r="E13"/>
  <c r="F12"/>
  <c r="E12"/>
  <c r="F11"/>
  <c r="E11"/>
  <c r="F10"/>
  <c r="E10"/>
  <c r="F9"/>
  <c r="E9"/>
  <c r="F8"/>
  <c r="E8"/>
  <c r="F7"/>
  <c r="F14" s="1"/>
  <c r="E7"/>
  <c r="F36" i="3"/>
  <c r="E36"/>
  <c r="F35"/>
  <c r="E35"/>
  <c r="F34"/>
  <c r="E34"/>
  <c r="F33"/>
  <c r="E33"/>
  <c r="F32"/>
  <c r="E32"/>
  <c r="F31"/>
  <c r="E31"/>
  <c r="F22"/>
  <c r="F24" s="1"/>
  <c r="E22"/>
  <c r="E24" s="1"/>
  <c r="F17"/>
  <c r="F19" s="1"/>
  <c r="E17"/>
  <c r="E19" s="1"/>
  <c r="F12"/>
  <c r="F14" s="1"/>
  <c r="E12"/>
  <c r="E14" s="1"/>
  <c r="F8"/>
  <c r="E8"/>
  <c r="F7"/>
  <c r="F9" s="1"/>
  <c r="E7"/>
  <c r="E9" s="1"/>
  <c r="F27"/>
  <c r="F29" s="1"/>
  <c r="F38" s="1"/>
  <c r="H9" i="2" s="1"/>
  <c r="E27" i="3"/>
  <c r="E29" s="1"/>
  <c r="E38" s="1"/>
  <c r="F9" i="2" s="1"/>
  <c r="E18" i="36"/>
  <c r="D18"/>
  <c r="E17"/>
  <c r="D17"/>
  <c r="E16"/>
  <c r="D16"/>
  <c r="E14"/>
  <c r="D14"/>
  <c r="E13"/>
  <c r="D13"/>
  <c r="E12"/>
  <c r="D12"/>
  <c r="E10"/>
  <c r="D10"/>
  <c r="E9"/>
  <c r="D9"/>
  <c r="E8"/>
  <c r="D8"/>
  <c r="E7"/>
  <c r="D7"/>
  <c r="E6"/>
  <c r="D6"/>
  <c r="H38" i="35"/>
  <c r="G38"/>
  <c r="H37"/>
  <c r="G37"/>
  <c r="H35"/>
  <c r="G35"/>
  <c r="H31"/>
  <c r="G31"/>
  <c r="H30"/>
  <c r="G30"/>
  <c r="H29"/>
  <c r="G29"/>
  <c r="H28"/>
  <c r="H32" s="1"/>
  <c r="G28"/>
  <c r="G32" s="1"/>
  <c r="H24"/>
  <c r="G24"/>
  <c r="H23"/>
  <c r="G23"/>
  <c r="H22"/>
  <c r="G22"/>
  <c r="H21"/>
  <c r="H25" s="1"/>
  <c r="G21"/>
  <c r="G25" s="1"/>
  <c r="H17"/>
  <c r="G17"/>
  <c r="H16"/>
  <c r="G16"/>
  <c r="H15"/>
  <c r="G15"/>
  <c r="H14"/>
  <c r="H18" s="1"/>
  <c r="G14"/>
  <c r="H10"/>
  <c r="G10"/>
  <c r="H9"/>
  <c r="G9"/>
  <c r="H8"/>
  <c r="G8"/>
  <c r="H7"/>
  <c r="G7"/>
  <c r="G30" i="34"/>
  <c r="F30"/>
  <c r="G29"/>
  <c r="F29"/>
  <c r="G26"/>
  <c r="F26"/>
  <c r="G25"/>
  <c r="F25"/>
  <c r="G24"/>
  <c r="F24"/>
  <c r="F23"/>
  <c r="G19"/>
  <c r="F19"/>
  <c r="G18"/>
  <c r="F18"/>
  <c r="F17"/>
  <c r="F16"/>
  <c r="G11"/>
  <c r="F11"/>
  <c r="G10"/>
  <c r="F10"/>
  <c r="G9"/>
  <c r="F9"/>
  <c r="G8"/>
  <c r="F8"/>
  <c r="G7"/>
  <c r="G12" s="1"/>
  <c r="F7"/>
  <c r="F12" s="1"/>
  <c r="G17"/>
  <c r="G16"/>
  <c r="F22" i="33"/>
  <c r="E22"/>
  <c r="F21"/>
  <c r="F23" s="1"/>
  <c r="E21"/>
  <c r="E23" s="1"/>
  <c r="F18"/>
  <c r="E18"/>
  <c r="F17"/>
  <c r="F19" s="1"/>
  <c r="E17"/>
  <c r="E19" s="1"/>
  <c r="F8"/>
  <c r="E8"/>
  <c r="F7"/>
  <c r="F9" s="1"/>
  <c r="E7"/>
  <c r="E9" s="1"/>
  <c r="E15" i="32"/>
  <c r="D15"/>
  <c r="E14"/>
  <c r="D14"/>
  <c r="E13"/>
  <c r="D13"/>
  <c r="E12"/>
  <c r="D12"/>
  <c r="E11"/>
  <c r="D11"/>
  <c r="E10"/>
  <c r="D10"/>
  <c r="E9"/>
  <c r="D9"/>
  <c r="E8"/>
  <c r="D8"/>
  <c r="E7"/>
  <c r="E17" s="1"/>
  <c r="H45" i="1" s="1"/>
  <c r="D7" i="32"/>
  <c r="D17" s="1"/>
  <c r="F45" i="1" s="1"/>
  <c r="F73" i="31"/>
  <c r="E73"/>
  <c r="F70"/>
  <c r="E70"/>
  <c r="F67"/>
  <c r="E67"/>
  <c r="F64"/>
  <c r="E64"/>
  <c r="F61"/>
  <c r="E61"/>
  <c r="F58"/>
  <c r="E58"/>
  <c r="F55"/>
  <c r="E55"/>
  <c r="F52"/>
  <c r="E52"/>
  <c r="F49"/>
  <c r="E49"/>
  <c r="F46"/>
  <c r="E46"/>
  <c r="F43"/>
  <c r="E43"/>
  <c r="F40"/>
  <c r="E40"/>
  <c r="F37"/>
  <c r="F71" s="1"/>
  <c r="E37"/>
  <c r="E71" s="1"/>
  <c r="F32"/>
  <c r="E32"/>
  <c r="F29"/>
  <c r="E29"/>
  <c r="F26"/>
  <c r="E26"/>
  <c r="F23"/>
  <c r="E23"/>
  <c r="F20"/>
  <c r="E20"/>
  <c r="F17"/>
  <c r="E17"/>
  <c r="F14"/>
  <c r="E14"/>
  <c r="F11"/>
  <c r="E11"/>
  <c r="F8"/>
  <c r="F33" s="1"/>
  <c r="E8"/>
  <c r="E33" s="1"/>
  <c r="H13" i="30"/>
  <c r="G13"/>
  <c r="H10"/>
  <c r="G10"/>
  <c r="H9"/>
  <c r="G9"/>
  <c r="H8"/>
  <c r="G8"/>
  <c r="H7"/>
  <c r="H11" s="1"/>
  <c r="H15" s="1"/>
  <c r="H41" i="1" s="1"/>
  <c r="G7" i="30"/>
  <c r="G11" s="1"/>
  <c r="G68" i="29"/>
  <c r="F68"/>
  <c r="G67"/>
  <c r="F67"/>
  <c r="G66"/>
  <c r="F66"/>
  <c r="F70" s="1"/>
  <c r="G61"/>
  <c r="F61"/>
  <c r="G59"/>
  <c r="F59"/>
  <c r="G54"/>
  <c r="F54"/>
  <c r="G52"/>
  <c r="F52"/>
  <c r="G47"/>
  <c r="F47"/>
  <c r="G46"/>
  <c r="F46"/>
  <c r="G45"/>
  <c r="F45"/>
  <c r="G40"/>
  <c r="F40"/>
  <c r="G39"/>
  <c r="F39"/>
  <c r="G38"/>
  <c r="F38"/>
  <c r="F42" s="1"/>
  <c r="G33"/>
  <c r="F33"/>
  <c r="G32"/>
  <c r="F32"/>
  <c r="G31"/>
  <c r="F31"/>
  <c r="G26"/>
  <c r="F26"/>
  <c r="G25"/>
  <c r="F25"/>
  <c r="G24"/>
  <c r="F24"/>
  <c r="F28" s="1"/>
  <c r="G19"/>
  <c r="F19"/>
  <c r="G17"/>
  <c r="F17"/>
  <c r="G13"/>
  <c r="F13"/>
  <c r="G9"/>
  <c r="F9"/>
  <c r="G7"/>
  <c r="F7"/>
  <c r="G120" i="28"/>
  <c r="F120"/>
  <c r="G116"/>
  <c r="F116"/>
  <c r="G113"/>
  <c r="F113"/>
  <c r="G110"/>
  <c r="F110"/>
  <c r="G107"/>
  <c r="F107"/>
  <c r="G104"/>
  <c r="G118" s="1"/>
  <c r="F104"/>
  <c r="F118" s="1"/>
  <c r="G99"/>
  <c r="F99"/>
  <c r="G96"/>
  <c r="F96"/>
  <c r="G93"/>
  <c r="F93"/>
  <c r="G90"/>
  <c r="F90"/>
  <c r="G87"/>
  <c r="F87"/>
  <c r="G84"/>
  <c r="F84"/>
  <c r="G81"/>
  <c r="G100" s="1"/>
  <c r="F81"/>
  <c r="F100" s="1"/>
  <c r="G76"/>
  <c r="F76"/>
  <c r="G73"/>
  <c r="F73"/>
  <c r="G70"/>
  <c r="F70"/>
  <c r="G67"/>
  <c r="F67"/>
  <c r="G64"/>
  <c r="F64"/>
  <c r="G61"/>
  <c r="F61"/>
  <c r="G58"/>
  <c r="G77" s="1"/>
  <c r="F58"/>
  <c r="G52"/>
  <c r="F52"/>
  <c r="G49"/>
  <c r="F49"/>
  <c r="G46"/>
  <c r="F46"/>
  <c r="G43"/>
  <c r="G53" s="1"/>
  <c r="F43"/>
  <c r="G38"/>
  <c r="F38"/>
  <c r="G35"/>
  <c r="F35"/>
  <c r="G32"/>
  <c r="F32"/>
  <c r="G29"/>
  <c r="F29"/>
  <c r="G26"/>
  <c r="G39" s="1"/>
  <c r="F26"/>
  <c r="F39" s="1"/>
  <c r="G21"/>
  <c r="F21"/>
  <c r="G18"/>
  <c r="F18"/>
  <c r="G15"/>
  <c r="F15"/>
  <c r="G12"/>
  <c r="F12"/>
  <c r="G9"/>
  <c r="G22" s="1"/>
  <c r="F9"/>
  <c r="F22" s="1"/>
  <c r="G23" i="25"/>
  <c r="G24" s="1"/>
  <c r="F23"/>
  <c r="F24" s="1"/>
  <c r="G19"/>
  <c r="G20" s="1"/>
  <c r="G15"/>
  <c r="G16" s="1"/>
  <c r="F15"/>
  <c r="F16" s="1"/>
  <c r="G11"/>
  <c r="G12" s="1"/>
  <c r="F11"/>
  <c r="F12" s="1"/>
  <c r="G7"/>
  <c r="G8" s="1"/>
  <c r="F7"/>
  <c r="F8" s="1"/>
  <c r="G12" i="24"/>
  <c r="F12"/>
  <c r="G11"/>
  <c r="F11"/>
  <c r="G10"/>
  <c r="F10"/>
  <c r="G9"/>
  <c r="F9"/>
  <c r="G8"/>
  <c r="F8"/>
  <c r="G7"/>
  <c r="F7"/>
  <c r="G6"/>
  <c r="F6"/>
  <c r="F30" i="23"/>
  <c r="F31" s="1"/>
  <c r="E30"/>
  <c r="E31" s="1"/>
  <c r="F26"/>
  <c r="F27" s="1"/>
  <c r="E26"/>
  <c r="F22"/>
  <c r="F23" s="1"/>
  <c r="E22"/>
  <c r="E23" s="1"/>
  <c r="F18"/>
  <c r="F19" s="1"/>
  <c r="E18"/>
  <c r="E19" s="1"/>
  <c r="F14"/>
  <c r="F15" s="1"/>
  <c r="E14"/>
  <c r="E15" s="1"/>
  <c r="F6"/>
  <c r="F7" s="1"/>
  <c r="E6"/>
  <c r="E7" s="1"/>
  <c r="F10" i="22"/>
  <c r="F11" s="1"/>
  <c r="E10"/>
  <c r="E11" s="1"/>
  <c r="F6"/>
  <c r="F7" s="1"/>
  <c r="E6"/>
  <c r="E7" s="1"/>
  <c r="F6" i="21"/>
  <c r="E6"/>
  <c r="F5"/>
  <c r="F8" s="1"/>
  <c r="H19" i="1" s="1"/>
  <c r="E5" i="21"/>
  <c r="E8" s="1"/>
  <c r="F19" i="1" s="1"/>
  <c r="F12" i="20"/>
  <c r="E12"/>
  <c r="F11"/>
  <c r="F13" s="1"/>
  <c r="F7"/>
  <c r="F6"/>
  <c r="E6"/>
  <c r="G61" i="19"/>
  <c r="G60"/>
  <c r="G59"/>
  <c r="G58"/>
  <c r="G57"/>
  <c r="G56"/>
  <c r="G55"/>
  <c r="G54"/>
  <c r="G53"/>
  <c r="G52"/>
  <c r="G51"/>
  <c r="F61"/>
  <c r="F60"/>
  <c r="F59"/>
  <c r="F58"/>
  <c r="F57"/>
  <c r="F56"/>
  <c r="F55"/>
  <c r="F54"/>
  <c r="F53"/>
  <c r="F52"/>
  <c r="F51"/>
  <c r="G47"/>
  <c r="G46"/>
  <c r="G45"/>
  <c r="G44"/>
  <c r="G43"/>
  <c r="G42"/>
  <c r="G41"/>
  <c r="G40"/>
  <c r="G39"/>
  <c r="G38"/>
  <c r="F47"/>
  <c r="F46"/>
  <c r="F45"/>
  <c r="F44"/>
  <c r="F43"/>
  <c r="F42"/>
  <c r="F41"/>
  <c r="F40"/>
  <c r="F39"/>
  <c r="F38"/>
  <c r="G34"/>
  <c r="G35" s="1"/>
  <c r="F34"/>
  <c r="F35" s="1"/>
  <c r="G30"/>
  <c r="G31" s="1"/>
  <c r="F30"/>
  <c r="F31" s="1"/>
  <c r="G26"/>
  <c r="G27" s="1"/>
  <c r="F26"/>
  <c r="F27" s="1"/>
  <c r="G22"/>
  <c r="G23" s="1"/>
  <c r="F22"/>
  <c r="F23" s="1"/>
  <c r="G18"/>
  <c r="G19" s="1"/>
  <c r="F18"/>
  <c r="F19" s="1"/>
  <c r="G14"/>
  <c r="G15" s="1"/>
  <c r="F14"/>
  <c r="F15" s="1"/>
  <c r="G10"/>
  <c r="G11" s="1"/>
  <c r="F10"/>
  <c r="F11" s="1"/>
  <c r="G6"/>
  <c r="G7" s="1"/>
  <c r="F6"/>
  <c r="F7" s="1"/>
  <c r="H11" i="1"/>
  <c r="F11"/>
  <c r="F7" i="17"/>
  <c r="F6"/>
  <c r="F5"/>
  <c r="E7"/>
  <c r="E6"/>
  <c r="E5"/>
  <c r="G30" i="16"/>
  <c r="G29"/>
  <c r="G28"/>
  <c r="G27"/>
  <c r="G26"/>
  <c r="G25"/>
  <c r="G24"/>
  <c r="G23"/>
  <c r="G22"/>
  <c r="G21"/>
  <c r="G20"/>
  <c r="G19"/>
  <c r="G18"/>
  <c r="G17"/>
  <c r="G16"/>
  <c r="G15"/>
  <c r="G14"/>
  <c r="G13"/>
  <c r="F30"/>
  <c r="F29"/>
  <c r="F28"/>
  <c r="F27"/>
  <c r="F26"/>
  <c r="F25"/>
  <c r="F24"/>
  <c r="F23"/>
  <c r="F22"/>
  <c r="F21"/>
  <c r="F20"/>
  <c r="F19"/>
  <c r="F18"/>
  <c r="F17"/>
  <c r="F16"/>
  <c r="F15"/>
  <c r="F14"/>
  <c r="F13"/>
  <c r="G8"/>
  <c r="G7"/>
  <c r="F8"/>
  <c r="F7"/>
  <c r="B1" i="37"/>
  <c r="A1" i="79" s="1"/>
  <c r="B1" i="14"/>
  <c r="B1" i="13"/>
  <c r="B1" i="12"/>
  <c r="B1" i="11"/>
  <c r="B1" i="10"/>
  <c r="B1" i="9"/>
  <c r="B1" i="8"/>
  <c r="B1" i="7"/>
  <c r="B1" i="6"/>
  <c r="B1" i="5"/>
  <c r="B1" i="4"/>
  <c r="B1" i="3"/>
  <c r="B1" i="36"/>
  <c r="B1" i="35"/>
  <c r="B1" i="34"/>
  <c r="B1" i="33"/>
  <c r="B1" i="32"/>
  <c r="B1" i="31"/>
  <c r="B1" i="30"/>
  <c r="B1" i="29"/>
  <c r="B1" i="28"/>
  <c r="B1" i="27"/>
  <c r="B1" i="25"/>
  <c r="B1" i="24"/>
  <c r="B1" i="23"/>
  <c r="B1" i="22"/>
  <c r="B1" i="21"/>
  <c r="B1" i="20"/>
  <c r="B1" i="19"/>
  <c r="B1" i="17"/>
  <c r="B1" i="16"/>
  <c r="B1" i="15"/>
  <c r="H27" i="14"/>
  <c r="G27"/>
  <c r="G18"/>
  <c r="G33" i="2"/>
  <c r="F78" i="37"/>
  <c r="E78"/>
  <c r="F70"/>
  <c r="E70"/>
  <c r="H18" i="14"/>
  <c r="G50" i="1"/>
  <c r="G42"/>
  <c r="G18" i="35"/>
  <c r="P8" i="27"/>
  <c r="F16"/>
  <c r="J15"/>
  <c r="F15"/>
  <c r="J14"/>
  <c r="F14"/>
  <c r="J13"/>
  <c r="F13"/>
  <c r="J12"/>
  <c r="O12"/>
  <c r="F12"/>
  <c r="J11"/>
  <c r="F11"/>
  <c r="J10"/>
  <c r="F10"/>
  <c r="J9"/>
  <c r="F9"/>
  <c r="J8"/>
  <c r="J17" s="1"/>
  <c r="F8"/>
  <c r="C17"/>
  <c r="D17"/>
  <c r="E17"/>
  <c r="G17"/>
  <c r="H17"/>
  <c r="I17"/>
  <c r="N17"/>
  <c r="M17"/>
  <c r="L17"/>
  <c r="K17"/>
  <c r="P13"/>
  <c r="P12"/>
  <c r="P11"/>
  <c r="P10"/>
  <c r="P9"/>
  <c r="E27" i="23"/>
  <c r="G52" i="1"/>
  <c r="G29"/>
  <c r="G7" i="15"/>
  <c r="F7"/>
  <c r="G10" i="10"/>
  <c r="D647" i="38" s="1"/>
  <c r="D23" i="8"/>
  <c r="F20" i="2" s="1"/>
  <c r="E49" i="7"/>
  <c r="D49"/>
  <c r="E44"/>
  <c r="D44"/>
  <c r="E40"/>
  <c r="D40"/>
  <c r="E36"/>
  <c r="D36"/>
  <c r="E19"/>
  <c r="E9"/>
  <c r="E32" i="5"/>
  <c r="O8" i="27"/>
  <c r="O10"/>
  <c r="P17"/>
  <c r="H35" i="1" s="1"/>
  <c r="O13" i="27"/>
  <c r="O11"/>
  <c r="O9"/>
  <c r="F17"/>
  <c r="G23" i="34"/>
  <c r="C19" i="4"/>
  <c r="F13" i="2" s="1"/>
  <c r="F9" i="6"/>
  <c r="F4" i="2"/>
  <c r="F4" i="15" s="1"/>
  <c r="B2" s="1"/>
  <c r="C17" i="52"/>
  <c r="C45" i="47"/>
  <c r="C13" i="46" s="1"/>
  <c r="A42" i="47"/>
  <c r="C15" i="52"/>
  <c r="C20" i="46"/>
  <c r="C18" i="52"/>
  <c r="C21" i="46"/>
  <c r="C22"/>
  <c r="D26" i="51" s="1"/>
  <c r="G11" i="35"/>
  <c r="D19" i="11"/>
  <c r="C19"/>
  <c r="A32" i="50"/>
  <c r="C19" i="52"/>
  <c r="D152" i="47"/>
  <c r="D34" i="46" s="1"/>
  <c r="D15"/>
  <c r="D40"/>
  <c r="D164" i="47"/>
  <c r="D35" i="46" s="1"/>
  <c r="D19" i="52"/>
  <c r="D15"/>
  <c r="C39" i="76"/>
  <c r="R98" i="55"/>
  <c r="D163" i="66"/>
  <c r="D169"/>
  <c r="D171"/>
  <c r="D173"/>
  <c r="D174"/>
  <c r="D176"/>
  <c r="F53" i="28" l="1"/>
  <c r="E23" i="45"/>
  <c r="H42" i="2"/>
  <c r="E68" i="81"/>
  <c r="E71" s="1"/>
  <c r="B508" i="38"/>
  <c r="D11" i="36" s="1"/>
  <c r="D508" i="38"/>
  <c r="E11" i="36" s="1"/>
  <c r="E13" i="20"/>
  <c r="D14" i="7"/>
  <c r="D19"/>
  <c r="E26"/>
  <c r="E29" s="1"/>
  <c r="H19" i="2" s="1"/>
  <c r="C120" i="11"/>
  <c r="C75" s="1"/>
  <c r="C79" s="1"/>
  <c r="C81" s="1"/>
  <c r="F23" i="2" s="1"/>
  <c r="D24" i="7"/>
  <c r="F18" i="2"/>
  <c r="D120" i="11"/>
  <c r="D75" s="1"/>
  <c r="D79" s="1"/>
  <c r="D81" s="1"/>
  <c r="H23" i="2" s="1"/>
  <c r="D9" i="7"/>
  <c r="H22" i="2"/>
  <c r="E19" i="45" s="1"/>
  <c r="D156" i="38"/>
  <c r="H34" i="1"/>
  <c r="B2" i="71"/>
  <c r="A1" i="75"/>
  <c r="B2" i="73"/>
  <c r="A1" i="74"/>
  <c r="R72" i="55"/>
  <c r="R50"/>
  <c r="G20" i="79"/>
  <c r="H23"/>
  <c r="H26" s="1"/>
  <c r="G38"/>
  <c r="D44" i="67"/>
  <c r="C44"/>
  <c r="E5" i="38"/>
  <c r="E776" s="1"/>
  <c r="G11" i="15"/>
  <c r="G29" s="1"/>
  <c r="H9" i="1" s="1"/>
  <c r="D32" i="67" s="1"/>
  <c r="B10" i="15"/>
  <c r="M80" i="55"/>
  <c r="A12" i="47"/>
  <c r="E72" i="39"/>
  <c r="W80" i="55" s="1"/>
  <c r="R84" s="1"/>
  <c r="F10" i="15"/>
  <c r="B29" i="46"/>
  <c r="A117" i="47" s="1"/>
  <c r="D34"/>
  <c r="B2" i="2"/>
  <c r="F35" i="29"/>
  <c r="F49"/>
  <c r="D22" i="46"/>
  <c r="B39"/>
  <c r="A167" i="47" s="1"/>
  <c r="E14" i="5"/>
  <c r="E34" s="1"/>
  <c r="F17" i="2" s="1"/>
  <c r="D22" i="51"/>
  <c r="D27"/>
  <c r="B24" i="46"/>
  <c r="A75" i="47" s="1"/>
  <c r="B9" i="46"/>
  <c r="D19" i="51"/>
  <c r="D18"/>
  <c r="C11" i="52"/>
  <c r="D17"/>
  <c r="D11"/>
  <c r="H24" i="1"/>
  <c r="C134" i="38"/>
  <c r="F24" i="1" s="1"/>
  <c r="G27" i="34"/>
  <c r="F9" i="17"/>
  <c r="H14" i="1" s="1"/>
  <c r="D33" i="67" s="1"/>
  <c r="F8" i="20"/>
  <c r="F15" s="1"/>
  <c r="H18" i="1" s="1"/>
  <c r="G28" i="29"/>
  <c r="G42"/>
  <c r="G70"/>
  <c r="F77" i="28"/>
  <c r="F122" s="1"/>
  <c r="F38" i="1" s="1"/>
  <c r="C145" i="38"/>
  <c r="F13" i="24" s="1"/>
  <c r="F15" s="1"/>
  <c r="F25" i="1" s="1"/>
  <c r="C140" i="47"/>
  <c r="C102"/>
  <c r="D512" i="38"/>
  <c r="E15" i="36" s="1"/>
  <c r="B512" i="38"/>
  <c r="D15" i="36" s="1"/>
  <c r="O17" i="27"/>
  <c r="F35" i="1" s="1"/>
  <c r="D35" s="1"/>
  <c r="H36" i="79"/>
  <c r="H20"/>
  <c r="G63" i="29"/>
  <c r="F63"/>
  <c r="F20" i="34"/>
  <c r="H39" i="35"/>
  <c r="G39"/>
  <c r="G41" s="1"/>
  <c r="F48" i="1" s="1"/>
  <c r="C129" i="47"/>
  <c r="G56" i="29"/>
  <c r="F14" i="33"/>
  <c r="F24" s="1"/>
  <c r="H46" i="1" s="1"/>
  <c r="F21" i="29"/>
  <c r="F56"/>
  <c r="E14" i="33"/>
  <c r="E24" s="1"/>
  <c r="F46" i="1" s="1"/>
  <c r="F11" i="29"/>
  <c r="G11"/>
  <c r="C104" i="47"/>
  <c r="C27" i="46" s="1"/>
  <c r="C152" i="47"/>
  <c r="C34" i="46" s="1"/>
  <c r="C131" i="47"/>
  <c r="C134" s="1"/>
  <c r="C30" i="46" s="1"/>
  <c r="E9" i="17"/>
  <c r="F14" i="1" s="1"/>
  <c r="F62" i="19"/>
  <c r="C36" i="67" s="1"/>
  <c r="G49" i="29"/>
  <c r="F9" i="16"/>
  <c r="F27" i="34"/>
  <c r="F37" i="78"/>
  <c r="G15" i="24"/>
  <c r="H25" i="1" s="1"/>
  <c r="F48" i="19"/>
  <c r="J124" i="55" s="1"/>
  <c r="G48" i="19"/>
  <c r="D35" i="67" s="1"/>
  <c r="G62" i="19"/>
  <c r="D36" i="67" s="1"/>
  <c r="G15" i="30"/>
  <c r="F41" i="1" s="1"/>
  <c r="G9" i="16"/>
  <c r="G21" i="29"/>
  <c r="G35"/>
  <c r="F75" i="31"/>
  <c r="H44" i="1" s="1"/>
  <c r="G20" i="34"/>
  <c r="H11" i="2"/>
  <c r="G26" i="25"/>
  <c r="H26" i="1" s="1"/>
  <c r="B2" i="8"/>
  <c r="B2" i="34"/>
  <c r="B2" i="17"/>
  <c r="B2" i="9"/>
  <c r="B2" i="35"/>
  <c r="B2" i="27"/>
  <c r="B2" i="19"/>
  <c r="B2" i="10"/>
  <c r="B2" i="36"/>
  <c r="B2" i="28"/>
  <c r="B2" i="20"/>
  <c r="B2" i="11"/>
  <c r="B2" i="3"/>
  <c r="B2" i="29"/>
  <c r="B2" i="21"/>
  <c r="B2" i="12"/>
  <c r="B2" i="22"/>
  <c r="B2" i="5"/>
  <c r="B2" i="23"/>
  <c r="B2" i="14"/>
  <c r="B2" i="32"/>
  <c r="B2" i="37"/>
  <c r="B2" i="33"/>
  <c r="B2" i="16"/>
  <c r="B2" i="4"/>
  <c r="B2" i="30"/>
  <c r="B2" i="13"/>
  <c r="B2" i="31"/>
  <c r="B2" i="6"/>
  <c r="B2" i="24"/>
  <c r="B2" i="7"/>
  <c r="B2" i="25"/>
  <c r="C22" i="52"/>
  <c r="D35" i="51" s="1"/>
  <c r="D21"/>
  <c r="D34"/>
  <c r="C23" i="52"/>
  <c r="D28" i="51"/>
  <c r="B23" i="46"/>
  <c r="A67" i="47" s="1"/>
  <c r="D10" i="46"/>
  <c r="D41"/>
  <c r="D32"/>
  <c r="D36" s="1"/>
  <c r="D44"/>
  <c r="G122" i="28"/>
  <c r="H38" i="1" s="1"/>
  <c r="F10" i="12"/>
  <c r="H34" i="2" s="1"/>
  <c r="D47" i="67" s="1"/>
  <c r="D22" i="52"/>
  <c r="D23" s="1"/>
  <c r="B19"/>
  <c r="E75" i="31"/>
  <c r="F44" i="1" s="1"/>
  <c r="H11" i="35"/>
  <c r="F34" i="5"/>
  <c r="H17" i="2" s="1"/>
  <c r="F13" i="22"/>
  <c r="H20" i="1" s="1"/>
  <c r="F37" i="23"/>
  <c r="H23" i="1" s="1"/>
  <c r="F11" i="2"/>
  <c r="D23" i="45"/>
  <c r="E13" i="22"/>
  <c r="F20" i="1" s="1"/>
  <c r="E37" i="23"/>
  <c r="F23" i="1" s="1"/>
  <c r="G31" i="16"/>
  <c r="E28" i="7" l="1"/>
  <c r="H12" i="2" s="1"/>
  <c r="D45" i="67"/>
  <c r="C30" i="76"/>
  <c r="C12" i="77" s="1"/>
  <c r="C16" s="1"/>
  <c r="H38" i="79"/>
  <c r="D20" i="36"/>
  <c r="F49" i="1" s="1"/>
  <c r="E20" i="36"/>
  <c r="H49" i="1" s="1"/>
  <c r="F32" i="34"/>
  <c r="F47" i="1" s="1"/>
  <c r="F50" s="1"/>
  <c r="D776" i="38"/>
  <c r="D778" s="1"/>
  <c r="D26" i="7"/>
  <c r="A5" i="43"/>
  <c r="A6"/>
  <c r="A9"/>
  <c r="A4"/>
  <c r="H41" i="35"/>
  <c r="H48" i="1" s="1"/>
  <c r="G32" i="34"/>
  <c r="H47" i="1" s="1"/>
  <c r="H24" i="2"/>
  <c r="E17" i="45" s="1"/>
  <c r="C35" i="67"/>
  <c r="H14" i="2"/>
  <c r="D39" i="67" s="1"/>
  <c r="D40"/>
  <c r="D14" i="1"/>
  <c r="B4" i="17" s="1"/>
  <c r="C33" i="67"/>
  <c r="D196" i="66"/>
  <c r="D37" i="67"/>
  <c r="C5" i="38"/>
  <c r="F11" i="15"/>
  <c r="F29" s="1"/>
  <c r="F9" i="1" s="1"/>
  <c r="C32" i="67" s="1"/>
  <c r="D29" i="7"/>
  <c r="F19" i="2" s="1"/>
  <c r="D28" i="7"/>
  <c r="F12" i="2" s="1"/>
  <c r="F14" s="1"/>
  <c r="H27" i="1"/>
  <c r="F64" i="19"/>
  <c r="F17" i="1" s="1"/>
  <c r="F72" i="29"/>
  <c r="F40" i="1" s="1"/>
  <c r="C32" i="46"/>
  <c r="D15" i="51" s="1"/>
  <c r="G64" i="19"/>
  <c r="H17" i="1" s="1"/>
  <c r="G72" i="29"/>
  <c r="H40" i="1" s="1"/>
  <c r="H42" s="1"/>
  <c r="D29" i="52"/>
  <c r="C28" s="1"/>
  <c r="D37" i="51"/>
  <c r="D38" s="1"/>
  <c r="C29" i="52"/>
  <c r="D36" i="51"/>
  <c r="D16" i="46"/>
  <c r="D45" s="1"/>
  <c r="E16" i="45" l="1"/>
  <c r="E18" s="1"/>
  <c r="E24" s="1"/>
  <c r="E26" s="1"/>
  <c r="H50" i="1"/>
  <c r="H52" s="1"/>
  <c r="H26" i="2"/>
  <c r="H29" s="1"/>
  <c r="H33" s="1"/>
  <c r="D46" i="67" s="1"/>
  <c r="D17" i="1"/>
  <c r="B4" i="19" s="1"/>
  <c r="D192" i="66"/>
  <c r="D16" i="45"/>
  <c r="C39" i="67"/>
  <c r="C40"/>
  <c r="C61" i="47"/>
  <c r="C63" s="1"/>
  <c r="H21" i="1"/>
  <c r="C26" i="52"/>
  <c r="C32" i="47"/>
  <c r="C34" s="1"/>
  <c r="D19" i="1"/>
  <c r="H36" i="2" l="1"/>
  <c r="C10" i="46"/>
  <c r="C41"/>
  <c r="B41" s="1"/>
  <c r="C15"/>
  <c r="C40"/>
  <c r="B40" s="1"/>
  <c r="C24" i="52"/>
  <c r="C16" i="46"/>
  <c r="B4" i="21"/>
  <c r="D20" i="1"/>
  <c r="H10" i="14" l="1"/>
  <c r="H14" s="1"/>
  <c r="H44" i="2"/>
  <c r="G32" i="16" s="1"/>
  <c r="G33" s="1"/>
  <c r="F12" s="1"/>
  <c r="D25" i="45" s="1"/>
  <c r="B10" i="46"/>
  <c r="B15" s="1"/>
  <c r="A58" i="47" s="1"/>
  <c r="D20" i="51"/>
  <c r="D24" s="1"/>
  <c r="D23"/>
  <c r="C156" i="47"/>
  <c r="C164" s="1"/>
  <c r="C35" i="46" s="1"/>
  <c r="D14" i="51" s="1"/>
  <c r="B4" i="22"/>
  <c r="B19" i="46"/>
  <c r="B45" s="1"/>
  <c r="B101" i="39" l="1"/>
  <c r="H21" i="14"/>
  <c r="H23" s="1"/>
  <c r="C14" i="38"/>
  <c r="G35" i="16"/>
  <c r="H10" i="1" s="1"/>
  <c r="D34" i="67" s="1"/>
  <c r="F31" i="16"/>
  <c r="H47" i="2"/>
  <c r="H48"/>
  <c r="A22" i="47"/>
  <c r="B14" i="46"/>
  <c r="B30" s="1"/>
  <c r="A124" i="47" s="1"/>
  <c r="B34" i="46"/>
  <c r="A136" i="47" s="1"/>
  <c r="B27" i="46"/>
  <c r="A98" i="47" s="1"/>
  <c r="B28" i="46"/>
  <c r="A107" i="47" s="1"/>
  <c r="B26" i="46"/>
  <c r="A89" i="47" s="1"/>
  <c r="B13" i="46"/>
  <c r="A36" i="47" s="1"/>
  <c r="B35" i="46"/>
  <c r="A154" i="47" s="1"/>
  <c r="C36" i="46"/>
  <c r="D29" i="51" s="1"/>
  <c r="D32" s="1"/>
  <c r="C44" i="46"/>
  <c r="C45" s="1"/>
  <c r="A2" i="50"/>
  <c r="B8" i="52"/>
  <c r="B7"/>
  <c r="H12" i="1" l="1"/>
  <c r="H29" s="1"/>
  <c r="D38" i="67" s="1"/>
  <c r="A47" i="47"/>
  <c r="B15" i="52"/>
  <c r="B16"/>
  <c r="B17"/>
  <c r="B18"/>
  <c r="H54" i="1" l="1"/>
  <c r="B5" i="27"/>
  <c r="D41" i="1" l="1"/>
  <c r="B5" i="30" l="1"/>
  <c r="D44" i="1"/>
  <c r="B5" i="31" l="1"/>
  <c r="D17" i="2" l="1"/>
  <c r="B5" i="5" l="1"/>
  <c r="D40" i="2" l="1"/>
  <c r="B5" i="13" l="1"/>
  <c r="G59" i="75" l="1"/>
  <c r="D38" i="1"/>
  <c r="B5" i="28" s="1"/>
  <c r="H37" i="78"/>
  <c r="F7" i="10" s="1"/>
  <c r="F10" s="1"/>
  <c r="J37" i="78" l="1"/>
  <c r="K37"/>
  <c r="F34" i="1" s="1"/>
  <c r="B647" i="38"/>
  <c r="F22" i="2"/>
  <c r="B156" i="38" l="1"/>
  <c r="D19" i="45"/>
  <c r="F24" i="2"/>
  <c r="C45" i="67"/>
  <c r="B17" i="76"/>
  <c r="F42" i="1"/>
  <c r="F52" s="1"/>
  <c r="C24" i="76" l="1"/>
  <c r="C5" i="77"/>
  <c r="C10" s="1"/>
  <c r="C17" s="1"/>
  <c r="C19" s="1"/>
  <c r="C21" s="1"/>
  <c r="C23" s="1"/>
  <c r="E8" i="12" s="1"/>
  <c r="D17" i="45"/>
  <c r="D18" s="1"/>
  <c r="F26" i="2"/>
  <c r="D194" i="66" l="1"/>
  <c r="F29" i="2"/>
  <c r="F33" s="1"/>
  <c r="B766" i="38"/>
  <c r="D22" i="45"/>
  <c r="E7" i="20"/>
  <c r="E8" s="1"/>
  <c r="E15" s="1"/>
  <c r="F18" i="1" s="1"/>
  <c r="C16" i="76" l="1"/>
  <c r="C25" s="1"/>
  <c r="C35" s="1"/>
  <c r="C40" s="1"/>
  <c r="C44" s="1"/>
  <c r="C47" s="1"/>
  <c r="B48" s="1"/>
  <c r="B49" s="1"/>
  <c r="C46" i="67"/>
  <c r="F21" i="1"/>
  <c r="D18"/>
  <c r="B4" i="20" l="1"/>
  <c r="D23" i="1"/>
  <c r="D39"/>
  <c r="B50" i="76"/>
  <c r="B51" s="1"/>
  <c r="B4" i="23" l="1"/>
  <c r="D25" i="1"/>
  <c r="B5" i="24" s="1"/>
  <c r="E7" i="12"/>
  <c r="C53" i="76"/>
  <c r="D55" l="1"/>
  <c r="E55" s="1"/>
  <c r="C55"/>
  <c r="D53"/>
  <c r="E53" s="1"/>
  <c r="D54"/>
  <c r="E54" s="1"/>
  <c r="B765" i="38"/>
  <c r="C153" s="1"/>
  <c r="E10" i="12"/>
  <c r="F34" i="2" s="1"/>
  <c r="D21" i="45"/>
  <c r="D24" s="1"/>
  <c r="D26" s="1"/>
  <c r="F19" i="25"/>
  <c r="F20" s="1"/>
  <c r="F26" s="1"/>
  <c r="F26" i="1" s="1"/>
  <c r="C37" i="67" l="1"/>
  <c r="F27" i="1"/>
  <c r="D26"/>
  <c r="C47" i="67"/>
  <c r="F36" i="2"/>
  <c r="F44" s="1"/>
  <c r="F32" i="16" s="1"/>
  <c r="B56" i="76"/>
  <c r="F53"/>
  <c r="B57" s="1"/>
  <c r="C776" i="38"/>
  <c r="B776"/>
  <c r="E57" i="76"/>
  <c r="B58" s="1"/>
  <c r="B5" i="25" l="1"/>
  <c r="D34" i="1"/>
  <c r="D40" s="1"/>
  <c r="D45" s="1"/>
  <c r="B5" i="32" s="1"/>
  <c r="B778" i="38"/>
  <c r="G10" i="14"/>
  <c r="G14" s="1"/>
  <c r="F33" i="16"/>
  <c r="F35" s="1"/>
  <c r="F10" i="1" s="1"/>
  <c r="C58" i="76"/>
  <c r="C59" s="1"/>
  <c r="C61" s="1"/>
  <c r="F12" i="1" l="1"/>
  <c r="F29" s="1"/>
  <c r="C34" i="67"/>
  <c r="B5" i="29"/>
  <c r="D46" i="1"/>
  <c r="F47" i="2"/>
  <c r="A101" i="39"/>
  <c r="G21" i="14"/>
  <c r="G23" s="1"/>
  <c r="F48" i="2"/>
  <c r="A29" i="45" l="1"/>
  <c r="A36" i="42"/>
  <c r="D47" i="1"/>
  <c r="B5" i="33"/>
  <c r="C38" i="67"/>
  <c r="F54" i="1"/>
  <c r="B5" i="34" l="1"/>
  <c r="D48" i="1"/>
  <c r="D49" s="1"/>
  <c r="B5" i="36" s="1"/>
  <c r="B5" i="35" l="1"/>
  <c r="D8" i="2"/>
  <c r="D9" s="1"/>
  <c r="D12" s="1"/>
  <c r="D19" s="1"/>
  <c r="B5" i="3" l="1"/>
  <c r="D13" i="2"/>
  <c r="B5" i="7"/>
  <c r="B5" i="4" l="1"/>
  <c r="D18" i="2"/>
  <c r="B5" i="6" l="1"/>
  <c r="D20" i="2"/>
  <c r="B5" i="8" l="1"/>
  <c r="D21" i="2"/>
  <c r="D22" l="1"/>
  <c r="B5" i="9"/>
  <c r="B5" i="10" l="1"/>
  <c r="D23" i="2"/>
  <c r="D34" l="1"/>
  <c r="B5" i="11"/>
  <c r="B5" i="12" l="1"/>
  <c r="D46" i="2"/>
  <c r="D54" i="1" l="1"/>
  <c r="B5" i="37" s="1"/>
  <c r="B5" i="14"/>
</calcChain>
</file>

<file path=xl/comments1.xml><?xml version="1.0" encoding="utf-8"?>
<comments xmlns="http://schemas.openxmlformats.org/spreadsheetml/2006/main">
  <authors>
    <author>Author</author>
  </authors>
  <commentList>
    <comment ref="A116" authorId="0">
      <text>
        <r>
          <rPr>
            <b/>
            <sz val="8"/>
            <color indexed="81"/>
            <rFont val="Tahoma"/>
            <family val="2"/>
          </rPr>
          <t xml:space="preserve">Author:
</t>
        </r>
      </text>
    </comment>
    <comment ref="A118" authorId="0">
      <text>
        <r>
          <rPr>
            <b/>
            <sz val="8"/>
            <color indexed="81"/>
            <rFont val="Tahoma"/>
            <family val="2"/>
          </rPr>
          <t>Author:</t>
        </r>
        <r>
          <rPr>
            <sz val="8"/>
            <color indexed="81"/>
            <rFont val="Tahoma"/>
            <family val="2"/>
          </rPr>
          <t xml:space="preserve">
Section 301 required all contracts or arrangment for the sale,purchase or supply of any goods, materials or services in which the directors are interested to entered into the register.
</t>
        </r>
      </text>
    </comment>
    <comment ref="A119" authorId="0">
      <text>
        <r>
          <rPr>
            <b/>
            <sz val="8"/>
            <color indexed="81"/>
            <rFont val="Tahoma"/>
            <family val="2"/>
          </rPr>
          <t>Author:</t>
        </r>
        <r>
          <rPr>
            <sz val="8"/>
            <color indexed="81"/>
            <rFont val="Tahoma"/>
            <family val="2"/>
          </rPr>
          <t xml:space="preserve">
Section 301 required all contracts or arrangment for the sale,purchase or supply of any goods, materials or services in which the directors are interested to entered into the register.
</t>
        </r>
      </text>
    </comment>
    <comment ref="A138" authorId="0">
      <text>
        <r>
          <rPr>
            <sz val="8"/>
            <color indexed="81"/>
            <rFont val="Tahoma"/>
            <family val="2"/>
          </rPr>
          <t xml:space="preserve">Whether in case of a co which has been registered for a period not less than five years, its accumulated losses at the end of the financial year are not less than fifty percent of its net worth and whether it has incurred cash losses in such financial year and in the financial year immediately preceding such financial year also
</t>
        </r>
      </text>
    </comment>
    <comment ref="A142" authorId="0">
      <text>
        <r>
          <rPr>
            <b/>
            <sz val="8"/>
            <color indexed="81"/>
            <rFont val="Tahoma"/>
            <family val="2"/>
          </rPr>
          <t>Author:</t>
        </r>
        <r>
          <rPr>
            <sz val="8"/>
            <color indexed="81"/>
            <rFont val="Tahoma"/>
            <family val="2"/>
          </rPr>
          <t xml:space="preserve">
According to the information and explanations given to us,the Company is not dealing or trading in shares, securities, debentures and other investments.
</t>
        </r>
      </text>
    </comment>
  </commentList>
</comments>
</file>

<file path=xl/comments2.xml><?xml version="1.0" encoding="utf-8"?>
<comments xmlns="http://schemas.openxmlformats.org/spreadsheetml/2006/main">
  <authors>
    <author>Author</author>
  </authors>
  <commentList>
    <comment ref="A7" authorId="0">
      <text>
        <r>
          <rPr>
            <b/>
            <sz val="8"/>
            <color indexed="81"/>
            <rFont val="Tahoma"/>
            <family val="2"/>
          </rPr>
          <t>Author:</t>
        </r>
        <r>
          <rPr>
            <sz val="8"/>
            <color indexed="81"/>
            <rFont val="Tahoma"/>
            <family val="2"/>
          </rPr>
          <t xml:space="preserve">
Section 301 required all contracts or arrangment for the sale,purchase or supply of any goods, materials or services in which the directors are interested to entered into the register.
</t>
        </r>
      </text>
    </comment>
    <comment ref="A17" authorId="0">
      <text>
        <r>
          <rPr>
            <sz val="8"/>
            <color indexed="81"/>
            <rFont val="Tahoma"/>
            <family val="2"/>
          </rPr>
          <t xml:space="preserve">Whether in case of a co which has been registered for a period not less than five years, its accumulated losses at the end of the financial year are not less than fifty percent of its net worth and whether it has incurred cash losses in such financial year and in the financial year immediately preceding such financial year also
</t>
        </r>
      </text>
    </comment>
  </commentList>
</comments>
</file>

<file path=xl/comments3.xml><?xml version="1.0" encoding="utf-8"?>
<comments xmlns="http://schemas.openxmlformats.org/spreadsheetml/2006/main">
  <authors>
    <author>Author</author>
  </authors>
  <commentList>
    <comment ref="D7" authorId="0">
      <text>
        <r>
          <rPr>
            <b/>
            <sz val="8"/>
            <color indexed="81"/>
            <rFont val="Tahoma"/>
            <family val="2"/>
          </rPr>
          <t xml:space="preserve">Author:
</t>
        </r>
      </text>
    </comment>
  </commentList>
</comments>
</file>

<file path=xl/comments4.xml><?xml version="1.0" encoding="utf-8"?>
<comments xmlns="http://schemas.openxmlformats.org/spreadsheetml/2006/main">
  <authors>
    <author>Author</author>
  </authors>
  <commentList>
    <comment ref="B25" authorId="0">
      <text>
        <r>
          <rPr>
            <b/>
            <sz val="8"/>
            <color indexed="81"/>
            <rFont val="Tahoma"/>
            <family val="2"/>
          </rPr>
          <t>Author:</t>
        </r>
        <r>
          <rPr>
            <sz val="8"/>
            <color indexed="81"/>
            <rFont val="Tahoma"/>
            <family val="2"/>
          </rPr>
          <t xml:space="preserve">
Change as per nature of your business</t>
        </r>
      </text>
    </comment>
  </commentList>
</comments>
</file>

<file path=xl/sharedStrings.xml><?xml version="1.0" encoding="utf-8"?>
<sst xmlns="http://schemas.openxmlformats.org/spreadsheetml/2006/main" count="3280" uniqueCount="1873">
  <si>
    <t>Notes</t>
  </si>
  <si>
    <t>(in Rs.)</t>
  </si>
  <si>
    <t>EQUITY AND LIABILITIES</t>
  </si>
  <si>
    <t>Shareholders Fund</t>
  </si>
  <si>
    <t>Share Capital</t>
  </si>
  <si>
    <t>Reserves &amp; Surplus</t>
  </si>
  <si>
    <t>Money Received against Warrants</t>
  </si>
  <si>
    <t>Share Application Money pending allotment</t>
  </si>
  <si>
    <t>Non-current Liabilities</t>
  </si>
  <si>
    <t>Long Term Borrowings</t>
  </si>
  <si>
    <t>Deferred Tax Liabilities (Net)</t>
  </si>
  <si>
    <t>Other Long Term Liabilities</t>
  </si>
  <si>
    <t>Long Term Provisions</t>
  </si>
  <si>
    <t>Current Liabilities</t>
  </si>
  <si>
    <t>Short Term Borrowings</t>
  </si>
  <si>
    <t>Trade Payables</t>
  </si>
  <si>
    <t>Other Current Liabilities</t>
  </si>
  <si>
    <t>Short Term Provisions</t>
  </si>
  <si>
    <t>Total</t>
  </si>
  <si>
    <t>ASSETS</t>
  </si>
  <si>
    <t>Non-current Assets</t>
  </si>
  <si>
    <t>Fixed Assets</t>
  </si>
  <si>
    <t>Tangible Assets</t>
  </si>
  <si>
    <t>Intangible Assets</t>
  </si>
  <si>
    <t>Capital Work-in-Progress</t>
  </si>
  <si>
    <t>Intangible Assets under development</t>
  </si>
  <si>
    <t>Non-current Investments</t>
  </si>
  <si>
    <t>Deferred Tax Assets (Net)</t>
  </si>
  <si>
    <t>Long Term Loans &amp; Advances</t>
  </si>
  <si>
    <t>Other Non-current Assets</t>
  </si>
  <si>
    <t>Current Assets</t>
  </si>
  <si>
    <t>Current Investments</t>
  </si>
  <si>
    <t>Inventories</t>
  </si>
  <si>
    <t>Trade Receivables</t>
  </si>
  <si>
    <t>Cash and Cash Equivalents</t>
  </si>
  <si>
    <t>Short Term Loans &amp; Advances</t>
  </si>
  <si>
    <t>Other Current Assets</t>
  </si>
  <si>
    <t>Significant Accounting Policies</t>
  </si>
  <si>
    <t>The accompanying notes are an integral part of the financial statements</t>
  </si>
  <si>
    <t>For and on behalf of the Board</t>
  </si>
  <si>
    <t>Chartered Accountants</t>
  </si>
  <si>
    <t>Date</t>
  </si>
  <si>
    <t>Continuing Operations</t>
  </si>
  <si>
    <t>REVENUE</t>
  </si>
  <si>
    <t>Revenue from Operations</t>
  </si>
  <si>
    <t>Less : Excise Duty</t>
  </si>
  <si>
    <t>Revenue from Operations (Net)</t>
  </si>
  <si>
    <t>Other Income</t>
  </si>
  <si>
    <t>Total Revenue</t>
  </si>
  <si>
    <t>EXPENSES</t>
  </si>
  <si>
    <t>Cost of Materials Consumed</t>
  </si>
  <si>
    <t>Purchases of Stock-in-Trade</t>
  </si>
  <si>
    <t>Employee Benefit Expenses</t>
  </si>
  <si>
    <t>Finance Cost</t>
  </si>
  <si>
    <t>Depreciation &amp; Amortisation Expenses</t>
  </si>
  <si>
    <t>Other Expenses</t>
  </si>
  <si>
    <t>Total Expenses</t>
  </si>
  <si>
    <t>Profit Before Exceptional and Extraordinary Items &amp; Tax</t>
  </si>
  <si>
    <t>Exceptional Income / Expenses</t>
  </si>
  <si>
    <t>Profit Before Extraordinary Items &amp; Tax</t>
  </si>
  <si>
    <t>Prior Period Items</t>
  </si>
  <si>
    <t>Extraordinary Items</t>
  </si>
  <si>
    <t>Profit Before Tax</t>
  </si>
  <si>
    <t>Provision for Taxation</t>
  </si>
  <si>
    <t>Profit/(Loss) for the period from continuing operations</t>
  </si>
  <si>
    <t>Discontinuing Operations</t>
  </si>
  <si>
    <t>Profit/(Loss) from Discontinuing operations</t>
  </si>
  <si>
    <t>Tax expense of Discontinuing operations</t>
  </si>
  <si>
    <t>Profit/(Loss) from Discontinuing operations after Tax</t>
  </si>
  <si>
    <t>Profit/(Loss) for the period</t>
  </si>
  <si>
    <t>Earnings per Share</t>
  </si>
  <si>
    <t>Basic EPS (in Rs.)</t>
  </si>
  <si>
    <t>Diluted EPS (in Rs.)</t>
  </si>
  <si>
    <t>Face value per Equity Share</t>
  </si>
  <si>
    <t>Average No. of Shares for Basic EPS</t>
  </si>
  <si>
    <t>Adjustment to Average No. of Shares</t>
  </si>
  <si>
    <t>Average No. of Shares for Diluted EPS</t>
  </si>
  <si>
    <t>Revenue from Sale of Products</t>
  </si>
  <si>
    <t>xxxxx</t>
  </si>
  <si>
    <t>Revenue from Sale of Services</t>
  </si>
  <si>
    <t>Revenue from Contract</t>
  </si>
  <si>
    <t>Revenue from Intangible Assets</t>
  </si>
  <si>
    <t>Revenue from Other Operations</t>
  </si>
  <si>
    <t>Less : Service Tax Collected</t>
  </si>
  <si>
    <t>Less : Other Duties &amp; Taxes Collected</t>
  </si>
  <si>
    <t>Less : Inter Division Tranfers</t>
  </si>
  <si>
    <t>Less : Brokerage Discounts &amp; Rebates</t>
  </si>
  <si>
    <t>Less : Sales Return</t>
  </si>
  <si>
    <t>Less : Other Allowances &amp; Deductions against Sales</t>
  </si>
  <si>
    <t>Export Sales</t>
  </si>
  <si>
    <t>Domestic Sales</t>
  </si>
  <si>
    <t>Maintenance Charges</t>
  </si>
  <si>
    <t>Works Contract</t>
  </si>
  <si>
    <t>Patents Charges</t>
  </si>
  <si>
    <t>31/03/2012</t>
  </si>
  <si>
    <t>31/03/2011</t>
  </si>
  <si>
    <t>Interest Income</t>
  </si>
  <si>
    <t>Dividend Income</t>
  </si>
  <si>
    <t>Net gain / (loss) on sale of investment</t>
  </si>
  <si>
    <t>Other non operating income</t>
  </si>
  <si>
    <t>Rent Receipt</t>
  </si>
  <si>
    <t>Raw Materials</t>
  </si>
  <si>
    <t>Opening Stock</t>
  </si>
  <si>
    <t>Add : Purchases</t>
  </si>
  <si>
    <t>Add : Incidental Expenses on Purchases</t>
  </si>
  <si>
    <t>Less : Transfer / Sale of Raw Material</t>
  </si>
  <si>
    <t>Less : Purchase Return</t>
  </si>
  <si>
    <t>Less : Capitalisation of Raw Material</t>
  </si>
  <si>
    <t>Less : Closing Stock</t>
  </si>
  <si>
    <t>Packing Materials</t>
  </si>
  <si>
    <t>Stores &amp; Spares</t>
  </si>
  <si>
    <t>Other Materials</t>
  </si>
  <si>
    <t>a. Imported &amp; Indigenous raw materials, components and stores &amp; spares consumed</t>
  </si>
  <si>
    <t>Raw Material</t>
  </si>
  <si>
    <t>Imported</t>
  </si>
  <si>
    <t>Indigenous</t>
  </si>
  <si>
    <t>Other Components</t>
  </si>
  <si>
    <t>Traded Goods</t>
  </si>
  <si>
    <t xml:space="preserve">Finished Goods </t>
  </si>
  <si>
    <t>a. Details of purchase of traded goods</t>
  </si>
  <si>
    <t>&lt;&lt; Account Head &gt;&gt;</t>
  </si>
  <si>
    <t>b. Details of purchase of finished goods</t>
  </si>
  <si>
    <t>Domestic Input</t>
  </si>
  <si>
    <t>Assembled Computer parts</t>
  </si>
  <si>
    <t>Finished Goods</t>
  </si>
  <si>
    <t>Work in Progress</t>
  </si>
  <si>
    <t>Other Inventories</t>
  </si>
  <si>
    <t>a. Details of Inventory</t>
  </si>
  <si>
    <t>Other Inventory</t>
  </si>
  <si>
    <t>Antivirus Software</t>
  </si>
  <si>
    <t>Installation CD</t>
  </si>
  <si>
    <t>Cables</t>
  </si>
  <si>
    <t>Patch Version CD</t>
  </si>
  <si>
    <t>Salaries &amp; Wages</t>
  </si>
  <si>
    <t>Overtime Wages</t>
  </si>
  <si>
    <t>Bonus</t>
  </si>
  <si>
    <t>Gratuity</t>
  </si>
  <si>
    <t>Performance Pay</t>
  </si>
  <si>
    <t>Profit Share</t>
  </si>
  <si>
    <t>Interest Expenses</t>
  </si>
  <si>
    <t>Other borrowing cost</t>
  </si>
  <si>
    <t>Net Loss / (Gain) on foreign currency transaction</t>
  </si>
  <si>
    <t>Forward cancellation</t>
  </si>
  <si>
    <t>Depreciation Expense</t>
  </si>
  <si>
    <t>Amortisation Expense</t>
  </si>
  <si>
    <t>Manufacturing &amp; Service Cost</t>
  </si>
  <si>
    <t>Research &amp; Development Expenditure</t>
  </si>
  <si>
    <t>Payment to Auditors</t>
  </si>
  <si>
    <t>Consumption of stores and spare parts.:</t>
  </si>
  <si>
    <t>Oil</t>
  </si>
  <si>
    <t>Stores</t>
  </si>
  <si>
    <t>Other consumables</t>
  </si>
  <si>
    <t>Tools, Jigs &amp; fixtures</t>
  </si>
  <si>
    <t>Repairs to buildings.</t>
  </si>
  <si>
    <t>Installation S/W</t>
  </si>
  <si>
    <t>Tax Expenses</t>
  </si>
  <si>
    <t>Deferred Tax Expenses</t>
  </si>
  <si>
    <t>Revenue related to Discontinuing Operations</t>
  </si>
  <si>
    <t>Expenses related to Discountinuing Operations</t>
  </si>
  <si>
    <t>Income / Loss on Sale / Disposal of Discontinuing Operations</t>
  </si>
  <si>
    <t>The following details reflects data of Profit &amp; Shares used in the basic &amp; diluted EPS computations</t>
  </si>
  <si>
    <t>a. Net Profit / Loss attributable to Equity Shareholders (Basic)</t>
  </si>
  <si>
    <t>Net Profit after Tax as per Profit &amp; Loss Account</t>
  </si>
  <si>
    <t>Preference Dividend provided on Non-cummulative Preference Shares</t>
  </si>
  <si>
    <t>Preference Dividend provided on Cummulative Preference Shares</t>
  </si>
  <si>
    <t>Other Adjustments to Net Profit</t>
  </si>
  <si>
    <t>Net Profit attributable to Equity Shareholders (Basic)</t>
  </si>
  <si>
    <t>b. Details of No. of Shares used for Basic Earning Per Share</t>
  </si>
  <si>
    <t>Number of Equity Shares at the start of the period</t>
  </si>
  <si>
    <t>Weighted Average No. of Shares for Basic EPS</t>
  </si>
  <si>
    <t>c. Net Profit / Loss attributable to Equity Shareholders (Diluted)</t>
  </si>
  <si>
    <t>Dividends in respect of Dilutive Potential Equity Shares</t>
  </si>
  <si>
    <t>Net Profit / Loss attributable to Equity Shareholders (Diluted)</t>
  </si>
  <si>
    <t>d. Details of No. of Shares used for Diluted Earning Per Share</t>
  </si>
  <si>
    <t>Other Potentially Dilutive Shares</t>
  </si>
  <si>
    <t>Weighted Average No. of Shares for Diluted EPS</t>
  </si>
  <si>
    <t>Authorised Share Capital :</t>
  </si>
  <si>
    <t>Issued Subscribed and Paid Up Capital :</t>
  </si>
  <si>
    <t>Calls unpaid by Directors &amp; Officers</t>
  </si>
  <si>
    <t>Calls unpaid by Others</t>
  </si>
  <si>
    <t>Shares Forfeited :</t>
  </si>
  <si>
    <t>Forfeited Shares Reissued</t>
  </si>
  <si>
    <t>a. Reconciliation of Shares Outstanding</t>
  </si>
  <si>
    <t>Equity Shares</t>
  </si>
  <si>
    <t>At the beginning of the period</t>
  </si>
  <si>
    <t>Addition during the period</t>
  </si>
  <si>
    <t>Deduction during the period</t>
  </si>
  <si>
    <t>Outstanding at the end of the period</t>
  </si>
  <si>
    <t>Preference Shares</t>
  </si>
  <si>
    <t>b. Rights, Preference &amp; Restrictions attached to each class of Share Capital</t>
  </si>
  <si>
    <t>c. Shares reserved for issue under options &amp; contracts / commitments</t>
  </si>
  <si>
    <t>d. Terms of any security convertible to Equity / Preference Share issued</t>
  </si>
  <si>
    <t>e. Shares held by holding / ultimate holding company and / or their subsidiaries / associates</t>
  </si>
  <si>
    <t>f. Details of shareholders holding more than 5% shares in the company</t>
  </si>
  <si>
    <t>g. Information of Shares for Preceeding Five Years</t>
  </si>
  <si>
    <t>g. Other Information</t>
  </si>
  <si>
    <t>As per last Balance Sheet</t>
  </si>
  <si>
    <t>Add : Additions during the year</t>
  </si>
  <si>
    <t>Less : Transfer / Adjustment during the year</t>
  </si>
  <si>
    <t>Profit &amp; Loss Account</t>
  </si>
  <si>
    <t>Add : Transfer from General Reserves</t>
  </si>
  <si>
    <t>Add : Transfer from Capital Reserves</t>
  </si>
  <si>
    <t>Add : Transfer from Special Sources</t>
  </si>
  <si>
    <t>Add : Transfer from Other Reserves</t>
  </si>
  <si>
    <t>Add : Other Additions</t>
  </si>
  <si>
    <t>Less : Transfer to General Reserves</t>
  </si>
  <si>
    <t>Less : Transfer to Statutory Reserves</t>
  </si>
  <si>
    <t>Less : Transfer to Capital Reserves</t>
  </si>
  <si>
    <t>Less : Transfer to Capital Redemption Reserves</t>
  </si>
  <si>
    <t>Less : Transfer to Debenture Redemption Reserves</t>
  </si>
  <si>
    <t>Less : Transfer to Other Reserves</t>
  </si>
  <si>
    <t>Less : Appropriation for Interim Dividend</t>
  </si>
  <si>
    <t>Less : Appropriation for Final Dividend</t>
  </si>
  <si>
    <t>Less : Appropriation for Preference Dividend</t>
  </si>
  <si>
    <t>Less : Appropriation for Special Dividend</t>
  </si>
  <si>
    <t>Less : Appropriation for Dividend Distribution Tax on Equity Dividend</t>
  </si>
  <si>
    <t>Less : Appropriation for Dividend Distribution Tax on Preference Dividend</t>
  </si>
  <si>
    <t>Surplus / (Deficit) during the year</t>
  </si>
  <si>
    <t>Capital Surplus</t>
  </si>
  <si>
    <t>Equity Share Capital</t>
  </si>
  <si>
    <t>Preference Share Capital</t>
  </si>
  <si>
    <t>Securities Premium</t>
  </si>
  <si>
    <t>Notes :</t>
  </si>
  <si>
    <t>Bonds &amp; Debentures - Secured</t>
  </si>
  <si>
    <t>Bonds &amp; Debentures - Unsecured</t>
  </si>
  <si>
    <t>Rupee Term Loan - Secured</t>
  </si>
  <si>
    <t>Rupee Term Loan - Unsecured</t>
  </si>
  <si>
    <t>Foreign Currency Loan - Secured</t>
  </si>
  <si>
    <t>Foreign Currency Loan - Unsecured</t>
  </si>
  <si>
    <t>Other External Commercial Borrowings - Secured</t>
  </si>
  <si>
    <t>Other External Commercial Borrowings - Unsecured</t>
  </si>
  <si>
    <t>Other Long Term Borrowings - Secured</t>
  </si>
  <si>
    <t>Deferred Payment Liabilities</t>
  </si>
  <si>
    <t>Secured Deposits</t>
  </si>
  <si>
    <t>Loans &amp; Advances from Related Parties</t>
  </si>
  <si>
    <t>Long Term Finance Lease Obligation</t>
  </si>
  <si>
    <t>Loan from Subsidiaries</t>
  </si>
  <si>
    <t>Loan from Directors</t>
  </si>
  <si>
    <t>Loan from Managers</t>
  </si>
  <si>
    <t>Loan taken for Fixed Assets</t>
  </si>
  <si>
    <t>Hire Purchase Instalment Payable</t>
  </si>
  <si>
    <t>Other Secured Borrowings</t>
  </si>
  <si>
    <t>Other Long Term Borrowings - Unsecured</t>
  </si>
  <si>
    <t>Unsecured Deposits from Public</t>
  </si>
  <si>
    <t>Unsecured Fixed Deposits</t>
  </si>
  <si>
    <t>Other Unsecured Borrowings</t>
  </si>
  <si>
    <t>a. Details of Bonds &amp; Debentures Issued</t>
  </si>
  <si>
    <t>b. Details of Default in Repayment of Long Term Borrowings &amp; Interest</t>
  </si>
  <si>
    <t>c. Details of Redeemed Bonds / Debentures which Company has power to issue</t>
  </si>
  <si>
    <t>d. Terms of repayment of Term Loans &amp; Other Loans</t>
  </si>
  <si>
    <t>e. Details of Long Term Borrowings guaranteed by Directors &amp; Others</t>
  </si>
  <si>
    <t>f. Other Information</t>
  </si>
  <si>
    <t>Deferred Tax Liabilities</t>
  </si>
  <si>
    <t>Deferred Tax Assets</t>
  </si>
  <si>
    <t>Provision for Employee Related Liabilities</t>
  </si>
  <si>
    <t>Other Long Term Provisions</t>
  </si>
  <si>
    <t>Loans Repayable on Demand - Secured</t>
  </si>
  <si>
    <t>Loans Repayable on Demand - Unsecured</t>
  </si>
  <si>
    <t>Amount Due from Related Parties - Secured</t>
  </si>
  <si>
    <t>Amount Due from Related Parties - Unsecured</t>
  </si>
  <si>
    <t>Deposits - Secured</t>
  </si>
  <si>
    <t>Deposits - Unsecured</t>
  </si>
  <si>
    <t>Other Short Term Borrowings - Secured</t>
  </si>
  <si>
    <t>Other Short Term Borrowings - Unsecured</t>
  </si>
  <si>
    <t>a. Details of Default in Repayment of Long Term Borrowings &amp; Interest</t>
  </si>
  <si>
    <t>b. Details of Short Term Borrowings guaranteed by Directors &amp; Others</t>
  </si>
  <si>
    <t>c. Other Information</t>
  </si>
  <si>
    <t>Current Maturity of Long Term Debt</t>
  </si>
  <si>
    <t>Current Maturity of Finance Lease Obligation</t>
  </si>
  <si>
    <t>Interest Accrued but not Due</t>
  </si>
  <si>
    <t>Interest Accrued and Due</t>
  </si>
  <si>
    <t>Advances Received</t>
  </si>
  <si>
    <t>Unclaimed / Unpaid Amounts</t>
  </si>
  <si>
    <t>Share Application Money Refundable</t>
  </si>
  <si>
    <t>Other Payables</t>
  </si>
  <si>
    <t>a. Details of Share Application Money Refundable</t>
  </si>
  <si>
    <t>Period for which Share Application money has been pending</t>
  </si>
  <si>
    <t>Reason for such pendency</t>
  </si>
  <si>
    <t>Proposed period before which shares shall be allotted</t>
  </si>
  <si>
    <t>No. of shares proposed to be issued</t>
  </si>
  <si>
    <t>Face Value of each Share</t>
  </si>
  <si>
    <t>Value of Shares</t>
  </si>
  <si>
    <t>Amount of Premium, if any</t>
  </si>
  <si>
    <t>Other Terms &amp; Conditions</t>
  </si>
  <si>
    <t>Does company have sufficient Authorised Capital to cover the share capital resulting from allotment of shares</t>
  </si>
  <si>
    <t>b. Other Information</t>
  </si>
  <si>
    <t>Provision for Dividend</t>
  </si>
  <si>
    <t>Provision for Dividend Distribution Tax</t>
  </si>
  <si>
    <t>Provision for Stautory Liabilities</t>
  </si>
  <si>
    <t>Other Short Term Provisions</t>
  </si>
  <si>
    <t>Particulars</t>
  </si>
  <si>
    <t>Gross Block</t>
  </si>
  <si>
    <t>Accumulated Depreciation</t>
  </si>
  <si>
    <t>Accumulated Impairment</t>
  </si>
  <si>
    <t>Net Block</t>
  </si>
  <si>
    <t>As at &lt;&lt;Start period&gt;&gt;</t>
  </si>
  <si>
    <t>Additions</t>
  </si>
  <si>
    <t>Deductions/Adjustment</t>
  </si>
  <si>
    <t>As at &lt;&lt; End period&gt;&gt;</t>
  </si>
  <si>
    <t>For the Year</t>
  </si>
  <si>
    <t>Reversal</t>
  </si>
  <si>
    <t>Previous Year Total</t>
  </si>
  <si>
    <t>A. Quoted Investments</t>
  </si>
  <si>
    <t>1. Trade Investments</t>
  </si>
  <si>
    <t>In Government Securities of Local Authorities</t>
  </si>
  <si>
    <t>In Debt Securities</t>
  </si>
  <si>
    <t>In Equity Securities</t>
  </si>
  <si>
    <t>In Preference Securities</t>
  </si>
  <si>
    <t>Other Investments</t>
  </si>
  <si>
    <t>2. Non-Trade Investments</t>
  </si>
  <si>
    <t>3. Other Investments</t>
  </si>
  <si>
    <t>Investments in Associates</t>
  </si>
  <si>
    <t>Investments in Joint Venture</t>
  </si>
  <si>
    <t>Investments in Subsidiaries</t>
  </si>
  <si>
    <t>Investments in Controlled Special Purpose Entities</t>
  </si>
  <si>
    <t>B. Unquoted Investments</t>
  </si>
  <si>
    <t xml:space="preserve">In Government Securities of Local Authorities </t>
  </si>
  <si>
    <t>In Mutual Funds</t>
  </si>
  <si>
    <t>In Property</t>
  </si>
  <si>
    <t xml:space="preserve">In Debt Securities </t>
  </si>
  <si>
    <t>Investment in Capital of Partnership Firm</t>
  </si>
  <si>
    <t>Less : Provision for Diminution in Non-current Investments</t>
  </si>
  <si>
    <t>Aggregate Value of Unquoted Investments</t>
  </si>
  <si>
    <t>Aggregate Value of Quoted Investments</t>
  </si>
  <si>
    <t>Market Value of Quoted Investments</t>
  </si>
  <si>
    <t>Capital Advances</t>
  </si>
  <si>
    <t>Secured, Considered Good</t>
  </si>
  <si>
    <t>Unsecured, Considered Good</t>
  </si>
  <si>
    <t>Unsecured, Considered Doubtful</t>
  </si>
  <si>
    <t>Less : Provision for Doubtful Capital Advances</t>
  </si>
  <si>
    <t>Inter-Corporate Deposits</t>
  </si>
  <si>
    <t>Deposit with Statutory Authorities</t>
  </si>
  <si>
    <t>Other Security Deposits</t>
  </si>
  <si>
    <t>Less : Provision for Doubtful Security Deposits</t>
  </si>
  <si>
    <t>Given to Subsidiaries</t>
  </si>
  <si>
    <t>Less : Provision for Doubtful Loans to Subsidiaries</t>
  </si>
  <si>
    <t>Given to Associates</t>
  </si>
  <si>
    <t>Less : Provision for Doubtful Loans to Associates</t>
  </si>
  <si>
    <t>Given to Directors</t>
  </si>
  <si>
    <t>Less : Provision for Doubtful Loans to Directors</t>
  </si>
  <si>
    <t>Given to Other Related Parties</t>
  </si>
  <si>
    <t>Less : Provision for Doubtful Loans to Related Parties</t>
  </si>
  <si>
    <t>Given to Suppliers</t>
  </si>
  <si>
    <t>Less : Provision for Doubtful Loans to Suppliers</t>
  </si>
  <si>
    <t>Given to Employees</t>
  </si>
  <si>
    <t>Less : Provision for Doubtful Loans to Employees</t>
  </si>
  <si>
    <t>Other Long Term Loans &amp; Advances</t>
  </si>
  <si>
    <t>Less : Provision for Doubtful Loans &amp; Advances</t>
  </si>
  <si>
    <t>a. Long Term Loans &amp; Advances due from Directors or Other Officers</t>
  </si>
  <si>
    <t>Due from Executive Directors</t>
  </si>
  <si>
    <t>Due from Non-executive Directors</t>
  </si>
  <si>
    <t>Due from Officers</t>
  </si>
  <si>
    <t>Due from Directors &amp; officers jointly with other persons</t>
  </si>
  <si>
    <t>Due from Partnership Firm in which Director is a partner</t>
  </si>
  <si>
    <t>Due from Companies in which Director is a Director</t>
  </si>
  <si>
    <t>Long Term Trade Receivables</t>
  </si>
  <si>
    <t>Less : Provision for Doubtful Long Term Trade Receivables</t>
  </si>
  <si>
    <t>Other Non-Current Assets</t>
  </si>
  <si>
    <t>a. Long Term Trade Receivables due from Directors or Other Officers</t>
  </si>
  <si>
    <t>Less : Provision for Diminution in value of Current Investments</t>
  </si>
  <si>
    <t>Secured - Considered Good</t>
  </si>
  <si>
    <t>Outstanding for  more than six months</t>
  </si>
  <si>
    <t>Others</t>
  </si>
  <si>
    <t>Unsecured - Considered Good</t>
  </si>
  <si>
    <t>Unsecured - Considered Doubtful</t>
  </si>
  <si>
    <t>Other Trade Receivables</t>
  </si>
  <si>
    <t>Less : Provision for Doubtful Debts</t>
  </si>
  <si>
    <t>a. Trade Receivables due from Directors or Other Officers</t>
  </si>
  <si>
    <t>Cash Balance on Hand</t>
  </si>
  <si>
    <t>Cash in Hand</t>
  </si>
  <si>
    <t>Petty Cash Balance</t>
  </si>
  <si>
    <t>Sodexo Coupon in Hand</t>
  </si>
  <si>
    <t>Imprest Control Account</t>
  </si>
  <si>
    <t xml:space="preserve">Postage Imprest </t>
  </si>
  <si>
    <t>Bank Balance with Scheduled Bank</t>
  </si>
  <si>
    <t>In Current Accounts</t>
  </si>
  <si>
    <t>In Deposit Accounts</t>
  </si>
  <si>
    <t>In Call Accounts</t>
  </si>
  <si>
    <t>In Unclaimed Amount Account</t>
  </si>
  <si>
    <t>In Other Account</t>
  </si>
  <si>
    <t>Bank Balance with Other Banks</t>
  </si>
  <si>
    <t>Cheques, Drafts on Hand</t>
  </si>
  <si>
    <t>Other Cash &amp; Cash Equivalents</t>
  </si>
  <si>
    <t>a. Balance with Foreign Banks</t>
  </si>
  <si>
    <t>Other Short Term Loans &amp; Advances</t>
  </si>
  <si>
    <t>a. Short Term Loans &amp; Advances due from Directors or Other Officers</t>
  </si>
  <si>
    <t>Interest Accrued on Investments</t>
  </si>
  <si>
    <t>Unbilled Revenue</t>
  </si>
  <si>
    <t>Payment of Taxes</t>
  </si>
  <si>
    <t>Dividend Receivable</t>
  </si>
  <si>
    <t>Recoverable from government agencies</t>
  </si>
  <si>
    <t>Export Incentives Receivables</t>
  </si>
  <si>
    <t>Interest Income Accrued but Not Due</t>
  </si>
  <si>
    <t>Assets Held up Disposal</t>
  </si>
  <si>
    <t>Derivative Assets</t>
  </si>
  <si>
    <t>Prepaid Expenses</t>
  </si>
  <si>
    <t>Notes Receivable</t>
  </si>
  <si>
    <t>Claims Recoverable</t>
  </si>
  <si>
    <t>Other Receivables</t>
  </si>
  <si>
    <t>CONTINGENT LIABILITIES</t>
  </si>
  <si>
    <t>DETAILS OF MICRO, MEDIUM &amp; SMALL ENTERPRISES</t>
  </si>
  <si>
    <t>VALUE OF IMPORTS (on CIF BASIS)</t>
  </si>
  <si>
    <t>PAYMENTS TO AUDITORS</t>
  </si>
  <si>
    <t>EARNINGS IN FOREIGN EXCHANGE</t>
  </si>
  <si>
    <t>EXPENDITURE IN FOREIGN CURRENCY</t>
  </si>
  <si>
    <t>DIVIDEND REMITTED IN FOREIGN CURRENCY</t>
  </si>
  <si>
    <t>Number of Non-resident Shareholders</t>
  </si>
  <si>
    <t>No. of shares held - Fully paid</t>
  </si>
  <si>
    <t>No. of shares held - Partly paid</t>
  </si>
  <si>
    <t>Dividend paid</t>
  </si>
  <si>
    <t>Year to which Dividend relates</t>
  </si>
  <si>
    <t>Bonds</t>
  </si>
  <si>
    <t>Bank Loan</t>
  </si>
  <si>
    <t>Banks</t>
  </si>
  <si>
    <t>From ABC LTD</t>
  </si>
  <si>
    <t>Shah &amp; Co</t>
  </si>
  <si>
    <t>Branch Profit Tax</t>
  </si>
  <si>
    <t>Employee Health Insurance</t>
  </si>
  <si>
    <t>Related Parties</t>
  </si>
  <si>
    <t>Provision for  Employees</t>
  </si>
  <si>
    <t>Opening BalanceAs at 1/04/2011</t>
  </si>
  <si>
    <t>As at 31/03/2012</t>
  </si>
  <si>
    <t>As at End period 31/03/2012</t>
  </si>
  <si>
    <t>Building</t>
  </si>
  <si>
    <t>TOTAL</t>
  </si>
  <si>
    <t>As at End Report 31/03/2011</t>
  </si>
  <si>
    <t>Goodwill</t>
  </si>
  <si>
    <t>Brands / Trademarks</t>
  </si>
  <si>
    <t>Computer Software</t>
  </si>
  <si>
    <t>Mastheads and publishing titles</t>
  </si>
  <si>
    <t>Mining rights</t>
  </si>
  <si>
    <t>Copyrights, patents and other intelectual property rights, services &amp; operating rights</t>
  </si>
  <si>
    <t>Recipes, formulae, models, designs &amp; prototypes</t>
  </si>
  <si>
    <t>Licenses &amp; franchise</t>
  </si>
  <si>
    <t>Others (Specify)</t>
  </si>
  <si>
    <t>XXXXXXXXX</t>
  </si>
  <si>
    <t>Equity shares of Altd</t>
  </si>
  <si>
    <t>Pref Shares of B Ltd</t>
  </si>
  <si>
    <t>Debentures of P Ltd</t>
  </si>
  <si>
    <t>Mutual Funds</t>
  </si>
  <si>
    <t>ABC Ltd</t>
  </si>
  <si>
    <t>BP Ltd</t>
  </si>
  <si>
    <t>TGS Ltd</t>
  </si>
  <si>
    <t>JV Ltd</t>
  </si>
  <si>
    <t>KSFE</t>
  </si>
  <si>
    <t>Raw materials</t>
  </si>
  <si>
    <t>Work in progress</t>
  </si>
  <si>
    <t>Finished goods</t>
  </si>
  <si>
    <t>Stock in trade (in respect of goods acquired for trading)</t>
  </si>
  <si>
    <t>Loose Tools</t>
  </si>
  <si>
    <t>Consumables</t>
  </si>
  <si>
    <t>Packing materials</t>
  </si>
  <si>
    <t>The company has no due to micro and small enterprises during the year ended March31,2012 andMarch 31,2011 and as atMarch31,2012 andMarch31, 2011.</t>
  </si>
  <si>
    <t>Outstanding for the year</t>
  </si>
  <si>
    <t>Other Inputs</t>
  </si>
  <si>
    <t>Investment Income</t>
  </si>
  <si>
    <t>NIL</t>
  </si>
  <si>
    <t>Copyright charges</t>
  </si>
  <si>
    <t xml:space="preserve">NIL </t>
  </si>
  <si>
    <t>Nil</t>
  </si>
  <si>
    <t>Debit</t>
  </si>
  <si>
    <t>Credit</t>
  </si>
  <si>
    <t>Exceptional Income  (Expenses)</t>
  </si>
  <si>
    <t>TRADE PAYABLES</t>
  </si>
  <si>
    <t xml:space="preserve"> </t>
  </si>
  <si>
    <t>1. SHARE CAPITAL</t>
  </si>
  <si>
    <t>2. RESERVES &amp; SURPLUS</t>
  </si>
  <si>
    <t>3.  SHARE APPLICATION MONEY PENDING ALLOTMENT</t>
  </si>
  <si>
    <t>4.  LONG TERM BORROWINGS</t>
  </si>
  <si>
    <t>5.  DEFERRED TAX ASSET / LIABILITIES</t>
  </si>
  <si>
    <t>6.  OTHER LONG TERM LIABILITIES</t>
  </si>
  <si>
    <t>7.  LONG TERM PROVISIONS</t>
  </si>
  <si>
    <t>8.  SHORT TERM BORROWINGS</t>
  </si>
  <si>
    <t>9.  OTHER CURRENT LIABILITIES</t>
  </si>
  <si>
    <t>10.  SHORT TERM PROVISIONS</t>
  </si>
  <si>
    <t xml:space="preserve">11.  TANGIBLE FIXED ASSETS </t>
  </si>
  <si>
    <t xml:space="preserve">12.  INTANGIBLE FIXED ASSETS </t>
  </si>
  <si>
    <t>13.  NON-CURRENT INVESTMENTS</t>
  </si>
  <si>
    <t>14.  LONG TERM LOANS &amp; ADVANCES</t>
  </si>
  <si>
    <t>15.  OTHER NON-CURRENT ASSETS</t>
  </si>
  <si>
    <t>16.  CURRENT INVESTMENTS</t>
  </si>
  <si>
    <t>17.  INVENTORIES</t>
  </si>
  <si>
    <t>18.  TRADE RECEIVABLES</t>
  </si>
  <si>
    <t>19.  CASH &amp; CASH EQUIVALENTS</t>
  </si>
  <si>
    <t>20.  SHORT TERM LOANS &amp; ADVANCES</t>
  </si>
  <si>
    <t>21.  OTHER CURRENT ASSETS</t>
  </si>
  <si>
    <t>22.  REVENUE FROM OPERATIONS</t>
  </si>
  <si>
    <t>23.  OTHER INCOME</t>
  </si>
  <si>
    <t>24.  COST OF MATERIALS CONSUMED</t>
  </si>
  <si>
    <t>25.  PURCHASES OF STOCK-IN-TRADE</t>
  </si>
  <si>
    <t>26.  CHANGES IN INVENTORIES</t>
  </si>
  <si>
    <t>27.  EMPLOYEE BENEFIT EXPENSES</t>
  </si>
  <si>
    <t>28.  FINANCE COSTS</t>
  </si>
  <si>
    <t>30.  OTHER EXPENSES</t>
  </si>
  <si>
    <t>32.  PROFIT / LOSS FROM DISCONTINUING OPERATIONS</t>
  </si>
  <si>
    <t>1.  SHARE CAPITAL</t>
  </si>
  <si>
    <t>2.  RESERVES &amp; SURPLUS</t>
  </si>
  <si>
    <t>Private Ltd Company</t>
  </si>
  <si>
    <t>STATUS</t>
  </si>
  <si>
    <t>PAN OF ASSESSEE</t>
  </si>
  <si>
    <t>TAX AUDIT</t>
  </si>
  <si>
    <t>26. Based on the audit procedures performed and information and explanations given by the management, we report that no fraud on or by the company has been noticed or reported during the year.</t>
  </si>
  <si>
    <t>25    The company has not raised money by public issue.</t>
  </si>
  <si>
    <t>24.   The company has not issued any debentures.</t>
  </si>
  <si>
    <t>23.   The company has not made any preferential allotment of shares to parties and companies covered in the Register under sec 301 of the Act</t>
  </si>
  <si>
    <t>22.  According to information and explainations given to us and on an overall examination of the balance sheet of the Company, we report that no funds raised on short term basis have been used for long term investments.No long term funds have been used to finance short term investments.</t>
  </si>
  <si>
    <t>22.  According to information and explainations given to us and on an overall examination of the balance sheet of the Company, we report that no funds raised on short term basis have been used for long term investments.</t>
  </si>
  <si>
    <t>21. In our opinion and according to the information and explanations given to us, the term loans have been applied for the purpose for which they were raised.</t>
  </si>
  <si>
    <t>21. The company has not obtained any term loans.Hence the question of application for the purpose for which they were obtained does not arise.</t>
  </si>
  <si>
    <t>20. In our opinion and according to the information and explanations given to us, the company has not given any guarantee for loans taken  by others from banks or financial institutions.</t>
  </si>
  <si>
    <t>19. Proper records have been maintained of the transactions and contracts and timely entries have been made therein for dealing or trading in shares, securities, debentures and other investments</t>
  </si>
  <si>
    <t>19.  According to the information and explanaions given to us,the Company has no dealing or trading in shares, securities, debentures and other investments.</t>
  </si>
  <si>
    <t>18. In our opinion and according to the information and explanations given to us, the nature of activities of the company does not attract any special statute applicable to chit fund and nidhi/mutual benefit fund/societies.</t>
  </si>
  <si>
    <t>17. The company has not granted any loans and advances on the basis of security by way of pledge of shares, debentures and other securities.</t>
  </si>
  <si>
    <t>16. Based on our audit procedures and on the information and explanations given by the management, we are of the opinion that the company has not defaulted in payment of dues to financial institutions and banks. The company does not have any borrowings by way of debtneutes.</t>
  </si>
  <si>
    <t>15.    The compnay does not have accumulated losses at the end of financial year equal to or more than 50% of its networth. The company has not incurred cash losses during the financial year covered by our audit and the immediately preceding financial year.</t>
  </si>
  <si>
    <t>15.   The company had not incurred cash losses during previous financial period. The company does not have accumulated losses at the end of financial year.</t>
  </si>
  <si>
    <t>13.    The company is generally regular in depositing with appropriate authorities undisputed statutory dues.</t>
  </si>
  <si>
    <t>13.    The provision of Provident Fund Act and ESIC are not applicable to the company.</t>
  </si>
  <si>
    <t>12.    The cost records are not required to be maintained by the company u/s 209 (1)(d)</t>
  </si>
  <si>
    <t>11.    In our opinion the company has and internal audit system commensurate with its size and the nature of its business.</t>
  </si>
  <si>
    <t>10.    In our opinion and according the information and explanations given to us, the company has not accepted any deposits from the public within the purview of section 58A of the Companies Act, 1956 and the rules framed there under.</t>
  </si>
  <si>
    <t>10.    The company has not accepted any deposits from the public within the purview of section 58A of the Companies Act, 1956 and the rules framed there under.</t>
  </si>
  <si>
    <t>9.    In our opinion and according to the information and explanation given to us , the transactions made in pursuance of contracts and arrangements entered in the register maintained under section 301 of the Companies Act, 1956 exceeding the value of Rs. 5,00,000/- in respect of any party during the year have been made at prices which are reasonable having regard to prevailing market prices, at the relevant time. During the current financial year 2006-2007 the company has made sales of Rs.15619191/- in which directors have interest and purchases of Rs.17805775/ from the parties in which directors have interest</t>
  </si>
  <si>
    <t>9.    In our opinion and according to the information and explanation given to us , the transactions made in pursuance of contracts and arrangements entered in the register maintained under section 301 of the Companies Act, 1956 exceeding the value of Rs. 5,00,000/- in respect of any party during the year have been made at prices which are reasonable having regard to prevailing market prices, at the relevant time.</t>
  </si>
  <si>
    <r>
      <t xml:space="preserve">9.    The company has not made any purchase of stores, raw materials or components, exceeding </t>
    </r>
    <r>
      <rPr>
        <b/>
        <sz val="10"/>
        <rFont val="Arial"/>
        <family val="2"/>
      </rPr>
      <t>Rs.500,000</t>
    </r>
    <r>
      <rPr>
        <sz val="11"/>
        <color theme="1"/>
        <rFont val="Calibri"/>
        <family val="2"/>
        <scheme val="minor"/>
      </rPr>
      <t>/- in value for each type thereof from companies as listed in the register maintained u/s 301, subsidiary companies, firms or other parties.</t>
    </r>
  </si>
  <si>
    <t>8.     In our opinion and according to the information and explanation given to us, and accroding to the registers produced before us , we are of the opinion that the transactions that need to be entered into the register in pursuance of section 301 of the Act, have been so entered.</t>
  </si>
  <si>
    <t>8.     In our opinion and according to the information and explanation given to us, there are no  transactions that need to be entered into the register in pursuance of section 301 of the Act.</t>
  </si>
  <si>
    <t>7.    In our opinion and according to the information and explanation given to us,there are an adequate internal control procedures commensurate with the size of the company and the nature of its business for the purchase of inventory and fixed assets and for the sale of goods. During the course of our audit, we have not observed any continuing failure to correct any major weaknesses in internal controls.</t>
  </si>
  <si>
    <r>
      <t xml:space="preserve">7.     Internal Control Procedures for the purchase of stores, raw materials, asset, and sale of goods : </t>
    </r>
    <r>
      <rPr>
        <b/>
        <sz val="10"/>
        <rFont val="Arial"/>
        <family val="2"/>
      </rPr>
      <t>Not Applicable</t>
    </r>
  </si>
  <si>
    <t>6.     The company has not given any loans to the companies, firms or parties listed in the register maintained under section 301.</t>
  </si>
  <si>
    <t>5.     The company has taken interest free unsecured loans from the Directors. In our opinion rate of interest and other terms and conditions on which loans have been taken from the parties listed in the register maintained under section 301 of the Companies Act, 1956 are not prima facie prejudicial to the interest of the company.</t>
  </si>
  <si>
    <t>5.     The company has not taken any loans, secured or unsecured from companies, firms or other parties covered in the register maintained under section 301 of the Companies Act, 1956.</t>
  </si>
  <si>
    <t>4.     In our opinion and according to the inormation given to us and on the basis of our examination of the records of inventoy, the company is maintaing propert records of inventory and no discrepancies were noticed on physical vertification of inventory as compared to book records.</t>
  </si>
  <si>
    <r>
      <t xml:space="preserve">4.     The discrepancies noticed on physical verification between the physical stocks and the book records: </t>
    </r>
    <r>
      <rPr>
        <b/>
        <sz val="10"/>
        <rFont val="Arial"/>
        <family val="2"/>
      </rPr>
      <t>Not Applicable</t>
    </r>
  </si>
  <si>
    <t xml:space="preserve">3.     The procedure adopted for physical verification of stock  reasonable and adequate in relation to the size of the Company and the nature of its business. </t>
  </si>
  <si>
    <r>
      <t xml:space="preserve">3.     The procedure adopted for physical verification of stock  reasonable and adequate in relation to the size of the Company and the nature of its business : </t>
    </r>
    <r>
      <rPr>
        <b/>
        <sz val="10"/>
        <rFont val="Arial"/>
        <family val="2"/>
      </rPr>
      <t>Not Applicable</t>
    </r>
  </si>
  <si>
    <t>2.     According to the information and explanations given to us, the Management has physically verified the inventory during the year. In our opinion the frequency of verfication s reasonable.</t>
  </si>
  <si>
    <r>
      <t xml:space="preserve">2.     Physical verification in respect of finished goods, stores, spares, raw materials : </t>
    </r>
    <r>
      <rPr>
        <b/>
        <sz val="10"/>
        <rFont val="Arial"/>
        <family val="2"/>
      </rPr>
      <t>Not  Applicable</t>
    </r>
  </si>
  <si>
    <t>1.     The company has maintained proper records showing full particulars including quantitative details and situation of its fixed assets. Physical verification of Fixed Assets has been carried out by the Management and no discrepancies were noticed on such verification. There was no substantial disposal of fixed assets during the year.</t>
  </si>
  <si>
    <t>YES</t>
  </si>
  <si>
    <t>Purchases/Sale exceeding Rs.500000/- from parties listed in register maintained u/s 301</t>
  </si>
  <si>
    <t>NOT APPLICABLE</t>
  </si>
  <si>
    <t>Transaction in pursuance of section 301 entered into register</t>
  </si>
  <si>
    <t>This report does not include a statement on the matters specified in paragraph 4 of the Companies (Auditor's Report) Order 2003, issued by the Department of Company Affairs, in terms of sec 224 (4A) of the Companies Act 1956, since in our opinion and according to the information and explanation given to us, the said order is not applicable to the company.</t>
  </si>
  <si>
    <t>As required by the Companies (Auditors' Report) Order, 2003 issued by the Central Government of India in terms of Section 227 (4A) of the Companies Act,  1956, we enclose in the Annexure hereto a statement on the matters specified in Paragraph 4 &amp; 5 of the said order.</t>
  </si>
  <si>
    <t xml:space="preserve"> and the Profit &amp; Loss Account of the Company for the year ended on that date annexed thereto and the Cash Flow Statement for the period ended on that date. These financial statements are the responsibility of the Company's management. Our responsibility is to express an opinion on these financial statements based on our audit.</t>
  </si>
  <si>
    <t>Other top 50 Share Holders</t>
  </si>
  <si>
    <t>Directors/Relatives of Directors</t>
  </si>
  <si>
    <t>Bodies Corporate</t>
  </si>
  <si>
    <t>Foreign Holdings (FIIs/FCs/FFIs/</t>
  </si>
  <si>
    <t>Venture Capital</t>
  </si>
  <si>
    <t>Nationalised/Other Banks</t>
  </si>
  <si>
    <t>Public Financial Institutions</t>
  </si>
  <si>
    <t>Govt. Companies</t>
  </si>
  <si>
    <t>Govt. [Central &amp; State(s)]</t>
  </si>
  <si>
    <t>Equity share capital breakup (% of Total Equity)</t>
  </si>
  <si>
    <t>Fully-Convertible</t>
  </si>
  <si>
    <t>Partly-Convertible</t>
  </si>
  <si>
    <t>Non-Convertible</t>
  </si>
  <si>
    <t>Debentures Breakup</t>
  </si>
  <si>
    <t>Preferemce Shares</t>
  </si>
  <si>
    <t>Equity shares</t>
  </si>
  <si>
    <t>Paid-Up Share Capital Breakup</t>
  </si>
  <si>
    <t>Subscribed Share Capital Breakup</t>
  </si>
  <si>
    <t>Issued Share Capital Breakup</t>
  </si>
  <si>
    <t>Authorised Share Capital Breakup</t>
  </si>
  <si>
    <t>Nominal Value</t>
  </si>
  <si>
    <t>Nominal Value per share</t>
  </si>
  <si>
    <t>No of shares (Prev year)</t>
  </si>
  <si>
    <t>Capital Structure of the Company (Amount in Rs. Thousands)</t>
  </si>
  <si>
    <t>NO</t>
  </si>
  <si>
    <t>Shares/Debentures Transferred since date of last AGM or in case of first return since incorporation</t>
  </si>
  <si>
    <t>Date of previous AGM</t>
  </si>
  <si>
    <t>30/09/2011</t>
  </si>
  <si>
    <t>Date of AGM</t>
  </si>
  <si>
    <t>AGM held</t>
  </si>
  <si>
    <t xml:space="preserve">                                                     (B)</t>
  </si>
  <si>
    <t>If Yes, Stock Exchange Code Totals (A)</t>
  </si>
  <si>
    <t>Whether shares listed on recongnised stock exchange</t>
  </si>
  <si>
    <t>22/11/1999</t>
  </si>
  <si>
    <t>Registration Date</t>
  </si>
  <si>
    <t>State Code</t>
  </si>
  <si>
    <t>DATE OF AUDIT REPORT</t>
  </si>
  <si>
    <t>DELHI</t>
  </si>
  <si>
    <t xml:space="preserve">PLACE : </t>
  </si>
  <si>
    <t xml:space="preserve">M.N. </t>
  </si>
  <si>
    <t xml:space="preserve">Name of Auditor signing </t>
  </si>
  <si>
    <t>Address</t>
  </si>
  <si>
    <t>Name of audiotor's firm</t>
  </si>
  <si>
    <t>CP no of secretary</t>
  </si>
  <si>
    <t>Name of secretary in whole time practice signing annual return</t>
  </si>
  <si>
    <t>Name, designation of person signing balance sheet</t>
  </si>
  <si>
    <t>Director</t>
  </si>
  <si>
    <t>Sunil Kumar Malik</t>
  </si>
  <si>
    <t>Pooja Malik</t>
  </si>
  <si>
    <t>Name of person signing notice</t>
  </si>
  <si>
    <t xml:space="preserve">3.30 P.M. </t>
  </si>
  <si>
    <t>Time of AGM</t>
  </si>
  <si>
    <t>No of AGM</t>
  </si>
  <si>
    <t>CARO, 2003 Applicable</t>
  </si>
  <si>
    <t>Assessment year</t>
  </si>
  <si>
    <t>Year ended on</t>
  </si>
  <si>
    <t>PREVIOUS YEAR</t>
  </si>
  <si>
    <t>CURRENT YEAR</t>
  </si>
  <si>
    <t>Email address</t>
  </si>
  <si>
    <t>Telephone No</t>
  </si>
  <si>
    <t>STD Code</t>
  </si>
  <si>
    <t xml:space="preserve">         State</t>
  </si>
  <si>
    <t xml:space="preserve">         Pin Code</t>
  </si>
  <si>
    <t xml:space="preserve">         Town/City</t>
  </si>
  <si>
    <t xml:space="preserve">         Address2</t>
  </si>
  <si>
    <t>Regd Office Address</t>
  </si>
  <si>
    <t>Name of Company</t>
  </si>
  <si>
    <t>Printing &amp; Stationery</t>
  </si>
  <si>
    <t>Motor car running &amp; Maint</t>
  </si>
  <si>
    <t>Postage &amp; Courier exp</t>
  </si>
  <si>
    <t>Office Maintainence Exp</t>
  </si>
  <si>
    <t>Fee &amp; Subscription</t>
  </si>
  <si>
    <t>Entertainment</t>
  </si>
  <si>
    <t>Conveyance Expenses</t>
  </si>
  <si>
    <t>Income Tax Expenses</t>
  </si>
  <si>
    <t>Provision written back</t>
  </si>
  <si>
    <t>Provision for Defferred Tax Liability/Assets</t>
  </si>
  <si>
    <t>Provison for FBT</t>
  </si>
  <si>
    <t>Provision for bad &amp; doubtful debts</t>
  </si>
  <si>
    <t>Bad debts</t>
  </si>
  <si>
    <t>Leaseline Expenses</t>
  </si>
  <si>
    <t xml:space="preserve">Short &amp; Excess </t>
  </si>
  <si>
    <t>Transaction Charges (SEBI)</t>
  </si>
  <si>
    <t>Transaction Charges (Exchange/Clearing)</t>
  </si>
  <si>
    <t>VSAT Expenses</t>
  </si>
  <si>
    <t>Water Charges</t>
  </si>
  <si>
    <t>Warehousing charges</t>
  </si>
  <si>
    <t>Software Maintainence exp</t>
  </si>
  <si>
    <t>Scooter/Bike Maintainenece exp</t>
  </si>
  <si>
    <t>Preliminary Expd w/off</t>
  </si>
  <si>
    <t>Demat/Depository Charges</t>
  </si>
  <si>
    <t>Aircraft running &amp; maint</t>
  </si>
  <si>
    <t>Miscellaneous Exp</t>
  </si>
  <si>
    <t>Loss on currency fluctuation</t>
  </si>
  <si>
    <t>Loss from share Trading</t>
  </si>
  <si>
    <t>Loss on sale of Fixed Assets</t>
  </si>
  <si>
    <t>Legal &amp; Professional Charges</t>
  </si>
  <si>
    <t>Job Work Expenses</t>
  </si>
  <si>
    <t>Consultancy Charges</t>
  </si>
  <si>
    <t>Books &amp; Periodicals</t>
  </si>
  <si>
    <t>Accounting Charges</t>
  </si>
  <si>
    <t>Amount w/off</t>
  </si>
  <si>
    <t>Travelling expenses including foreign travelling</t>
  </si>
  <si>
    <t>Telephone Exps.</t>
  </si>
  <si>
    <t>Scholarships</t>
  </si>
  <si>
    <t>Sampling exp</t>
  </si>
  <si>
    <t>Sales promotion including publicity (other than advertisment)</t>
  </si>
  <si>
    <t>Any other benefit to employees in respect of which an expenditure has been incurred.</t>
  </si>
  <si>
    <t>Contribution to any other fund/ESI</t>
  </si>
  <si>
    <t>Contribution to reognised Gratuity fund</t>
  </si>
  <si>
    <t>Contribution to reognised Provident fund</t>
  </si>
  <si>
    <t>Contribution to aproved Superannuation fund</t>
  </si>
  <si>
    <t>Free or concessional ticket provided by the employer for private journeys of his employees or their family members</t>
  </si>
  <si>
    <t>Leave Travel Benefits</t>
  </si>
  <si>
    <t>Leave Encashment</t>
  </si>
  <si>
    <t>Reimbursment of Medical Exp</t>
  </si>
  <si>
    <t>Managerial Remuneration</t>
  </si>
  <si>
    <t>Directors' Remuneartion</t>
  </si>
  <si>
    <t>Rents</t>
  </si>
  <si>
    <t>Rebate &amp; Discount</t>
  </si>
  <si>
    <t>Any other rate, tax, duty or cess</t>
  </si>
  <si>
    <t>Cess</t>
  </si>
  <si>
    <t>VAT/Sales Tax</t>
  </si>
  <si>
    <t>Service Tax</t>
  </si>
  <si>
    <t>Union Excise Duty</t>
  </si>
  <si>
    <t>Rates and taxes, paid or payable to Government or any local body (exluding taxes on income)</t>
  </si>
  <si>
    <t xml:space="preserve">    Keyman Insurance</t>
  </si>
  <si>
    <t xml:space="preserve">    Life Insurance</t>
  </si>
  <si>
    <t xml:space="preserve">    Medical Insurance</t>
  </si>
  <si>
    <t>Insurance</t>
  </si>
  <si>
    <t>Hotel, Boarding and Lodging</t>
  </si>
  <si>
    <t>Hospitality</t>
  </si>
  <si>
    <t>Guest House Expenses</t>
  </si>
  <si>
    <t>Gift</t>
  </si>
  <si>
    <t>Festival celebration expenses</t>
  </si>
  <si>
    <t>Donation</t>
  </si>
  <si>
    <t>Conference</t>
  </si>
  <si>
    <t>Commission</t>
  </si>
  <si>
    <t>Clearing &amp; Forwarding Exp</t>
  </si>
  <si>
    <t>Club expenses</t>
  </si>
  <si>
    <t>Advertisment</t>
  </si>
  <si>
    <t>Purchases</t>
  </si>
  <si>
    <t>Purchases made for re-sale</t>
  </si>
  <si>
    <t>Raw Material Consumed</t>
  </si>
  <si>
    <t>Profit on account of currency fluctuation</t>
  </si>
  <si>
    <t>Profit on sale of other investment</t>
  </si>
  <si>
    <t>Dividend</t>
  </si>
  <si>
    <t>Preliminary Expenditure</t>
  </si>
  <si>
    <t>(To the extent not writeen off or adjusted)</t>
  </si>
  <si>
    <t>MISCELLANEOUS EXPENDITURE</t>
  </si>
  <si>
    <t>Tax on Dividend</t>
  </si>
  <si>
    <t>Proposed Dividend</t>
  </si>
  <si>
    <t>Other Provisions</t>
  </si>
  <si>
    <t>Provision for leave encashment/Superannuation/Gratuity</t>
  </si>
  <si>
    <t>Provision for Wealth Tax</t>
  </si>
  <si>
    <t>Provision for FBT</t>
  </si>
  <si>
    <t>Provision for Income Tax</t>
  </si>
  <si>
    <t>PROVISIONS</t>
  </si>
  <si>
    <t>Interest accrueed but not due on loans</t>
  </si>
  <si>
    <t>Interest accrued on above</t>
  </si>
  <si>
    <t>Unpaid Call Money</t>
  </si>
  <si>
    <t>Unpaid Matured Debentures</t>
  </si>
  <si>
    <t>Unpaid dividend</t>
  </si>
  <si>
    <t>Liability for leased assets</t>
  </si>
  <si>
    <t>Security/Margin from Clients</t>
  </si>
  <si>
    <t>Cheque issued but not presented</t>
  </si>
  <si>
    <t>Auditors Remnuneration</t>
  </si>
  <si>
    <t>Expenses Payable</t>
  </si>
  <si>
    <t>Trade Creditors</t>
  </si>
  <si>
    <t>Sundry creditors</t>
  </si>
  <si>
    <t>CURRENT LIABILITIES</t>
  </si>
  <si>
    <t>Balance with Revenue Authorities</t>
  </si>
  <si>
    <t>Deposits, loans &amp; advances to corporate and others</t>
  </si>
  <si>
    <t>Advances recoverable in cash or in kind or for value to be received</t>
  </si>
  <si>
    <t>Loans to subsidiary companies</t>
  </si>
  <si>
    <t>be received)</t>
  </si>
  <si>
    <t>(Recoverable in cash or in kind for value to</t>
  </si>
  <si>
    <t>LOANS &amp; ADVANCES</t>
  </si>
  <si>
    <t>Cheques in Hand</t>
  </si>
  <si>
    <t>OTHER CURRENT ASSETS</t>
  </si>
  <si>
    <t>CASH &amp; BANK BALANCES</t>
  </si>
  <si>
    <t>Over Six Months</t>
  </si>
  <si>
    <t>(UNSECURED, CONSIDERED GOOD)</t>
  </si>
  <si>
    <t>SUNDRY DEBTORS</t>
  </si>
  <si>
    <t>Finished Goods/Traded Goods</t>
  </si>
  <si>
    <t>Stock in process</t>
  </si>
  <si>
    <t>Stores/Consumables including packing material</t>
  </si>
  <si>
    <t>INVENTORIES</t>
  </si>
  <si>
    <t>Debentures</t>
  </si>
  <si>
    <t>Short Term Investments</t>
  </si>
  <si>
    <t>Government &amp; other securities - Unquoted</t>
  </si>
  <si>
    <t>Government &amp; other securities - Quoted</t>
  </si>
  <si>
    <t>Long Term Investments</t>
  </si>
  <si>
    <t>INVESTMENTS</t>
  </si>
  <si>
    <t>CAPITAL WORK IN PROGRESS</t>
  </si>
  <si>
    <t>NET BLOCK</t>
  </si>
  <si>
    <t>Less : Depreciation</t>
  </si>
  <si>
    <t>Provision for Deferred Tax Asset (Liability)</t>
  </si>
  <si>
    <t>Add: MAT Liability u/s 115J</t>
  </si>
  <si>
    <t>Deferred Tax Asset (Liability)</t>
  </si>
  <si>
    <t>Rate of Tax</t>
  </si>
  <si>
    <t>Net Timing Difference</t>
  </si>
  <si>
    <t>Less : Permanenet Difference if any</t>
  </si>
  <si>
    <t>Difference (A-B)</t>
  </si>
  <si>
    <t>R&amp;D Expenditure u/s 35</t>
  </si>
  <si>
    <t>Allowance u/s 43B of Income Tax Act</t>
  </si>
  <si>
    <t>Preliminary Exp allowed u/s 35D</t>
  </si>
  <si>
    <t>Depreciation as per Income Tax</t>
  </si>
  <si>
    <t>(B) Less : Expenses allowed</t>
  </si>
  <si>
    <t>Provision for doubtful debts</t>
  </si>
  <si>
    <t>Disallowance u/s 43B of Income Tax Act</t>
  </si>
  <si>
    <t>Preliminary Exp w/off</t>
  </si>
  <si>
    <t>Depreciation as per Books</t>
  </si>
  <si>
    <t>(A) Items debited to Profit &amp; Loss a/c</t>
  </si>
  <si>
    <t>Note : Calculation of Deferred Tax</t>
  </si>
  <si>
    <t>Provision for the year (Refer Note below)</t>
  </si>
  <si>
    <t>Opening Balance</t>
  </si>
  <si>
    <t>DEFERRED TAX LIABILITY</t>
  </si>
  <si>
    <t>UNSECURED LOANS</t>
  </si>
  <si>
    <t>Foreign Currency Loans</t>
  </si>
  <si>
    <t>SECURED LOANS</t>
  </si>
  <si>
    <t>General Reserve</t>
  </si>
  <si>
    <t>Statutory Reserve</t>
  </si>
  <si>
    <t>Debenture Redemption Reserve</t>
  </si>
  <si>
    <t>Securities Premium Account</t>
  </si>
  <si>
    <t>Capital Redemption Reserve</t>
  </si>
  <si>
    <t>Capital Reserve</t>
  </si>
  <si>
    <t>Revaluation Reserve</t>
  </si>
  <si>
    <t>RESERVES &amp; SURPLUS</t>
  </si>
  <si>
    <t>(Chartered Accountants)</t>
  </si>
  <si>
    <t>(f)    In our opinion and to the best of our information and according to the explanations given to us the said accounts read with the notes thereon give the information required by the Companies Act, 1956 in the manner so required and give a true and fair view in conformity with the accounting principles generally accepted in India:</t>
  </si>
  <si>
    <t>(d)   In our opinion, the Balance Sheet and Profit and Loss account comply with the accounting standards referred to in sub section (3C) of section 211 of the Companies Act,1956;</t>
  </si>
  <si>
    <t>(c)    The balance sheet and Profit &amp; Loss account dealt with by this report are in agreement with the books of accounts;</t>
  </si>
  <si>
    <t>(b)    In our opinion proper books of accounts, as required by Law have been kept by the Company, so far as appears from our examination of the books;</t>
  </si>
  <si>
    <t>(a)    We have obtained all the information and explanations which to the best of our knowledge and belief were necessary for the purpose of our audit;</t>
  </si>
  <si>
    <t>Further to our comments in the Annexure referred to above we report that:</t>
  </si>
  <si>
    <t>We conducted our audit in accordance with Auditing Standards generally accepted in India. Those standards require that we plan and perform the audit to obtain reasonable assurance about whether the financial statements are free of material misstatement. An audit includes examining, on a test basis, evidence supporting the amounts and disclosures in the financial statements. An audit also includes assessing the accounting principles used and significant estimates made by management, as well as evaluating the overall financial statement presentation. We believe that our audit provides a reasonable basis for our opinion.</t>
  </si>
  <si>
    <t>THE MEMBERS</t>
  </si>
  <si>
    <t>TO</t>
  </si>
  <si>
    <t>AUDITORS' REPORT</t>
  </si>
  <si>
    <t>(CHARTERED ACCOUNTANTS)</t>
  </si>
  <si>
    <t>A member entitled to attend and vote at the meeting is entitled to appoint a Proxy to attend and vote instead of himself.  The Proxy need not be a member of the Company, however the instrument appointing Proxy must reach the registered office of the company atleast 48 hours before the commencement of the meeting.</t>
  </si>
  <si>
    <t>NOTES:</t>
  </si>
  <si>
    <t>BY ORDER OF THE BOARD</t>
  </si>
  <si>
    <t>2.     To appoint auditors to hold office from the conclusion of this meeting to the conclusion of the next General Meeting and fix their remuneration.</t>
  </si>
  <si>
    <t>ORDINARY BUSINESS</t>
  </si>
  <si>
    <t>NOTICE</t>
  </si>
  <si>
    <t>Your Directors acknowledge with tratitude the co-operation and assistance received from financial institutions and banks. Your Directors also place on record their appreciation of the contribution made by employees at all level.</t>
  </si>
  <si>
    <t>ACKNOWLEDGEMENTS</t>
  </si>
  <si>
    <t>Foreign Exchange outgo</t>
  </si>
  <si>
    <t>Foreign Exchange earnings</t>
  </si>
  <si>
    <t>Not applicable</t>
  </si>
  <si>
    <t>Technology absorption</t>
  </si>
  <si>
    <t xml:space="preserve">Conservation of Energy </t>
  </si>
  <si>
    <t>The information required under Section 217 (1) (e) of the Companies Act, 1956 read with the Companies (Disclosure of particulars in the Report of Board of Directors) Rules, 1988 with respect to these matters is given below:</t>
  </si>
  <si>
    <t>CONSERVATION OF ENERGY, TECHNOLOGY ABSORPTION, FOREIGN EXCHANGE EARNINGS AND OUTGO</t>
  </si>
  <si>
    <t>There are no employees whose particulars are required to be furnished in accordance with provision of Sec 217 (2A)(a) of the Companies Act, 1956 read with the Companies (Particulars of Employees) Rules, 1975 as amended.</t>
  </si>
  <si>
    <t>PARTICULARS OF EMPLOYEES</t>
  </si>
  <si>
    <t>AUDITORS</t>
  </si>
  <si>
    <t>4)  that the Directors had prepared the annual accounts on a going concern basis.</t>
  </si>
  <si>
    <t>3)  that the Directors had taken proper and sufficient care for the maintenance of adequate accounting records in accordance with the provisions of this Act for safeguarding the assets of the company and for preventing and detecting fraud and other irregularities;</t>
  </si>
  <si>
    <t>2)  that the Directors had selected such accounting policies and applied them consistently and made judgments and estimates that are reasonable and prudent so as to give a true and fair view of the state of affairs of the company at the end of the financial year and of the profit and loss of the company for that period;</t>
  </si>
  <si>
    <t>1)  that in the preparation of the annual accounts, the applicable accounting standards had been followed along with proper explanation relating to material departures;</t>
  </si>
  <si>
    <t>Pursuant to the requirements of Section 217(2AA) of the Companies Act, 1956, It is hereby confirmed:</t>
  </si>
  <si>
    <t>DIRECTORS' RESPONSIBILITIES STATEMENT</t>
  </si>
  <si>
    <t>FINANCIAL POSITION</t>
  </si>
  <si>
    <t>PROFIT(LOSS) CARRIED OVER TO B/S</t>
  </si>
  <si>
    <t>PROFIT(LOSS) BROUGHT FORWARD</t>
  </si>
  <si>
    <t xml:space="preserve">PROFIT /(LOSS) AFTER TAXATION </t>
  </si>
  <si>
    <t>PROVISION FOR DEFERRED TAX LIABILITY</t>
  </si>
  <si>
    <t>PROVISION FOR TAXATION</t>
  </si>
  <si>
    <t>DEP. PROVIDED DURING THE YEAR</t>
  </si>
  <si>
    <t>PROFIT &amp; LOSS BEFORE DEP.&amp; TAX</t>
  </si>
  <si>
    <t>EXPENDITURE</t>
  </si>
  <si>
    <t>INCOME</t>
  </si>
  <si>
    <t xml:space="preserve">PERIOD  ENDED </t>
  </si>
  <si>
    <t xml:space="preserve">YEAR  ENDED </t>
  </si>
  <si>
    <t>FINANCIAL RESULTS</t>
  </si>
  <si>
    <t>To,</t>
  </si>
  <si>
    <t>DIRECTORS REPORT</t>
  </si>
  <si>
    <t>.</t>
  </si>
  <si>
    <t>As per our report of even date attahed</t>
  </si>
  <si>
    <t>Auditors' Report</t>
  </si>
  <si>
    <t>Notes forming part of Accounts:</t>
  </si>
  <si>
    <t>Profit &amp; Loss account</t>
  </si>
  <si>
    <t>not written off or adjusted</t>
  </si>
  <si>
    <t>Miscellaneous Expenditure to the extent</t>
  </si>
  <si>
    <t>NET CURRENT ASSETS</t>
  </si>
  <si>
    <t>(b) Provisions</t>
  </si>
  <si>
    <t>(a) Liabilities</t>
  </si>
  <si>
    <t>Less: Current Liabilites &amp; Provisions</t>
  </si>
  <si>
    <t>(e) Loans &amp; Advances</t>
  </si>
  <si>
    <t>(d) Other Current Assets</t>
  </si>
  <si>
    <t>(c)Cash &amp; bank Balances</t>
  </si>
  <si>
    <t>(b) Sundry Debtors</t>
  </si>
  <si>
    <t>(a) Inventories</t>
  </si>
  <si>
    <t>Current Assets, Loand &amp; Advances</t>
  </si>
  <si>
    <t>Investments</t>
  </si>
  <si>
    <t>Capital Work-in-progress</t>
  </si>
  <si>
    <t>APPLICATION OF FUNDS</t>
  </si>
  <si>
    <t>Deferred Tax Liability (Net)</t>
  </si>
  <si>
    <t>Unsecured Loans</t>
  </si>
  <si>
    <t>Secured Loan</t>
  </si>
  <si>
    <t>Loan Fund</t>
  </si>
  <si>
    <t>Reserve &amp; Surplus</t>
  </si>
  <si>
    <t>Shareholders' Fund</t>
  </si>
  <si>
    <t xml:space="preserve">SOURCES OF FUNDS </t>
  </si>
  <si>
    <t>SCHEDULE</t>
  </si>
  <si>
    <t>PARTICULAR</t>
  </si>
  <si>
    <t>Cash In Hand</t>
  </si>
  <si>
    <t xml:space="preserve">  Fixed Deposit Accounts</t>
  </si>
  <si>
    <t xml:space="preserve">  Current Accounts</t>
  </si>
  <si>
    <t>Bank Balance</t>
  </si>
  <si>
    <t>Capital work in progress</t>
  </si>
  <si>
    <t>From Others</t>
  </si>
  <si>
    <t>From Banks</t>
  </si>
  <si>
    <t>Short Term</t>
  </si>
  <si>
    <t>Logm Term</t>
  </si>
  <si>
    <t>Rupee Loans:</t>
  </si>
  <si>
    <t>Profit &amp; Loss Account Balance</t>
  </si>
  <si>
    <t>SHARE APPLIATION MONEY</t>
  </si>
  <si>
    <t>ISSUED, SUBSCRIBED &amp; PAID UP</t>
  </si>
  <si>
    <t>AUTHORISED CAPITAL</t>
  </si>
  <si>
    <t>SCHEDULE-1  SHARE CAPITAL</t>
  </si>
  <si>
    <t>CCTV</t>
  </si>
  <si>
    <t>Rate</t>
  </si>
  <si>
    <t>SCHEDULE:4</t>
  </si>
  <si>
    <t>AS PER COMPANIES ACT</t>
  </si>
  <si>
    <t>Air Conditioner</t>
  </si>
  <si>
    <t>AS PER OUR REPORT OF EVEN DATE</t>
  </si>
  <si>
    <t>6.    Figures for the previous year have been regrouped/reclassified wherever necessary.</t>
  </si>
  <si>
    <t>5.     Preliminary Expenses are amortized over a period of ten years.</t>
  </si>
  <si>
    <t>4.     Contingent Liabilities not provided for:           Nil</t>
  </si>
  <si>
    <t>The company has neither incurred any expenditure in foreign currency nor earned any foreign currency during the year.</t>
  </si>
  <si>
    <t>v)     C.I.F. value of Imports, Expenditure and Earnings in Foreigh Currency</t>
  </si>
  <si>
    <t>The company is not a manufacturing company, therefore the  inforamation in regard to the above is not required.</t>
  </si>
  <si>
    <t>iv)     Licensed and Installed Capacity, Production, Turnover and Stocks</t>
  </si>
  <si>
    <t xml:space="preserve">           No commission payable by way of percentage of profits to the directors or manager.</t>
  </si>
  <si>
    <t>ii)       Computation of net profits in accordance with Section 349 of the Companies Act, 1956 for the purpose of calculating commissions payable by way of percentage of such profits to the directors or manager</t>
  </si>
  <si>
    <t>I)        Remuneration paid/payable to Directors:  Rs. 960000/-</t>
  </si>
  <si>
    <t>2.   INFORMATION PURSUANT TO PART II OF SCHEDULE VI TO COMPANIES ACT, 1956 ARE GIVEN BELOW:</t>
  </si>
  <si>
    <t xml:space="preserve">      All revenue items and expenditure are recognised on accrual basis</t>
  </si>
  <si>
    <t xml:space="preserve">      vi) Revenue Recognition</t>
  </si>
  <si>
    <t xml:space="preserve">      Deferred tax is accounted for by computing the tax effect of timing differences, which arise during the year and reverse in subsequent periods.</t>
  </si>
  <si>
    <t xml:space="preserve">      v) Deferred tax</t>
  </si>
  <si>
    <t xml:space="preserve">      No Provision for gratuity has been made as no employee is entitled to this benefit.</t>
  </si>
  <si>
    <t xml:space="preserve">      iv) Gratuity</t>
  </si>
  <si>
    <t xml:space="preserve">     Depreciation in the accounts is charged on straight line method at the rates and in the manner prescribed by Schedule-XIV of the Companies Act, 1956.</t>
  </si>
  <si>
    <t xml:space="preserve">     iii) Depreciation:</t>
  </si>
  <si>
    <t xml:space="preserve">     Fixed assets are stated at cost of acquisition and subsequent improvement thereto including tax,duties,freight and other incidental expenses related to acquisition and installation.</t>
  </si>
  <si>
    <t xml:space="preserve">     ii) Fixed Assets:</t>
  </si>
  <si>
    <t xml:space="preserve">     The financial statements are prepared under the historical cost convention on the basis of going concern with revenues recognised and expenses accounted on their accrual, including provisions/adjustments for committed obligations and amounts determined as payable or receivable during the year in accordance with normally accepted principles, the Accounting Standards issued by the Institute of Chartered Accountants of India and the provisions of the Companies Act, 1956 as adopted consistently by the company.  Accounting policies not specifically referred to otherwise are consistent with accepted accounting principles.</t>
  </si>
  <si>
    <t xml:space="preserve">      I) Basis of preparation of Financial Statements</t>
  </si>
  <si>
    <t>1.     SIGNIFICANT ACCOUNTING POLICIES</t>
  </si>
  <si>
    <t xml:space="preserve">    Product Discription</t>
  </si>
  <si>
    <t>Not Applicable</t>
  </si>
  <si>
    <t>iii) Item Code No. (ITC Code)</t>
  </si>
  <si>
    <t>ii)  Item Code No. (ITC Code)</t>
  </si>
  <si>
    <t>i)   Item Code No. (ITC Code)</t>
  </si>
  <si>
    <t>GENERIC NAMES OF THREE PRINCIPAL PRODUCTS/SERVICES OF CO.</t>
  </si>
  <si>
    <t>Earning per share in Rs.</t>
  </si>
  <si>
    <t>Profit/Loss after Tax</t>
  </si>
  <si>
    <t>Profit/Loss before Tax</t>
  </si>
  <si>
    <t>Total Expenditure</t>
  </si>
  <si>
    <t>Turnover</t>
  </si>
  <si>
    <t>PERFORMANCE OF COMPANY (AMOUNT IN RS.)</t>
  </si>
  <si>
    <t xml:space="preserve">TOTAL  </t>
  </si>
  <si>
    <t>Accumated Losses</t>
  </si>
  <si>
    <t>Misc. Expenditure</t>
  </si>
  <si>
    <t>Net Current Assets</t>
  </si>
  <si>
    <t>Capital Work in progress</t>
  </si>
  <si>
    <t>Net Fixed Assets</t>
  </si>
  <si>
    <t>Application of Funds</t>
  </si>
  <si>
    <t>Deferred tax liability</t>
  </si>
  <si>
    <t>Secured Loans</t>
  </si>
  <si>
    <t>Share Application Money</t>
  </si>
  <si>
    <t>Paid up capital</t>
  </si>
  <si>
    <t>Sources of Funds</t>
  </si>
  <si>
    <t>Total Assets</t>
  </si>
  <si>
    <t>Total Liabilities</t>
  </si>
  <si>
    <t>POSITION OF MOBILISATION AND DEPLOYMENT OF FUNDS(AMT IN RS)</t>
  </si>
  <si>
    <t>Private Placement</t>
  </si>
  <si>
    <t>Bonus Issue</t>
  </si>
  <si>
    <t>Right Issue</t>
  </si>
  <si>
    <t>Public Issue</t>
  </si>
  <si>
    <t>CAPITAL RAISED DURING THE YEAR</t>
  </si>
  <si>
    <t>Balance Sheet Date</t>
  </si>
  <si>
    <t>Registration No.</t>
  </si>
  <si>
    <t>REGISTRATION DETAILS</t>
  </si>
  <si>
    <t>BALANCE SHEET ABSTRACT AND A COMPANY'S GENERAL BUSINESS PROFILE</t>
  </si>
  <si>
    <t>Balance Available for Appropriations</t>
  </si>
  <si>
    <t>Profit/(Loss) b/f from last year</t>
  </si>
  <si>
    <t>Provison for I.Tax</t>
  </si>
  <si>
    <t>Profit/Loss before tax</t>
  </si>
  <si>
    <t>Manufacturing, Selling &amp; Other Expenses</t>
  </si>
  <si>
    <t>Depreciation &amp; Amortisation</t>
  </si>
  <si>
    <t>Interest &amp; Finanace Charges</t>
  </si>
  <si>
    <t>Consumption of Stores &amp; Spare Parts</t>
  </si>
  <si>
    <t>B.  EXPENDITURE :</t>
  </si>
  <si>
    <t>Sales or Supply of Services</t>
  </si>
  <si>
    <t>A. INCOME :</t>
  </si>
  <si>
    <t>COMPUTER</t>
  </si>
  <si>
    <t>FURNITURE &amp; FIXTURE</t>
  </si>
  <si>
    <t>THE YEAR</t>
  </si>
  <si>
    <t>AS ON</t>
  </si>
  <si>
    <t xml:space="preserve">ION FOR </t>
  </si>
  <si>
    <t xml:space="preserve">UPTO </t>
  </si>
  <si>
    <t>DEP</t>
  </si>
  <si>
    <t>W.D.V.</t>
  </si>
  <si>
    <t>DEPRECIAT-</t>
  </si>
  <si>
    <t>DELETION</t>
  </si>
  <si>
    <t>ADDITION</t>
  </si>
  <si>
    <t xml:space="preserve">RATE OF </t>
  </si>
  <si>
    <t>PARTICULARS</t>
  </si>
  <si>
    <t>Depreciation as per Income Tax Act</t>
  </si>
  <si>
    <t>CP No.</t>
  </si>
  <si>
    <t>Secretary in whole time practice</t>
  </si>
  <si>
    <t>Director/Managing Director/Manager/Secretary</t>
  </si>
  <si>
    <t>Signed</t>
  </si>
  <si>
    <t>the private company did not accept or renew or invite deposits from the public.</t>
  </si>
  <si>
    <t>(I)</t>
  </si>
  <si>
    <t>since the date of the annual general meeting with reference to which the last return was submitted, or in the case of a first return, since the date of the incorporation of the company, the company did not hold twenty-five per cent or more of the paid up share capital of one or more public companies; and</t>
  </si>
  <si>
    <t>(h)</t>
  </si>
  <si>
    <t>the company did not have an average turnover of Rs.Ten Crores or more during the relevant period;</t>
  </si>
  <si>
    <t>(g)</t>
  </si>
  <si>
    <t>since the date of the annual general meeting with reference to which the last return was submitted, or in the case of a first return, since the date of the incorporation of the private company, no public company or deemed public company has or have held twenty-five per cent or more of its paid up share capital.</t>
  </si>
  <si>
    <t>(f)</t>
  </si>
  <si>
    <t>where the annual return disclosed the fact that the number of members of the company exceeds fifty, the excess consists wholly of persons who under sub-clause (1) section 3 are not to be included in the reckoning the number of fifty;</t>
  </si>
  <si>
    <t>(e)</t>
  </si>
  <si>
    <t>the company has not, since the date of the annual general meeting with reference to which the last return was submitted, or in the case of a first return, since the date of the incorporation of the company, issued any invitation to public to subscribe for any shares or debentures of the company;</t>
  </si>
  <si>
    <t>(d)</t>
  </si>
  <si>
    <t>the whole of the amount envisaged in clauses (a) to (e) of sub section (2) of section 205C of the Companies Act, 1956 remaining unpaid or unclaimed for a period of seven years from the date of they become payable by a company have been credited to the Investor Education and Protection Fund.</t>
  </si>
  <si>
    <t>©</t>
  </si>
  <si>
    <t>since the date of the last annual return the transfer of all shares, debentures, the issue of all further certificates of shares and debentures, have been appropriately recorded in the books maintained for the purpose;</t>
  </si>
  <si>
    <t>(b)</t>
  </si>
  <si>
    <t>the return states the facts as they stood on the date of the annual general meeting aforesaid, correctly and completely;</t>
  </si>
  <si>
    <t>(a)</t>
  </si>
  <si>
    <t>We certify that</t>
  </si>
  <si>
    <t>(Other than those listed above)</t>
  </si>
  <si>
    <t>(x)</t>
  </si>
  <si>
    <t>(ix)</t>
  </si>
  <si>
    <t>(Not Mentioned Above)</t>
  </si>
  <si>
    <t>NRIs/OCBs)</t>
  </si>
  <si>
    <t>(viii)</t>
  </si>
  <si>
    <t>(vii)</t>
  </si>
  <si>
    <t>(vi)</t>
  </si>
  <si>
    <t>(v)</t>
  </si>
  <si>
    <t>(iv)</t>
  </si>
  <si>
    <t>(iii)</t>
  </si>
  <si>
    <t>(ii)</t>
  </si>
  <si>
    <t>VIII. EQUITY SHARE CAPITAL BREAKUP (PERCENTAGE OF TOTAL EQUITY)</t>
  </si>
  <si>
    <t>Amount</t>
  </si>
  <si>
    <t>but not due for payment)</t>
  </si>
  <si>
    <t>(Amount in Rs. Thousands) Secured Loans including interest outstanding/accrued</t>
  </si>
  <si>
    <t>VII. INDEBTEDNESS OF THE COMPANY</t>
  </si>
  <si>
    <t>DD/MM/YYY</t>
  </si>
  <si>
    <t>Date of Previous AGM</t>
  </si>
  <si>
    <t>(or in the case of the first return at any time since the incorporation of the company)</t>
  </si>
  <si>
    <t>VI. DETAILS OF SHARES/DEBENTURES TRANSFERS SINCE DATE OF LAST AGM</t>
  </si>
  <si>
    <t>As per Annexure-B</t>
  </si>
  <si>
    <t>V. DETAILS OF SHARES/DEBENTURES HELD AT DATE OF AGM</t>
  </si>
  <si>
    <t>As per Annexure-A</t>
  </si>
  <si>
    <t>(Refer clause 6 of Part I of Schedule V)</t>
  </si>
  <si>
    <t>IV. DIRECTORS/MANAGER/SECRETARY INFORMATION (PAST AND PRESENT)</t>
  </si>
  <si>
    <t>Total Amount</t>
  </si>
  <si>
    <t>(iii) Fully Convertible</t>
  </si>
  <si>
    <t>No. of Debentures</t>
  </si>
  <si>
    <t>Type of Debenture</t>
  </si>
  <si>
    <t>Total Paid-up Capital</t>
  </si>
  <si>
    <t>(ii) Preference</t>
  </si>
  <si>
    <t>(I) Equity</t>
  </si>
  <si>
    <t>No. of Shares</t>
  </si>
  <si>
    <t>Type of Shares</t>
  </si>
  <si>
    <t>Total Subscribed Capital</t>
  </si>
  <si>
    <t>Total Issued Capital</t>
  </si>
  <si>
    <t>Total Authorised Capital</t>
  </si>
  <si>
    <t>III. CAPITAL STRUCTURE OF THE COMPANY (AMOUNT IN RS. THOUSANDS)</t>
  </si>
  <si>
    <t>Email Address</t>
  </si>
  <si>
    <t>Fax Number</t>
  </si>
  <si>
    <t>Number</t>
  </si>
  <si>
    <t>Area Code</t>
  </si>
  <si>
    <t>Telephone with STD</t>
  </si>
  <si>
    <t>Pin Code</t>
  </si>
  <si>
    <t>State</t>
  </si>
  <si>
    <t>Town/City</t>
  </si>
  <si>
    <t>Company Name</t>
  </si>
  <si>
    <t>II. NAME AND REGISTERED OFFICE ADDRESS OF COMPANY</t>
  </si>
  <si>
    <t>Due Date</t>
  </si>
  <si>
    <t>Date of AGM/</t>
  </si>
  <si>
    <t>N-No</t>
  </si>
  <si>
    <t xml:space="preserve">Y-Yes    </t>
  </si>
  <si>
    <t>AGM Held</t>
  </si>
  <si>
    <t>(Refer Code List 2)</t>
  </si>
  <si>
    <t>B</t>
  </si>
  <si>
    <t>A</t>
  </si>
  <si>
    <t>If yes, Stock exchange code (Totals)</t>
  </si>
  <si>
    <t>recognised Stock Exchange(s)</t>
  </si>
  <si>
    <t>Whether shares listed on</t>
  </si>
  <si>
    <t xml:space="preserve">Registration </t>
  </si>
  <si>
    <t>(Refer Code List I)</t>
  </si>
  <si>
    <t xml:space="preserve">Registration No. </t>
  </si>
  <si>
    <t>I. REGISTRATION DETAILS</t>
  </si>
  <si>
    <t>(See Section 159)</t>
  </si>
  <si>
    <t>THE COMPANIES ACT (1 OF 1956) SCHEDULE V PART II</t>
  </si>
  <si>
    <t>ANNUAL RETURN</t>
  </si>
  <si>
    <t>Form of Annual Return of a Company having Share Capital</t>
  </si>
  <si>
    <t>Delhi-110051</t>
  </si>
  <si>
    <t>--</t>
  </si>
  <si>
    <t>04/01/2008</t>
  </si>
  <si>
    <t>21/06/1968</t>
  </si>
  <si>
    <t>Indian</t>
  </si>
  <si>
    <t>159, Gagan Vihar Main</t>
  </si>
  <si>
    <t>Lalit Kumar Malik</t>
  </si>
  <si>
    <t>21/05/1968</t>
  </si>
  <si>
    <t>09/05/1971</t>
  </si>
  <si>
    <t>Foreign)</t>
  </si>
  <si>
    <t>Ceasing</t>
  </si>
  <si>
    <t>Appointment</t>
  </si>
  <si>
    <t>birth</t>
  </si>
  <si>
    <t>(Indian/</t>
  </si>
  <si>
    <t>Date of</t>
  </si>
  <si>
    <t>Designation</t>
  </si>
  <si>
    <t>Nationality</t>
  </si>
  <si>
    <t>Residential</t>
  </si>
  <si>
    <t>Name</t>
  </si>
  <si>
    <t>DETAILS OF DIRECTORS AT DATE OF AGM</t>
  </si>
  <si>
    <t>Annexure- A</t>
  </si>
  <si>
    <t>Delhi-110 092</t>
  </si>
  <si>
    <t>Equity</t>
  </si>
  <si>
    <t>Late Sh Bhushan Lal Malik</t>
  </si>
  <si>
    <t>3</t>
  </si>
  <si>
    <t>w/o Sh Sunil Malik</t>
  </si>
  <si>
    <t>debenture</t>
  </si>
  <si>
    <t>Holder</t>
  </si>
  <si>
    <t>share (in Rs.)</t>
  </si>
  <si>
    <t>share/</t>
  </si>
  <si>
    <t>Folio of</t>
  </si>
  <si>
    <t>Category</t>
  </si>
  <si>
    <t>Amount per</t>
  </si>
  <si>
    <t>Number of</t>
  </si>
  <si>
    <t>Type of</t>
  </si>
  <si>
    <t>Father's/Husband's</t>
  </si>
  <si>
    <t>Name of Holder</t>
  </si>
  <si>
    <t>Ledger</t>
  </si>
  <si>
    <t>DETAILS OF SHARES/DEBENTURES HELD AT DATE OF AGM</t>
  </si>
  <si>
    <t>Annexure- B</t>
  </si>
  <si>
    <t>---- Nil ----</t>
  </si>
  <si>
    <t>Name of Transferee</t>
  </si>
  <si>
    <t>Ledger folio of transferee</t>
  </si>
  <si>
    <t>Name of Transferor</t>
  </si>
  <si>
    <t>Ledger folio of transferor</t>
  </si>
  <si>
    <t>Amount per Share / Debenture</t>
  </si>
  <si>
    <t>No of shares/ Debentures</t>
  </si>
  <si>
    <t>Type of share/ debenture</t>
  </si>
  <si>
    <t>Date of transfer of shares</t>
  </si>
  <si>
    <t>DETAILS OF SHARES/DEBENTURES TRANSFERS</t>
  </si>
  <si>
    <t>Annexure- C</t>
  </si>
  <si>
    <t>Date :</t>
  </si>
  <si>
    <t>Place:</t>
  </si>
  <si>
    <t>In our opinion and to the best of our information and according to explanations given to us, the particulars given in the said Form No. 3CD are true and correct.</t>
  </si>
  <si>
    <t>The statement of particulars required to be furnished under sec 44AB is annexeed herewith in Form No. 3CD</t>
  </si>
  <si>
    <t>(c)  documents declared by the said Act to be part of, or annexed to, the profit and loss account and balance sheet.</t>
  </si>
  <si>
    <t>Audit report under section 44AB of the Income-tax Act, 1961, in a case where the accounts of the business or profession of a person have been audited under any other law</t>
  </si>
  <si>
    <t>*********************</t>
  </si>
  <si>
    <r>
      <t xml:space="preserve"> </t>
    </r>
    <r>
      <rPr>
        <b/>
        <sz val="10"/>
        <rFont val="Arial"/>
        <family val="2"/>
      </rPr>
      <t xml:space="preserve">        [See rule 6G(1)(b)]         </t>
    </r>
    <r>
      <rPr>
        <b/>
        <sz val="18"/>
        <rFont val="Arial"/>
        <family val="2"/>
      </rPr>
      <t xml:space="preserve">  </t>
    </r>
  </si>
  <si>
    <t xml:space="preserve">   Form No. 3CA    </t>
  </si>
  <si>
    <t>(c)</t>
  </si>
  <si>
    <t>N.A.</t>
  </si>
  <si>
    <t>Whether any audit was conducted under the Central Excise Act, 1944, if yes, enclose a copy of the report of such audit.</t>
  </si>
  <si>
    <t>dates of payment with amounts.</t>
  </si>
  <si>
    <t>total tax paid thereon;</t>
  </si>
  <si>
    <t>total amount of distributed profits;</t>
  </si>
  <si>
    <t>(i)</t>
  </si>
  <si>
    <t>(B)</t>
  </si>
  <si>
    <t>(A)</t>
  </si>
  <si>
    <t>tax deducted late</t>
  </si>
  <si>
    <t>shortfall on account of lesser deduction than required to be deducted</t>
  </si>
  <si>
    <t>Whether a change in shareholding of the company has taken place in the previous year due to which the losses incurred prior to the previous year cannot be allowed to be carried forward in terms of section 79</t>
  </si>
  <si>
    <t>was incurred in the previous year and was</t>
  </si>
  <si>
    <t>(m)</t>
  </si>
  <si>
    <t>(l)</t>
  </si>
  <si>
    <t>(k)</t>
  </si>
  <si>
    <t>any sum paid by the assessee as an employer not allowable under section 40A(9);</t>
  </si>
  <si>
    <t>(j)</t>
  </si>
  <si>
    <t>expenditure of personal nature;</t>
  </si>
  <si>
    <t>expenditure of capital nature;</t>
  </si>
  <si>
    <t>any other item of income;</t>
  </si>
  <si>
    <t>Method of accounting employed in the previous year.</t>
  </si>
  <si>
    <t>If there is any change in the nature of business or profession, the particulars of such change.</t>
  </si>
  <si>
    <t>Trading in Cotton Fabric</t>
  </si>
  <si>
    <t>Previous year ended</t>
  </si>
  <si>
    <t>Status</t>
  </si>
  <si>
    <t>Permanent Account Number</t>
  </si>
  <si>
    <t>Cheque</t>
  </si>
  <si>
    <t>A/c payee cheque</t>
  </si>
  <si>
    <t>other than A/c payee</t>
  </si>
  <si>
    <t>The year</t>
  </si>
  <si>
    <t>During the Year</t>
  </si>
  <si>
    <t>During the year</t>
  </si>
  <si>
    <t>was made other than</t>
  </si>
  <si>
    <t xml:space="preserve"> Repayment</t>
  </si>
  <si>
    <t xml:space="preserve">Deposit accepted </t>
  </si>
  <si>
    <t xml:space="preserve">O/S During </t>
  </si>
  <si>
    <t>Deposit Squaredup</t>
  </si>
  <si>
    <t xml:space="preserve">Deposit Accepted </t>
  </si>
  <si>
    <t>the Lender</t>
  </si>
  <si>
    <t>Whether the Repayment</t>
  </si>
  <si>
    <t>Amt. Of</t>
  </si>
  <si>
    <t>Whether the Loan/</t>
  </si>
  <si>
    <t xml:space="preserve">Max. Amt. </t>
  </si>
  <si>
    <t>Amount of Loan/</t>
  </si>
  <si>
    <t xml:space="preserve">Name and Address of </t>
  </si>
  <si>
    <t>S. No.</t>
  </si>
  <si>
    <t>DETAILS OF LOANS ACCEPTED/REPYAMENT DURING THE YEAR</t>
  </si>
  <si>
    <t>ANNEXURE : C</t>
  </si>
  <si>
    <t>Date of Deposit</t>
  </si>
  <si>
    <t>Net Profit (or loss) before tax as per Profit and Loss Account</t>
  </si>
  <si>
    <t>Depreciation as per books of account</t>
  </si>
  <si>
    <t>Interest paid</t>
  </si>
  <si>
    <t>Interest received</t>
  </si>
  <si>
    <t>Commission paid</t>
  </si>
  <si>
    <t>Commission received</t>
  </si>
  <si>
    <t>Gross profit</t>
  </si>
  <si>
    <t>Gross turnover/gross receipts</t>
  </si>
  <si>
    <t>Total of Balance Sheet</t>
  </si>
  <si>
    <t>Current liabilities and provisions</t>
  </si>
  <si>
    <t>Unsecured loans</t>
  </si>
  <si>
    <t>Secured loans</t>
  </si>
  <si>
    <t>Reserves and Surplus/Profit and Loss Account</t>
  </si>
  <si>
    <t>Share Application Money/Current Account of Partner or Proprietor</t>
  </si>
  <si>
    <t>Paid-up share capital/capital of partner/proprietor</t>
  </si>
  <si>
    <t>Rs.</t>
  </si>
  <si>
    <t>Preceding Year</t>
  </si>
  <si>
    <t xml:space="preserve">Current year </t>
  </si>
  <si>
    <t>Parameters</t>
  </si>
  <si>
    <t>SN</t>
  </si>
  <si>
    <t>previousYear</t>
  </si>
  <si>
    <t xml:space="preserve">of every business carried on during the </t>
  </si>
  <si>
    <t>Code</t>
  </si>
  <si>
    <t xml:space="preserve">Nature of Business or profession in respect </t>
  </si>
  <si>
    <t>01/09/2012</t>
  </si>
  <si>
    <t>Firm Registration No</t>
  </si>
  <si>
    <t/>
  </si>
  <si>
    <t>31st MARCH, 2012</t>
  </si>
  <si>
    <t>2012-2013</t>
  </si>
  <si>
    <t>2. This Form and the Annexure have to be signed by the person competent to sign Form No. 3CA or Form No. 3CB, as the case may be.</t>
  </si>
  <si>
    <t>1. The Annexure to this Form must be filled up failing which the Form will be considered as incomplete.</t>
  </si>
  <si>
    <t>Notes:</t>
  </si>
  <si>
    <t>Material consumed/Finished goods produced.</t>
  </si>
  <si>
    <t>Stock-in-Trade/Turnover;</t>
  </si>
  <si>
    <t xml:space="preserve">Net profit/Turnover; </t>
  </si>
  <si>
    <t>Gross profit / Turnover;</t>
  </si>
  <si>
    <t>Accounting ratios with calculations as follows :-</t>
  </si>
  <si>
    <t>31</t>
  </si>
  <si>
    <t>Whether any cost audit was carreid out, if yes, enclose a  copy of the report of such audit [See Section 139(9)].</t>
  </si>
  <si>
    <t>In the case of Domestic Company,details of tax on distributed profits under section 115-O in the following forms :-</t>
  </si>
  <si>
    <t>* Information may be given to the extent available.</t>
  </si>
  <si>
    <t>shortage/excess, if any.</t>
  </si>
  <si>
    <t>vi)</t>
  </si>
  <si>
    <t>closing stock;</t>
  </si>
  <si>
    <t>v)</t>
  </si>
  <si>
    <t>sales during the previous year;</t>
  </si>
  <si>
    <t>iv)</t>
  </si>
  <si>
    <t>quantiry manufactured during the previous year;</t>
  </si>
  <si>
    <t>iii)</t>
  </si>
  <si>
    <t>purchases during the previous year;</t>
  </si>
  <si>
    <t>ii)</t>
  </si>
  <si>
    <t>opening stock;</t>
  </si>
  <si>
    <t>I)</t>
  </si>
  <si>
    <t>Finished Products / By Products :</t>
  </si>
  <si>
    <t>* shortage/excess, if any;</t>
  </si>
  <si>
    <t>viii)</t>
  </si>
  <si>
    <t>* percentage of yield;</t>
  </si>
  <si>
    <t>vii)</t>
  </si>
  <si>
    <t>* yield of finished products;</t>
  </si>
  <si>
    <t>consumption during the previous year;</t>
  </si>
  <si>
    <t>opening Stock;</t>
  </si>
  <si>
    <t>i)</t>
  </si>
  <si>
    <t>Raw Materials;</t>
  </si>
  <si>
    <t>In the case of manufacturing concern,give quntitative details of the principal items of raw materials, finished products any by-products.</t>
  </si>
  <si>
    <t xml:space="preserve"> purchases during the previous year;</t>
  </si>
  <si>
    <t xml:space="preserve"> opening stock;</t>
  </si>
  <si>
    <t>In thecase  of a trading concern, give quatitative details of prinicipal items of goods traded;</t>
  </si>
  <si>
    <t>* “Please give the details of cases covered in (i) to (iv) above.”</t>
  </si>
  <si>
    <t>tax deducted but not paid to the credit of the Central Government.</t>
  </si>
  <si>
    <t>tax deductible and not deducted at all</t>
  </si>
  <si>
    <t>If the provisions of Chapter XVII-B have not been 
complied with,please give the following details*, namely:-</t>
  </si>
  <si>
    <t>Whether the assessee has deducted tax at source and paid the amount so deducted to the credit of the Central Government in accordance with the provisons of Chapter XVII-B.</t>
  </si>
  <si>
    <t>Section-wise details of deductions, if any admissible under Chapter VIA.</t>
  </si>
  <si>
    <t>NA</t>
  </si>
  <si>
    <t xml:space="preserve">                        |                        |                                       |                                          |</t>
  </si>
  <si>
    <t xml:space="preserve">                        |    (in Rs.)        |                                       |                                          |</t>
  </si>
  <si>
    <t xml:space="preserve">                        |    allowance    |                                       |   relevant order)               |</t>
  </si>
  <si>
    <t>year                 |     loss /          |      (in Rs.)                      |   (give reference to          |</t>
  </si>
  <si>
    <t>No.</t>
  </si>
  <si>
    <t>Assessment     |    Nature of      |    Amount as returned   |   Amount as assessed    |    Remarks</t>
  </si>
  <si>
    <t>Sr.</t>
  </si>
  <si>
    <t>extent available :</t>
  </si>
  <si>
    <t>Details of brought forward loss or depreciation allowance,</t>
  </si>
  <si>
    <t>* (The particulars (i) to (iv) at (b) and the certificate at (c)need not be given in the case of repayment of any loan or deposit taken or accepted from a Government Company, a banking company or a corporation established by a Central, State or Provincial Act.)</t>
  </si>
  <si>
    <t>Whether a certificate has been obtained from the assessee regarding taking or accepting loan or deposit, or repayment of the same through an account payee cheque or an account payee bank draft. [Yes/No]</t>
  </si>
  <si>
    <t>( c )</t>
  </si>
  <si>
    <t>Whether the repayment was made otherwise than by account payee cheque or account payee bank draft.</t>
  </si>
  <si>
    <t>Maximum amount outstanding in the account at any time during the previous year;</t>
  </si>
  <si>
    <t>Amount of the repayment;</t>
  </si>
  <si>
    <t>name,address and permanent account number (if available with the assessee) of the payee;</t>
  </si>
  <si>
    <t>Particualrs of each repayment of loan or deposit in an amount exceeding the limit specified in section 269T made during the previous year :-</t>
  </si>
  <si>
    <t>Whether the loan or deposit was taken or accepted otherwise than by an account payee Bank cheque or account payee bank draft</t>
  </si>
  <si>
    <t>Maximum amount outstanding in the account ay any time during the previous year;</t>
  </si>
  <si>
    <t>Whether the loan or deposit was squared up during the previous year;</t>
  </si>
  <si>
    <t>Amount of loan of deposit taken Accepted;</t>
  </si>
  <si>
    <t>name,Address and permenent account number (if available with the assessee) of the lender or depositor;</t>
  </si>
  <si>
    <t>* particulars of each loan or deposite in an amount exceeding the limit specified in section 269SS taken or accepted during the previous year :-</t>
  </si>
  <si>
    <t>Details of any amount borrowed on hundi or any amount due thereon (including interest on the amount borrowed) repaid,otherwise than through an account payee cheque,(Section 69D)</t>
  </si>
  <si>
    <t>Particualrs of income or expenditure  of  prior preiod credited or debited to the profit and loss account.</t>
  </si>
  <si>
    <t xml:space="preserve">Amount of Modified Value Added Tax Credits availed of or utilised during the previous year and its treatment in profit and loss account and treatment of outstanding Modified Value Added Tax Credits in accounts, </t>
  </si>
  <si>
    <t>No</t>
  </si>
  <si>
    <r>
      <t>*</t>
    </r>
    <r>
      <rPr>
        <sz val="11"/>
        <rFont val="Arial"/>
        <family val="2"/>
      </rPr>
      <t xml:space="preserve"> state whether sales tax, customs duty,excise duty or any other indirect tax,levy,cess,impost etc.is passed through the profits and loss account</t>
    </r>
  </si>
  <si>
    <t>not paid on or before the afforesaid date.</t>
  </si>
  <si>
    <t>paid on or before the due date for furmishing the return  of income of the previous year 139(1)(a);</t>
  </si>
  <si>
    <t>not paid during the previous year;</t>
  </si>
  <si>
    <t>paid during the previous year;</t>
  </si>
  <si>
    <t>pre-existed on the first day of the previous year but was not allowed in the assessment of any preceding previous year and was</t>
  </si>
  <si>
    <t>In respect of any sum referred to in clause (a),(b),(c),(d) or (e) of section 43B the liability for which:-</t>
  </si>
  <si>
    <t>Any amounts of profits chargeable to tax under section 41 and computation thereof</t>
  </si>
  <si>
    <t>Amounts deemed to be profits and gains under section 33AB or 33AC or 33ABA.</t>
  </si>
  <si>
    <t>Particulars of any payment made to persons specified under section 40A(2)(b).</t>
  </si>
  <si>
    <t>Amount of interest inadmissible under section 23 of the Micro, Small and Medium Enterprises Development Act, 2006</t>
  </si>
  <si>
    <t>17A</t>
  </si>
  <si>
    <t>amount inadmissible under the proviso to section 36(1)(iii)</t>
  </si>
  <si>
    <t>amount of deduction inadmissible in terms of section 14A respect of the expenditure incurred in relation to income which does not form part of the total income</t>
  </si>
  <si>
    <t>particulars of any liability of a contingent nature.</t>
  </si>
  <si>
    <t>provision for payment of gratiuity not allowable under section 40A(7);</t>
  </si>
  <si>
    <t>(B)amount inadmissible under section 40A(3) read with rule 6DD and computation thereof;</t>
  </si>
  <si>
    <t>Yes, Certificate dated 21/09/2011has been obtained</t>
  </si>
  <si>
    <t>(A) whether a certificate has been obtained from the 
assessee regarding payments relating to any expenditure covered under section 40A(3) that the payments were made by account payee cheques drawn on a bank or account payee bank draft, as the case may be, [Yes/No].</t>
  </si>
  <si>
    <t>interest,salary,bonus,commission or remuneration inadmissible under section 40(b)/40(ba) and computation thereof;</t>
  </si>
  <si>
    <t>NiL</t>
  </si>
  <si>
    <t>amounts inadmissible under section 40(a);</t>
  </si>
  <si>
    <t>expenditure incurred for any purpose which is an offence or which is prohibited by law;</t>
  </si>
  <si>
    <t>any other penalty or fine;</t>
  </si>
  <si>
    <t xml:space="preserve">(ii) </t>
  </si>
  <si>
    <t>expenditure by way of penalty or fine for violation of any law for the time being in force;</t>
  </si>
  <si>
    <t>(e)(i)</t>
  </si>
  <si>
    <t>as cost for club services and facilities used;</t>
  </si>
  <si>
    <t>as enterance fees and subscriptions;</t>
  </si>
  <si>
    <t>expenditure incurred at club,-</t>
  </si>
  <si>
    <t xml:space="preserve">expenditure on advertisement in any sovenir, brochure, tract, pamphlet or the like, published by a political party; </t>
  </si>
  <si>
    <t xml:space="preserve">Amount debited to the profit and loss account, being:- </t>
  </si>
  <si>
    <t>Any sum received from the employees towards contributions to any provident fund or superannuation fund or any other fund mentioned in section 2(24)(x); and due date for payment and the actual date of payment to the concerned authorities under section 36(1)(va).</t>
  </si>
  <si>
    <t xml:space="preserve">Any sum paid to an employee as bonus or commission  for services rendered, where such sum was otherwise payable to him as profits or dividend. [section 36(1)(ii)]  </t>
  </si>
  <si>
    <t>Not debited to profit and loss account.</t>
  </si>
  <si>
    <t xml:space="preserve">(b) </t>
  </si>
  <si>
    <t xml:space="preserve">debited to the profit and loss account (showing the amunt debited and deduction allowable under each section seperately);  </t>
  </si>
  <si>
    <t>Amount admissible under section 33AB, 33ABA, 33AC. 35, 35ABB, 35AC, 35CCA, 35CCB, 35D, 35E:-</t>
  </si>
  <si>
    <t xml:space="preserve">Written down value at the end of the year. </t>
  </si>
  <si>
    <t xml:space="preserve">As Per Annexure </t>
  </si>
  <si>
    <t>Deprectiaion allowable</t>
  </si>
  <si>
    <t xml:space="preserve">subsidy or grant or reimbursement, by whatever name called .   </t>
  </si>
  <si>
    <t>change in the rate of exchange of currency, and</t>
  </si>
  <si>
    <t xml:space="preserve">Modified Value Added Tax credit claimed and allowed under the Central Excies Rules,1944 in respect of assets acquired on or after 1st March,1944,  </t>
  </si>
  <si>
    <t>As Per Annexure 1(a) &amp; 1(b)</t>
  </si>
  <si>
    <t xml:space="preserve">Addition/deductions during the years with dates; in the case of any addition of an asset, date put to use ; including adjustments on account of - </t>
  </si>
  <si>
    <t xml:space="preserve">Actual cost or written down value, as the case may be. </t>
  </si>
  <si>
    <t xml:space="preserve">(c) </t>
  </si>
  <si>
    <t>Rate of deprectiaion.</t>
  </si>
  <si>
    <t xml:space="preserve">Description of asset/block of assets. </t>
  </si>
  <si>
    <t xml:space="preserve">Particulars of depreciation allowable as per the Income Tax Act,1961 in respect of each asset or block of assets, as the case may be, in the following form:-  </t>
  </si>
  <si>
    <t xml:space="preserve">capital receipt, if any. </t>
  </si>
  <si>
    <t xml:space="preserve">(d) </t>
  </si>
  <si>
    <t xml:space="preserve">escalation claims accepted during the previous year;  </t>
  </si>
  <si>
    <t xml:space="preserve">the proforma credits,drawbacks, refunds of duty of customs or excise, or refunds of sales tax,where such credits, drawbacks or refunds are admitted as due by the authorities concerned; </t>
  </si>
  <si>
    <t xml:space="preserve">the items falling within the scope of section 28; </t>
  </si>
  <si>
    <t xml:space="preserve">(a) </t>
  </si>
  <si>
    <t xml:space="preserve">Amounts not credited to the profit and loss account, being, -  </t>
  </si>
  <si>
    <t xml:space="preserve">Details of deviation, if any, from the method of valution  precribed under section 145 A, and the effect thereof on the profit or loss.     </t>
  </si>
  <si>
    <t>AT COST OR NET REALISABLE VALUE WHICHEVER IS LOWER</t>
  </si>
  <si>
    <t xml:space="preserve">Method of valution of closing stock employed in the previous year. </t>
  </si>
  <si>
    <t xml:space="preserve">Details of deviation, if any, in the method of accounting employed in the previous year form the accounting standards precribed under section 145 and the effect thereof on the profit or loss.     </t>
  </si>
  <si>
    <t>If answer to(b) above is In the affirmative, give details of such change ,and the effect thereof on the profit or loss.</t>
  </si>
  <si>
    <t xml:space="preserve">Whether there has been any change  in the method of accounting employed    vis-à-vis the method employed in the immediately preceding previous year. </t>
  </si>
  <si>
    <t>MERCANTILE SYSTEM OF ACCOUNTING</t>
  </si>
  <si>
    <t xml:space="preserve">Whether the profit and loss account includes any profits and gains assessable on presumptive basis, if yes, indicate the amount and the relevant section (44AD, 44AE, 44AF, 44B, 44BB, 44BBA, 44BBB or any other relevant section) . </t>
  </si>
  <si>
    <t>Same as in Clause 9(b)</t>
  </si>
  <si>
    <t>List of books of account examined.</t>
  </si>
  <si>
    <t>Cash Book, Bank Book, General Ledger (All these books are generated by Computer)</t>
  </si>
  <si>
    <t>Books of account maintained (In case books of account are maintained in a computer system mention the books of account generated by such computer by such computer system.)</t>
  </si>
  <si>
    <t>Whether books of accounts are prescribed under section 44AA, if yes, list of books so prescribed.</t>
  </si>
  <si>
    <t>Nature of business or profession.</t>
  </si>
  <si>
    <t>If there is any change in the partners / members or their sharing ratios, the particulars of such change.</t>
  </si>
  <si>
    <t>If firm or Association of Persons,indicate names of partners /members and their profit sharing ratios.</t>
  </si>
  <si>
    <t>PART - B</t>
  </si>
  <si>
    <t>Name of the Assessee</t>
  </si>
  <si>
    <t>PART - A</t>
  </si>
  <si>
    <t>Statement of Particulars required to be furnished under section 44AB of the Income Tax Act,1961</t>
  </si>
  <si>
    <t>[See rule on 6G(2) ]</t>
  </si>
  <si>
    <t xml:space="preserve">FORM NO. 3CD </t>
  </si>
  <si>
    <t>Place :</t>
  </si>
  <si>
    <t>Taxes on income paid/provided for in the books</t>
  </si>
  <si>
    <t>SL. NO.</t>
  </si>
  <si>
    <t>PART C</t>
  </si>
  <si>
    <t>SI. No.</t>
  </si>
  <si>
    <t>PART B</t>
  </si>
  <si>
    <t xml:space="preserve">6. Assessment year : </t>
  </si>
  <si>
    <t>5. Previous year ended :</t>
  </si>
  <si>
    <t xml:space="preserve">4. Status : </t>
  </si>
  <si>
    <t xml:space="preserve">3. Permanent Account Number : </t>
  </si>
  <si>
    <t>2. Address :</t>
  </si>
  <si>
    <t xml:space="preserve">1. Name of the assessee : </t>
  </si>
  <si>
    <t>PART A</t>
  </si>
  <si>
    <t xml:space="preserve"> Annexure I to 3CD as per Form 3CB to 3CD</t>
  </si>
  <si>
    <t>0906</t>
  </si>
  <si>
    <t>0905</t>
  </si>
  <si>
    <t>Television Channels</t>
  </si>
  <si>
    <t>0904</t>
  </si>
  <si>
    <t>Motion Picture Producers</t>
  </si>
  <si>
    <t>0903</t>
  </si>
  <si>
    <t>Film laboratories</t>
  </si>
  <si>
    <t>0902</t>
  </si>
  <si>
    <t>Film distribution</t>
  </si>
  <si>
    <t>0901</t>
  </si>
  <si>
    <t>Cable T.V. productions</t>
  </si>
  <si>
    <t>Entertainment Industy</t>
  </si>
  <si>
    <t>0809</t>
  </si>
  <si>
    <t>0808</t>
  </si>
  <si>
    <t>Share Brokers, Sub-brokers, etc.</t>
  </si>
  <si>
    <t>0807</t>
  </si>
  <si>
    <t>Non-Banking Financial Companies</t>
  </si>
  <si>
    <t>0806</t>
  </si>
  <si>
    <t>Money Lenders</t>
  </si>
  <si>
    <t>0805</t>
  </si>
  <si>
    <t>Leasing Companies</t>
  </si>
  <si>
    <t>0804</t>
  </si>
  <si>
    <t>Financial service providers</t>
  </si>
  <si>
    <t>0803</t>
  </si>
  <si>
    <t>Financial Institutions</t>
  </si>
  <si>
    <t>0802</t>
  </si>
  <si>
    <t>Chit Funds</t>
  </si>
  <si>
    <t>0801</t>
  </si>
  <si>
    <t>Banking Companies</t>
  </si>
  <si>
    <t>Financial Service Sector</t>
  </si>
  <si>
    <t>0714</t>
  </si>
  <si>
    <t>0713</t>
  </si>
  <si>
    <t>Travel agents, tour operators</t>
  </si>
  <si>
    <t>0712</t>
  </si>
  <si>
    <t>Transporters</t>
  </si>
  <si>
    <t>0711</t>
  </si>
  <si>
    <t>Software development agencies</t>
  </si>
  <si>
    <t>0710</t>
  </si>
  <si>
    <t>Security agencies</t>
  </si>
  <si>
    <t>0709</t>
  </si>
  <si>
    <t>I.T. enabled services, BPO service providers</t>
  </si>
  <si>
    <t>0708</t>
  </si>
  <si>
    <t>Hotels</t>
  </si>
  <si>
    <t>0707</t>
  </si>
  <si>
    <t>Hospitality services</t>
  </si>
  <si>
    <t>0706</t>
  </si>
  <si>
    <t>Forex Dealers</t>
  </si>
  <si>
    <t>0705</t>
  </si>
  <si>
    <t>Computer training/educational and coaching institutes</t>
  </si>
  <si>
    <t>0704</t>
  </si>
  <si>
    <t>Courier Agencies</t>
  </si>
  <si>
    <t>0703</t>
  </si>
  <si>
    <t>Consultancy services</t>
  </si>
  <si>
    <t>0702</t>
  </si>
  <si>
    <t>Beauty Parlours</t>
  </si>
  <si>
    <t>0701</t>
  </si>
  <si>
    <t>Advertisement agencies</t>
  </si>
  <si>
    <t>Service Sector Advertisement agencies</t>
  </si>
  <si>
    <t>0607</t>
  </si>
  <si>
    <t>0606</t>
  </si>
  <si>
    <t>Specialty hospitals</t>
  </si>
  <si>
    <t>0605</t>
  </si>
  <si>
    <t>Nursing Homes</t>
  </si>
  <si>
    <t>0604</t>
  </si>
  <si>
    <t>Medical professionals</t>
  </si>
  <si>
    <t>0603</t>
  </si>
  <si>
    <t>Legal professionals</t>
  </si>
  <si>
    <t>0602</t>
  </si>
  <si>
    <t>Fashion designers</t>
  </si>
  <si>
    <t>0601</t>
  </si>
  <si>
    <t>Chartered Accountants, Auditors, etc.</t>
  </si>
  <si>
    <t>Professionals</t>
  </si>
  <si>
    <t>0505</t>
  </si>
  <si>
    <t>0504</t>
  </si>
  <si>
    <t>Mining Contractors</t>
  </si>
  <si>
    <t>0503</t>
  </si>
  <si>
    <t>Forest Contractors</t>
  </si>
  <si>
    <t>0502</t>
  </si>
  <si>
    <t>Excise Contractors</t>
  </si>
  <si>
    <t>0501</t>
  </si>
  <si>
    <t>Civil Contractors</t>
  </si>
  <si>
    <t>Contractors</t>
  </si>
  <si>
    <t>0404</t>
  </si>
  <si>
    <t>0403</t>
  </si>
  <si>
    <t>Property Developers</t>
  </si>
  <si>
    <t>0402</t>
  </si>
  <si>
    <t>Estate agents</t>
  </si>
  <si>
    <t>0401</t>
  </si>
  <si>
    <t>Builders Builders</t>
  </si>
  <si>
    <t>Builders Builders 0401</t>
  </si>
  <si>
    <t>0301</t>
  </si>
  <si>
    <t>General Commission Agents</t>
  </si>
  <si>
    <t>Commission Agents</t>
  </si>
  <si>
    <t>0204</t>
  </si>
  <si>
    <t>0203</t>
  </si>
  <si>
    <t>Wholesalers</t>
  </si>
  <si>
    <t>0202</t>
  </si>
  <si>
    <t>Retailers</t>
  </si>
  <si>
    <t>0201</t>
  </si>
  <si>
    <t>Chain stores</t>
  </si>
  <si>
    <t>Trading Chain stores 0201</t>
  </si>
  <si>
    <t>0124</t>
  </si>
  <si>
    <t>0123</t>
  </si>
  <si>
    <t>Vanaspati &amp; Edible Oils</t>
  </si>
  <si>
    <t>0122</t>
  </si>
  <si>
    <t>Tyre</t>
  </si>
  <si>
    <t>0121</t>
  </si>
  <si>
    <t>Tobacco</t>
  </si>
  <si>
    <t>0120</t>
  </si>
  <si>
    <t>Textiles, Handloom, Power looms</t>
  </si>
  <si>
    <t>0119</t>
  </si>
  <si>
    <t>Tea, Coffee</t>
  </si>
  <si>
    <t>0118</t>
  </si>
  <si>
    <t>Sugar</t>
  </si>
  <si>
    <t>0117</t>
  </si>
  <si>
    <t>Steel</t>
  </si>
  <si>
    <t>0116</t>
  </si>
  <si>
    <t>Rubber</t>
  </si>
  <si>
    <t>0115</t>
  </si>
  <si>
    <t>Printing &amp; Publishing</t>
  </si>
  <si>
    <t>0114</t>
  </si>
  <si>
    <t>Power and energy</t>
  </si>
  <si>
    <t>0113</t>
  </si>
  <si>
    <t>Petroleum and Petrochemicals</t>
  </si>
  <si>
    <t>0112</t>
  </si>
  <si>
    <t>Paper</t>
  </si>
  <si>
    <t>0111</t>
  </si>
  <si>
    <t>Marble &amp; Granite</t>
  </si>
  <si>
    <t>0110</t>
  </si>
  <si>
    <t>Food Processing Units</t>
  </si>
  <si>
    <t>0109</t>
  </si>
  <si>
    <t>Flour &amp; Rice Mills</t>
  </si>
  <si>
    <t>0108</t>
  </si>
  <si>
    <t>Fertilizers, Chemicals, Paints</t>
  </si>
  <si>
    <t>0107</t>
  </si>
  <si>
    <t>Engineering goods</t>
  </si>
  <si>
    <t>0106</t>
  </si>
  <si>
    <t>Electronics including Computer Hardware</t>
  </si>
  <si>
    <t>0105</t>
  </si>
  <si>
    <t>Drugs and Pharmaceuticals</t>
  </si>
  <si>
    <t>0104</t>
  </si>
  <si>
    <t>Diamond cutting</t>
  </si>
  <si>
    <t>0103</t>
  </si>
  <si>
    <t>Cement</t>
  </si>
  <si>
    <t>0102</t>
  </si>
  <si>
    <t>Automobile and Auto parts</t>
  </si>
  <si>
    <t>0101</t>
  </si>
  <si>
    <t>Agro-based industries</t>
  </si>
  <si>
    <t>Manufacturing Industry</t>
  </si>
  <si>
    <t>Sub-Sector</t>
  </si>
  <si>
    <t>Sector</t>
  </si>
  <si>
    <t>List of Codes of business Activity</t>
  </si>
  <si>
    <t>Generator</t>
  </si>
  <si>
    <t>Annexure-1(a)</t>
  </si>
  <si>
    <t>Plant &amp; Machinery</t>
  </si>
  <si>
    <t>Date of Put to use</t>
  </si>
  <si>
    <t>Date of Purchase</t>
  </si>
  <si>
    <t>Cost of Assets</t>
  </si>
  <si>
    <t>Vendor</t>
  </si>
  <si>
    <t>Block of Assets</t>
  </si>
  <si>
    <t>Assets</t>
  </si>
  <si>
    <t xml:space="preserve">                                                 SCHEDULE OF FIXED ASSETS  ADDITION                        Annexure- 1(b)</t>
  </si>
  <si>
    <t>I. PROFIT &amp; GAINS FROM BUSINESS AND PROFESSION</t>
  </si>
  <si>
    <t>Remunneration</t>
  </si>
  <si>
    <t>AMOUNT(Rs.)</t>
  </si>
  <si>
    <t>NATURE OF PAYMENT</t>
  </si>
  <si>
    <t>RELATIONSHIP</t>
  </si>
  <si>
    <t xml:space="preserve">NAME </t>
  </si>
  <si>
    <t>Particulars of payment made to specified pesons Under Section 40A(2)</t>
  </si>
  <si>
    <t>(Ref to Clause 18 to form 3CD)</t>
  </si>
  <si>
    <t>Annexure-3</t>
  </si>
  <si>
    <t>TDS On Professional</t>
  </si>
  <si>
    <t>TDS On Contractor</t>
  </si>
  <si>
    <t>Challan number</t>
  </si>
  <si>
    <t>Remark</t>
  </si>
  <si>
    <t>TDS Deposit</t>
  </si>
  <si>
    <t>Amount Deducted</t>
  </si>
  <si>
    <t>Date of Deduction</t>
  </si>
  <si>
    <t>Head of Account</t>
  </si>
  <si>
    <t>S.No.</t>
  </si>
  <si>
    <t>Annexure-4</t>
  </si>
  <si>
    <t>Tax Deducted at Source for the Year Ended 31.03.2011</t>
  </si>
  <si>
    <t>Gas Stove Bajaj BX-3</t>
  </si>
  <si>
    <t>Purchases others</t>
  </si>
  <si>
    <t>Gas Stove-Spectra</t>
  </si>
  <si>
    <t>Gas Stove - Nickyflame</t>
  </si>
  <si>
    <t>Gas Stove - Lazer</t>
  </si>
  <si>
    <t>Gas Stove - Growmore</t>
  </si>
  <si>
    <t>Gas Stove - Green</t>
  </si>
  <si>
    <t>Gas Stove 2 Burner</t>
  </si>
  <si>
    <t>Gas Stove - Advanta</t>
  </si>
  <si>
    <t>Gas Stove-2222</t>
  </si>
  <si>
    <t>Gas Stove-111</t>
  </si>
  <si>
    <t>Tea - in kg.</t>
  </si>
  <si>
    <t xml:space="preserve">Suraksha Pipe </t>
  </si>
  <si>
    <t>Stationery-Pen Kit</t>
  </si>
  <si>
    <t>Gas Stove - Evita</t>
  </si>
  <si>
    <t>Gas Stove - 3 Burner .</t>
  </si>
  <si>
    <t>Gas Stove 4 Burner .</t>
  </si>
  <si>
    <t>Gas Lighter</t>
  </si>
  <si>
    <t>Dawat Rozana Basmati Rice - in kg.</t>
  </si>
  <si>
    <t>Cylinders - 5 kg. Domm.</t>
  </si>
  <si>
    <t>Cylinders - 47.5 kg. Comm.</t>
  </si>
  <si>
    <t>Cylinders - 19 kg. Domm.</t>
  </si>
  <si>
    <t>Cylinders - 19 kg. Comm.</t>
  </si>
  <si>
    <t>Cylinders - 19 kg. BCG</t>
  </si>
  <si>
    <t>Cylinders - 14.2 kg.</t>
  </si>
  <si>
    <t>(Total Amount)</t>
  </si>
  <si>
    <t>(In Nos.)</t>
  </si>
  <si>
    <t>as on 31/03/2011</t>
  </si>
  <si>
    <t>(Avg. Rate)</t>
  </si>
  <si>
    <t>as on 01/04/2010</t>
  </si>
  <si>
    <t>Closing Stock</t>
  </si>
  <si>
    <t>Closing Stck</t>
  </si>
  <si>
    <t>Sales</t>
  </si>
  <si>
    <t>Proprieor/Partner</t>
  </si>
  <si>
    <t xml:space="preserve">Name &amp; Address of the Assessee :            </t>
  </si>
  <si>
    <t>Permanent Account No.</t>
  </si>
  <si>
    <t>Previous year ended on :</t>
  </si>
  <si>
    <t>Assessment year :</t>
  </si>
  <si>
    <t>STATEMENT OF ASSESSABLE INCOME</t>
  </si>
  <si>
    <t xml:space="preserve">  Amount (Rs.)</t>
  </si>
  <si>
    <t xml:space="preserve">            Net Profit as per Profit and Loss Account</t>
  </si>
  <si>
    <t xml:space="preserve">    Less :   Depreciation allowable As per Income Tax Rules</t>
  </si>
  <si>
    <t xml:space="preserve">     Less:    Partners' Remuneration allowable as per section 40(b)</t>
  </si>
  <si>
    <t xml:space="preserve">               On First Rs.3,00,000/- , Rs.1,50,000 or 90% of Book Profit   </t>
  </si>
  <si>
    <t xml:space="preserve">               On Balance                60% of Book Profit           </t>
  </si>
  <si>
    <t xml:space="preserve">      Profit &amp; Gains from Business or Profession</t>
  </si>
  <si>
    <t>II. INCOME FROM OTHER SOURCES</t>
  </si>
  <si>
    <t>Income on Fixed Deposit</t>
  </si>
  <si>
    <t>GROSS TOTAL INCOME</t>
  </si>
  <si>
    <t xml:space="preserve">    Less : Deduction Under Chapter VI A</t>
  </si>
  <si>
    <t>TOTAL INCOME</t>
  </si>
  <si>
    <t>Total Income Rounded off U/s.288A</t>
  </si>
  <si>
    <t xml:space="preserve">    Tax  on  Taxable Income</t>
  </si>
  <si>
    <t>Add : Education Tax @3%</t>
  </si>
  <si>
    <t>Balance Tax Payable</t>
  </si>
  <si>
    <t>U/s.234C</t>
  </si>
  <si>
    <t>U/s.234B</t>
  </si>
  <si>
    <t>Less  :Tax Deducted at Source</t>
  </si>
  <si>
    <t>Less : Advance Tax Paid</t>
  </si>
  <si>
    <t>Add : Interest u/s 234A</t>
  </si>
  <si>
    <t>Add : Interest u/s 234B</t>
  </si>
  <si>
    <t>Add: Interest u/s 234C</t>
  </si>
  <si>
    <t>Balance Tax and Interest Payable</t>
  </si>
  <si>
    <t xml:space="preserve">Less: Self Assessment Tax Paid </t>
  </si>
  <si>
    <t>Balance Tax Payable/Refundable</t>
  </si>
  <si>
    <t>Date of Formation/Incorporation</t>
  </si>
  <si>
    <t xml:space="preserve">  Add:    Depreciation as per Books of Accounts</t>
  </si>
  <si>
    <t xml:space="preserve">              TDS not Deposited with in time U/s.40(a)</t>
  </si>
  <si>
    <t xml:space="preserve">              Partners' Remuneration considered separetly</t>
  </si>
  <si>
    <t xml:space="preserve">              Interest on TDS not allowed</t>
  </si>
  <si>
    <t xml:space="preserve">  Add:    Expenses cosnidered under separate head</t>
  </si>
  <si>
    <t xml:space="preserve">              Municipal Taxeson rented property</t>
  </si>
  <si>
    <t xml:space="preserve">              Others</t>
  </si>
  <si>
    <t xml:space="preserve">    Less:    Income Concider under Seprate Head</t>
  </si>
  <si>
    <t xml:space="preserve">                 Income from House Property</t>
  </si>
  <si>
    <t xml:space="preserve">                 Other</t>
  </si>
  <si>
    <t>Non Corporate</t>
  </si>
  <si>
    <t>Corporate</t>
  </si>
  <si>
    <t>Bank charges/Bank Guarantee Charges</t>
  </si>
  <si>
    <t>Selling/Marketing  Expenses</t>
  </si>
  <si>
    <t>Other  Expenses</t>
  </si>
  <si>
    <t>Commission Paid</t>
  </si>
  <si>
    <t>Power and fuel. (Electricity/Generator Exp)</t>
  </si>
  <si>
    <t>Profit on sale of fixed assets</t>
  </si>
  <si>
    <t>Profit on sale of investment being securities chargeable to Securities Transaction Tax (STT)</t>
  </si>
  <si>
    <t>Agriculture income</t>
  </si>
  <si>
    <t>Workmen and staff welfare expenses</t>
  </si>
  <si>
    <t xml:space="preserve">    Other Insurance including factory, office, car, goods, etc</t>
  </si>
  <si>
    <t>Transportation charges/Freight</t>
  </si>
  <si>
    <t>Custom duty</t>
  </si>
  <si>
    <t>Counter vailing duty</t>
  </si>
  <si>
    <t>Special additional duty</t>
  </si>
  <si>
    <t>Union excise duty</t>
  </si>
  <si>
    <t>Service tax</t>
  </si>
  <si>
    <t>VAT/ Sales tax</t>
  </si>
  <si>
    <t>Any other tax</t>
  </si>
  <si>
    <t>Duties and taxes in respect of goods and services purchased</t>
  </si>
  <si>
    <t>Repairs to machinery</t>
  </si>
  <si>
    <t>Computer Rep &amp; Maint</t>
  </si>
  <si>
    <t>Income tax</t>
  </si>
  <si>
    <t>Item No</t>
  </si>
  <si>
    <t>Machining Charges Paid</t>
  </si>
  <si>
    <t>Other Factory Expenses</t>
  </si>
  <si>
    <t>As auditors - statutory audit</t>
  </si>
  <si>
    <t xml:space="preserve">For taxation matters </t>
  </si>
  <si>
    <t xml:space="preserve">For company law matters </t>
  </si>
  <si>
    <t xml:space="preserve">For management services </t>
  </si>
  <si>
    <t xml:space="preserve">For other services </t>
  </si>
  <si>
    <t>Reimbursement of expenses</t>
  </si>
  <si>
    <t>EXCEPTIONAL/PRIOR PERIOD ITEMS</t>
  </si>
  <si>
    <t>30/09/2012</t>
  </si>
  <si>
    <t>PROFIT(LOSS) EXCEPTIONL/PRIOR PERIOD ITEMS</t>
  </si>
  <si>
    <t>PROFIT /(LOSS) FROM DISCONTINUING OPERATIONS</t>
  </si>
  <si>
    <t>As per Annexure- 2</t>
  </si>
  <si>
    <t>Directors Remuneration Rs.1080000/-</t>
  </si>
  <si>
    <t>As per Annexure - 3</t>
  </si>
  <si>
    <t>As per Annexure-4</t>
  </si>
  <si>
    <t>We have verified the compliance with the provisions of Chapter XVII-B regarding the deduction of tax at source and regarding the payment thereof to the credit of the Central Government in accordance with the Auditing Standards generally accepted in India which include test checks and the concept of materiality. No non-compliance was revealed during such audit procedures except referred to in  Annexure-5</t>
  </si>
  <si>
    <t xml:space="preserve"> As per Annexure-6</t>
  </si>
  <si>
    <t>No of shares (Current year)</t>
  </si>
  <si>
    <t>Paid up Shrare Capital</t>
  </si>
  <si>
    <t>Capital Surplus/Security Premium</t>
  </si>
  <si>
    <t>Upto 
31/3/2011</t>
  </si>
  <si>
    <t>W.D.V. As On
 31/03/2012</t>
  </si>
  <si>
    <t>W.D.V. As On
31/03/2011</t>
  </si>
  <si>
    <t>Opening Balance As at
 01/04/2011</t>
  </si>
  <si>
    <t>Deductions/Adjustments</t>
  </si>
  <si>
    <t>As at 
31/3/2012</t>
  </si>
  <si>
    <t>Penalties &amp; Interest</t>
  </si>
  <si>
    <t>Increase in Inventories of FG/WIP/Stock-in-trade</t>
  </si>
  <si>
    <t>Decrease in Inventories of FG/WIP/Stock-in-trade</t>
  </si>
  <si>
    <t xml:space="preserve">              Penalty/Interest not allowable </t>
  </si>
  <si>
    <t xml:space="preserve">              Income Tax exp</t>
  </si>
  <si>
    <t>Income from House Property</t>
  </si>
  <si>
    <t>ANNEXURES</t>
  </si>
  <si>
    <t>CAPITAL WORK-IN PROGRESS</t>
  </si>
  <si>
    <t>INTANGIBLE ASSETS UNDER DEVELOPMENT</t>
  </si>
  <si>
    <t>Difference in Trial Balance</t>
  </si>
  <si>
    <t>SHORT TERM BORROWINGS</t>
  </si>
  <si>
    <t>OTHER CURRENT LIABILITIES</t>
  </si>
  <si>
    <t>LONG TERM LOANS &amp; ADVANCES</t>
  </si>
  <si>
    <t>TRADE RECEIVABLES</t>
  </si>
  <si>
    <t>CASH &amp; CASH EQUIVALENTS</t>
  </si>
  <si>
    <t>Cash Flow Statement Applicable</t>
  </si>
  <si>
    <t xml:space="preserve">AS3 applies to the enterprises:
1) Having turnover more than Rs. 50 Crores(excluding other income) in a financial year;
2) having borrowings, including public deposits, in excess of Rs. 10 crore at any time during
the accounting period ,
3) Listed companies;
Cash flow statement of listed companies shall be presented only under the indirect method as prescribed in AS 3
</t>
  </si>
  <si>
    <t>Sheet No</t>
  </si>
  <si>
    <t>Furniture &amp; fittings</t>
  </si>
  <si>
    <t>Plant and Machinery (Rate 60%)</t>
  </si>
  <si>
    <t>Plant and Machinery (Rate 15%)</t>
  </si>
  <si>
    <t>GROSS TOTAL</t>
  </si>
  <si>
    <t>MORE THAN</t>
  </si>
  <si>
    <t>180 DAYS</t>
  </si>
  <si>
    <t>LESS THAN</t>
  </si>
  <si>
    <t>Car -hyundai</t>
  </si>
  <si>
    <t>Factory Building</t>
  </si>
  <si>
    <t>07/04/2011</t>
  </si>
  <si>
    <t>08/06/2011</t>
  </si>
  <si>
    <t>28/03/2012</t>
  </si>
  <si>
    <t>30/04/2011</t>
  </si>
  <si>
    <t>15/04/2011</t>
  </si>
  <si>
    <t>24/01/2012</t>
  </si>
  <si>
    <t>23/03/2012</t>
  </si>
  <si>
    <t>Fire System</t>
  </si>
  <si>
    <t>Sunil Kumar malik</t>
  </si>
  <si>
    <t>Puja Malik</t>
  </si>
  <si>
    <t>CORPORATE INFORMATION</t>
  </si>
  <si>
    <t>SIGNIFICANT ACCOUNTING POLICIES</t>
  </si>
  <si>
    <t xml:space="preserve">      iv) Employee benefits</t>
  </si>
  <si>
    <t xml:space="preserve"> The Revised Schedule VI has become effective from 1 April, 2011 for the preparation of financial statements.  This has significantly impacted the disclosure and presentation made in the financial statements.  Previous year's figures have been regrouped / reclassified wherever necessary to correspond with the current year's classification / disclosure.</t>
  </si>
  <si>
    <t>PREVIOUS YEAR'S FIGURES</t>
  </si>
  <si>
    <t xml:space="preserve"> Give a brief note on the business activity / operations of the Company and its place(s) of business.</t>
  </si>
  <si>
    <t>Depreciation for year</t>
  </si>
  <si>
    <t>If you have difference format, copy on white area and provide the figures of Net Block &amp; Depreciation</t>
  </si>
  <si>
    <t>for the year on right hand side</t>
  </si>
  <si>
    <t>(Amount in Rs.)</t>
  </si>
  <si>
    <t xml:space="preserve">Figures as at end of the current reporting period </t>
  </si>
  <si>
    <t xml:space="preserve">Figures as at end of the previous reporting period </t>
  </si>
  <si>
    <t>A. Cash flow from operating activities</t>
  </si>
  <si>
    <t>Net Profit / (Loss) before extraordinary items and tax</t>
  </si>
  <si>
    <t>Adjustments for:</t>
  </si>
  <si>
    <t>Depreciation and amortisation</t>
  </si>
  <si>
    <t>Amortisation of share issue expenses and discount on shares</t>
  </si>
  <si>
    <t>(Profit) / loss on sale / write off of assets</t>
  </si>
  <si>
    <t>Finance costs</t>
  </si>
  <si>
    <t>Interest income</t>
  </si>
  <si>
    <t>Dividend income</t>
  </si>
  <si>
    <t>Net (gain) / loss on sale of investments</t>
  </si>
  <si>
    <t xml:space="preserve">Net unrealised exchange (gain) / loss </t>
  </si>
  <si>
    <t>Operating profit / (loss) before working capital changes</t>
  </si>
  <si>
    <t>Changes in working capital:</t>
  </si>
  <si>
    <t>Adjustments for (increase) / decrease in operating assets:</t>
  </si>
  <si>
    <t>Trade receivables</t>
  </si>
  <si>
    <t>Short-term loans and advances</t>
  </si>
  <si>
    <t>Other current assets</t>
  </si>
  <si>
    <t>Other non-current assets</t>
  </si>
  <si>
    <t>Adjustments for increase / (decrease) in operating liabilities:</t>
  </si>
  <si>
    <t>Trade payables</t>
  </si>
  <si>
    <t>Other current liabilities</t>
  </si>
  <si>
    <t>Other long-term liabilities</t>
  </si>
  <si>
    <t>Short-term provisions</t>
  </si>
  <si>
    <t>Long-term provisions</t>
  </si>
  <si>
    <t>Cash flow from extraordinary items</t>
  </si>
  <si>
    <t>Cash generated from operations</t>
  </si>
  <si>
    <t>Net income tax (paid) / refunds</t>
  </si>
  <si>
    <t>Net cash flow from / (used in) operating activities (A)</t>
  </si>
  <si>
    <t>B. Cash flow from investing activities</t>
  </si>
  <si>
    <t xml:space="preserve">Capital expenditure on fixed assets, including capital advances </t>
  </si>
  <si>
    <t>Proceeds from sale of fixed assets</t>
  </si>
  <si>
    <t>Purchase of long-term investments (Subsidiaries)</t>
  </si>
  <si>
    <t xml:space="preserve">Sales (Purchase) of other investments </t>
  </si>
  <si>
    <t>Long-term loans and advances</t>
  </si>
  <si>
    <t xml:space="preserve">Loans &amp; advances given to Subsidiaries </t>
  </si>
  <si>
    <t>Dividend received</t>
  </si>
  <si>
    <t>Net cash flow from / (used in) investing activities (B)</t>
  </si>
  <si>
    <t>C. Cash flow from financing activities</t>
  </si>
  <si>
    <t>Proceeds from issue of equity shares</t>
  </si>
  <si>
    <t>Security Premium from issue of equity shares</t>
  </si>
  <si>
    <t>Proceeds from issue of preference shares</t>
  </si>
  <si>
    <t>Proceeds from long-term borrowings</t>
  </si>
  <si>
    <t>Repayment of long-term borrowings</t>
  </si>
  <si>
    <t>Net increase / (decrease) in working capital borrowings</t>
  </si>
  <si>
    <t>Proceeds from other short-term borrowings</t>
  </si>
  <si>
    <t>Repayment of other short-term borrowings</t>
  </si>
  <si>
    <t xml:space="preserve">Share issue expenses </t>
  </si>
  <si>
    <t>Finance cost</t>
  </si>
  <si>
    <t>Net cash flow from / (used in) financing activities (C)</t>
  </si>
  <si>
    <t>Net increase / (decrease) in Cash and cash equivalents (A+B+C)</t>
  </si>
  <si>
    <t>Cash and cash equivalents at the beginning of the year</t>
  </si>
  <si>
    <t>Effect of exchange differences on restatement of foreign currency Cash and cash equivalents</t>
  </si>
  <si>
    <t>Cash and cash equivalents at the end of the year</t>
  </si>
  <si>
    <t>Reconciliation of Cash and cash equivalents with the Balance Sheet:</t>
  </si>
  <si>
    <t xml:space="preserve">Cash and cash equivalents as per Balance Sheet </t>
  </si>
  <si>
    <t>(a) Cash on hand</t>
  </si>
  <si>
    <t>(b) Balances with banks</t>
  </si>
  <si>
    <t>(i) In current accounts</t>
  </si>
  <si>
    <t>(ii) In EEFC accounts</t>
  </si>
  <si>
    <t xml:space="preserve">(iii) In Fixed deposit accounts </t>
  </si>
  <si>
    <t>(c ) Interest accrued on deposits</t>
  </si>
  <si>
    <t xml:space="preserve">(d) Current investments considered as part of cash &amp; cash equivalents </t>
  </si>
  <si>
    <t>See accompanying notes forming part of the financial statements</t>
  </si>
  <si>
    <t>AS3 applies to the enterprises:</t>
  </si>
  <si>
    <t>1) Having turnover more than Rs. 50 Crores(excluding other income) in a financial year;</t>
  </si>
  <si>
    <t>2) having borrowings, including public deposits, in excess of Rs. 10 crore at any time during</t>
  </si>
  <si>
    <t>the accounting period ,</t>
  </si>
  <si>
    <t>3) Listed companies;</t>
  </si>
  <si>
    <t>Cash flow statement of listed companies shall be presented only under the indirect method as prescribed in AS 3</t>
  </si>
  <si>
    <t>Closing</t>
  </si>
  <si>
    <t>Days</t>
  </si>
  <si>
    <t>Payment of Taxes/Balance With Revenue Authorities</t>
  </si>
  <si>
    <t>Whether loan taken from parties covered u/s 301 of the Companies Act</t>
  </si>
  <si>
    <t>3. Items marked red are disallowed for Income Tax Purpose</t>
  </si>
  <si>
    <t xml:space="preserve">8. We are National Distributor of CCH Prosystem - a Wolters Kluwers Business having operations in 40 countries, employing more than 19000 employees. CCH Revised Schedule VI Software is availabe @ Rs.4500/- with facility to import from tally or excel for unlimited cos, eXBRL Software @ Rs.2000/- per Company for CAs/CSs/CWAs </t>
  </si>
  <si>
    <t>2. For next year balance sheet,  just copy coloumn B and coloumn C and paste in coloumn D and coloumn E using " Past Special Value command of excel, previous year figures will be filled in next year financial statements</t>
  </si>
  <si>
    <t>5. Do not make any changes in this sheet TB except filling values, if you want to enter details , please enter in TB_ANNX and corresponding total in sheet TB and colour  the cell grey for containing formula</t>
  </si>
  <si>
    <t>6.  None of  Sheets has been protected, and all the formulas are visible (We have not hidden  any formulas) , so that you can edit according to your requirement.</t>
  </si>
  <si>
    <t xml:space="preserve">7. The Price for Revised Schedule VI Excel Template with Automatic formulas is Rs.750/-+ Service Tax, If you are satisfied and you find it useful, you can deposite the amount in Protech Online Softwares India Pvt Ltd (A/c 629705014447 ICICI Bank, Mayur Vihar Branch, IFSC Code ICIC0006297). </t>
  </si>
  <si>
    <t>8. This Revised Schdeule VI Template is free if you purchase or already have purchased minimum 10 DSC form Koteshwar Marketing Pvt Ltd (www.koteshwar.co.in)</t>
  </si>
  <si>
    <t>If you are satisfied, you are requested to forward this template to your professional friends so they may also benefit, Rs. 750/- is meagre amount, but it saves a lot of time for professionals and their associates and we hope that professionals would be willing to pay and save time.</t>
  </si>
  <si>
    <t>9. We can customise this Revised Schedule VI template according to your requirement which will be chargeable depending on your requirement. Errors or common changes will be done  free of charge.</t>
  </si>
  <si>
    <t>1. Fill sheets "master,TB and TB_ANNX ", thus  Balance Shett &amp; Profit &amp; Loss Account and all sheets containing notes will be Completed. Do not enter value in grey cells since grey cells contain formula. The sheet also contains Form 3CD and Annual Return with automatic formulas.</t>
  </si>
  <si>
    <t>TRIAL BALANCE</t>
  </si>
  <si>
    <t>Other Deductions</t>
  </si>
  <si>
    <t xml:space="preserve">Misc Expenditure to the extent not written off </t>
  </si>
  <si>
    <t>10. Do not put minus sign where "Less" is mentioned, just fill the amount.</t>
  </si>
  <si>
    <t>Less : Other Deductions(Preliminary Expd/Misc Expd not w/off etc)</t>
  </si>
  <si>
    <t>NON-CURRENT INVESTMENTS</t>
  </si>
  <si>
    <t>Non-Trade Investments</t>
  </si>
  <si>
    <t>Less : Other Deductions(Misc/Preliminary Expd not w/off)</t>
  </si>
  <si>
    <t>Other Additions</t>
  </si>
  <si>
    <t>Open Balance Preliminary Expenditure</t>
  </si>
  <si>
    <t>If you have difference format, copy on white area and provide the figures of  Depreciation</t>
  </si>
  <si>
    <t>Depreciation</t>
  </si>
  <si>
    <t>In case of addition in fixed assets, please  fill details of addion in Sheet "FA"</t>
  </si>
  <si>
    <t>Sheet FA</t>
  </si>
  <si>
    <t>TDS</t>
  </si>
  <si>
    <t>SUNIL KUMAR MALIK</t>
  </si>
  <si>
    <t>ATUL SAREEN</t>
  </si>
  <si>
    <t>Others (Less than 6 montsh)</t>
  </si>
  <si>
    <t>31.  PROVISION FOR TAXATION (Debited in Profit &amp; Loss A/c)</t>
  </si>
  <si>
    <t>Loss from share/Currency Trading (Normal Business not speculation)</t>
  </si>
  <si>
    <t>Loss from share/Commodity  Trading (Speculation)</t>
  </si>
  <si>
    <t>Profit from share/Currency Trading (Normal Business not speculation)</t>
  </si>
  <si>
    <t>Profit from share/Commodity  Trading (Speculation)</t>
  </si>
  <si>
    <t>, Prop.)</t>
  </si>
  <si>
    <t xml:space="preserve">              Loss from Speculation Business</t>
  </si>
  <si>
    <t xml:space="preserve">              Loss on Sale of Assets</t>
  </si>
  <si>
    <t>17/06/2005</t>
  </si>
  <si>
    <t>Car Hundai Santro</t>
  </si>
  <si>
    <t>Car Hundai Verna</t>
  </si>
  <si>
    <t>Car Toyota Liva</t>
  </si>
  <si>
    <t>29/8/11</t>
  </si>
  <si>
    <t>Shhet 11</t>
  </si>
  <si>
    <t>Sheet Depit</t>
  </si>
  <si>
    <t>Auditors remun payable</t>
  </si>
  <si>
    <t>Salary/Wages  payable</t>
  </si>
  <si>
    <t>TDS By us</t>
  </si>
  <si>
    <t>ICD- Adroit Reality Pvt Ltd</t>
  </si>
  <si>
    <t>Prepaid insurance</t>
  </si>
  <si>
    <t>amout w/off</t>
  </si>
  <si>
    <t>LAND</t>
  </si>
  <si>
    <t>Aditya</t>
  </si>
  <si>
    <t>Kaushambi</t>
  </si>
  <si>
    <t>Flan No - 1B101</t>
  </si>
  <si>
    <t>Computers</t>
  </si>
  <si>
    <t>Computer Softwares</t>
  </si>
  <si>
    <t>Motor Car</t>
  </si>
  <si>
    <t>Land</t>
  </si>
  <si>
    <t>COMPUTER SOFTWARE</t>
  </si>
  <si>
    <t>C</t>
  </si>
  <si>
    <t xml:space="preserve">A </t>
  </si>
  <si>
    <t xml:space="preserve">D </t>
  </si>
  <si>
    <t xml:space="preserve">E </t>
  </si>
  <si>
    <t>expenses payable</t>
  </si>
  <si>
    <t>fs</t>
  </si>
  <si>
    <t>fas</t>
  </si>
  <si>
    <t>fasf</t>
  </si>
  <si>
    <t>af</t>
  </si>
  <si>
    <t>fa</t>
  </si>
  <si>
    <t>4. Note no is filled automatically. Do not print the sheet on which note number is not appearing and you can hide that sheet after finalisation</t>
  </si>
  <si>
    <t>10. Please do not change or delete this sheet</t>
  </si>
  <si>
    <t>ABC LTD</t>
  </si>
  <si>
    <t xml:space="preserve">18 Satteleite, </t>
  </si>
  <si>
    <t>Ahmedabad</t>
  </si>
  <si>
    <t>Gujrat</t>
  </si>
  <si>
    <t>Tarun Kumar</t>
  </si>
  <si>
    <t>Subhash Gupta</t>
  </si>
  <si>
    <t>ABC &amp; CO</t>
  </si>
  <si>
    <t>18, Satellite,</t>
  </si>
  <si>
    <t>Ahmedabad-380015</t>
  </si>
  <si>
    <t>TEL: 079-43124312, 9899999999</t>
  </si>
  <si>
    <t>99999</t>
  </si>
  <si>
    <t>443243243243243432</t>
  </si>
  <si>
    <t>Registration No/CIN</t>
  </si>
</sst>
</file>

<file path=xl/styles.xml><?xml version="1.0" encoding="utf-8"?>
<styleSheet xmlns="http://schemas.openxmlformats.org/spreadsheetml/2006/main">
  <numFmts count="14">
    <numFmt numFmtId="43" formatCode="_(* #,##0.00_);_(* \(#,##0.00\);_(* &quot;-&quot;??_);_(@_)"/>
    <numFmt numFmtId="164" formatCode="_(* #,##0_);_(* \(#,##0\);_(* &quot;-&quot;??_);_(@_)"/>
    <numFmt numFmtId="165" formatCode="_-* #,##0.00_-;\-* #,##0.00_-;_-* &quot;-&quot;??_-;_-@_-"/>
    <numFmt numFmtId="166" formatCode="_-* #,##0.00\ [$€-1]_-;\-* #,##0.00\ [$€-1]_-;_-* &quot;-&quot;??\ [$€-1]_-"/>
    <numFmt numFmtId="167" formatCode="#,##0\ &quot;F&quot;;[Red]\-#,##0\ &quot;F&quot;"/>
    <numFmt numFmtId="168" formatCode="#,##0.00\ &quot;F&quot;;[Red]\-#,##0.00\ &quot;F&quot;"/>
    <numFmt numFmtId="169" formatCode="0.00_)"/>
    <numFmt numFmtId="170" formatCode="[$-409]d\-mmm\-yy;@"/>
    <numFmt numFmtId="171" formatCode="_-* #,##0_-;\-* #,##0_-;_-* &quot;-&quot;??_-;_-@_-"/>
    <numFmt numFmtId="172" formatCode="_(* #,##0.0_);_(* \(#,##0.0\);_(* &quot;-&quot;??_);_(@_)"/>
    <numFmt numFmtId="173" formatCode="_ * #,##0.00_ ;_ * \-#,##0.00_ ;_ * &quot;-&quot;??_ ;_ @_ "/>
    <numFmt numFmtId="174" formatCode="_ * #,##0_ ;_ * \-#,##0_ ;_ * &quot;-&quot;??_ ;_ @_ "/>
    <numFmt numFmtId="175" formatCode="_(* #,##0.000000_);_(* \(#,##0.000000\);_(* &quot;-&quot;??_);_(@_)"/>
    <numFmt numFmtId="176" formatCode="_ * #,##0.00_)\ _$_ ;_ * \(#,##0.00\)\ _$_ ;_ * &quot;-&quot;??_)\ _$_ ;_ @_ "/>
  </numFmts>
  <fonts count="100">
    <font>
      <sz val="11"/>
      <color theme="1"/>
      <name val="Calibri"/>
      <family val="2"/>
      <scheme val="minor"/>
    </font>
    <font>
      <sz val="12"/>
      <name val="Garamond"/>
      <family val="1"/>
    </font>
    <font>
      <b/>
      <sz val="12"/>
      <name val="Garamond"/>
      <family val="1"/>
    </font>
    <font>
      <sz val="11"/>
      <name val="Garamond"/>
      <family val="1"/>
    </font>
    <font>
      <sz val="11"/>
      <name val="Calibri"/>
      <family val="2"/>
    </font>
    <font>
      <sz val="10"/>
      <name val="Arial"/>
      <family val="2"/>
    </font>
    <font>
      <sz val="10"/>
      <name val="Arial"/>
      <family val="2"/>
    </font>
    <font>
      <b/>
      <sz val="10"/>
      <name val="Arial"/>
      <family val="2"/>
    </font>
    <font>
      <sz val="8"/>
      <name val="Arial"/>
      <family val="2"/>
    </font>
    <font>
      <b/>
      <sz val="8"/>
      <color indexed="81"/>
      <name val="Tahoma"/>
      <family val="2"/>
    </font>
    <font>
      <sz val="8"/>
      <color indexed="81"/>
      <name val="Tahoma"/>
      <family val="2"/>
    </font>
    <font>
      <sz val="9"/>
      <name val="Arial"/>
      <family val="2"/>
    </font>
    <font>
      <sz val="12"/>
      <name val="Helv"/>
    </font>
    <font>
      <b/>
      <sz val="14"/>
      <name val="Helv"/>
    </font>
    <font>
      <sz val="10"/>
      <name val="Geneva"/>
    </font>
    <font>
      <sz val="24"/>
      <color indexed="13"/>
      <name val="Helv"/>
    </font>
    <font>
      <sz val="11"/>
      <name val="Arial"/>
      <family val="2"/>
    </font>
    <font>
      <sz val="10"/>
      <color indexed="10"/>
      <name val="Arial"/>
      <family val="2"/>
    </font>
    <font>
      <b/>
      <sz val="14"/>
      <name val="Arial"/>
      <family val="2"/>
    </font>
    <font>
      <b/>
      <u/>
      <sz val="10"/>
      <name val="Arial"/>
      <family val="2"/>
    </font>
    <font>
      <u/>
      <sz val="10"/>
      <color indexed="12"/>
      <name val="Arial"/>
      <family val="2"/>
    </font>
    <font>
      <b/>
      <sz val="8"/>
      <name val="Arial"/>
      <family val="2"/>
    </font>
    <font>
      <b/>
      <u/>
      <sz val="8"/>
      <name val="Arial"/>
      <family val="2"/>
    </font>
    <font>
      <b/>
      <sz val="9"/>
      <name val="Arial"/>
      <family val="2"/>
    </font>
    <font>
      <sz val="18"/>
      <name val="Arial"/>
      <family val="2"/>
    </font>
    <font>
      <sz val="12"/>
      <name val="Arial"/>
      <family val="2"/>
    </font>
    <font>
      <sz val="11"/>
      <name val="Times New Roman"/>
      <family val="1"/>
    </font>
    <font>
      <b/>
      <sz val="11"/>
      <name val="Times New Roman"/>
      <family val="1"/>
    </font>
    <font>
      <i/>
      <sz val="11"/>
      <name val="Times New Roman"/>
      <family val="1"/>
    </font>
    <font>
      <b/>
      <sz val="20"/>
      <name val="Arial"/>
      <family val="2"/>
    </font>
    <font>
      <b/>
      <sz val="18"/>
      <name val="Arial"/>
      <family val="2"/>
    </font>
    <font>
      <sz val="12"/>
      <name val="Comic Sans MS"/>
      <family val="4"/>
    </font>
    <font>
      <b/>
      <sz val="18"/>
      <name val="Franklin Gothic Medium"/>
      <family val="2"/>
    </font>
    <font>
      <b/>
      <sz val="10"/>
      <name val="Times New Roman"/>
      <family val="1"/>
    </font>
    <font>
      <b/>
      <u/>
      <sz val="12"/>
      <name val="Arial"/>
      <family val="2"/>
    </font>
    <font>
      <b/>
      <u/>
      <sz val="11"/>
      <name val="Times New Roman"/>
      <family val="1"/>
    </font>
    <font>
      <b/>
      <sz val="11"/>
      <name val="Arial"/>
      <family val="2"/>
    </font>
    <font>
      <b/>
      <sz val="12"/>
      <name val="Arial"/>
      <family val="2"/>
    </font>
    <font>
      <b/>
      <sz val="12"/>
      <name val="Times New Roman"/>
      <family val="1"/>
    </font>
    <font>
      <sz val="12"/>
      <name val="Times New Roman"/>
      <family val="1"/>
    </font>
    <font>
      <u/>
      <sz val="12"/>
      <name val="Times New Roman"/>
      <family val="1"/>
    </font>
    <font>
      <b/>
      <i/>
      <sz val="11"/>
      <name val="Arial"/>
      <family val="2"/>
    </font>
    <font>
      <sz val="11"/>
      <color indexed="60"/>
      <name val="Arial"/>
      <family val="2"/>
    </font>
    <font>
      <sz val="18"/>
      <color indexed="60"/>
      <name val="Arial"/>
      <family val="2"/>
    </font>
    <font>
      <b/>
      <i/>
      <sz val="16"/>
      <name val="Helv"/>
    </font>
    <font>
      <u/>
      <sz val="11"/>
      <name val="Times New Roman"/>
      <family val="1"/>
    </font>
    <font>
      <sz val="10"/>
      <name val="Verdana"/>
      <family val="2"/>
    </font>
    <font>
      <sz val="10"/>
      <name val="Times New Roman"/>
      <family val="1"/>
    </font>
    <font>
      <b/>
      <u/>
      <sz val="16"/>
      <name val="Times New Roman"/>
      <family val="1"/>
    </font>
    <font>
      <sz val="12"/>
      <name val="Arial"/>
      <family val="2"/>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sz val="12"/>
      <color theme="1"/>
      <name val="Calibri"/>
      <family val="2"/>
      <scheme val="minor"/>
    </font>
    <font>
      <sz val="10"/>
      <name val="Calibri"/>
      <family val="2"/>
      <scheme val="minor"/>
    </font>
    <font>
      <b/>
      <sz val="14"/>
      <color theme="1"/>
      <name val="Calibri"/>
      <family val="2"/>
      <scheme val="minor"/>
    </font>
    <font>
      <b/>
      <i/>
      <u/>
      <sz val="14"/>
      <color theme="1"/>
      <name val="Calibri"/>
      <family val="2"/>
      <scheme val="minor"/>
    </font>
    <font>
      <sz val="11"/>
      <name val="Calibri"/>
      <family val="2"/>
      <scheme val="minor"/>
    </font>
    <font>
      <b/>
      <sz val="11"/>
      <color theme="1"/>
      <name val="Calibri"/>
      <family val="2"/>
    </font>
    <font>
      <b/>
      <sz val="11"/>
      <color theme="0" tint="-0.499984740745262"/>
      <name val="Calibri"/>
      <family val="2"/>
      <scheme val="minor"/>
    </font>
    <font>
      <sz val="11"/>
      <color theme="0" tint="-0.499984740745262"/>
      <name val="Calibri"/>
      <family val="2"/>
      <scheme val="minor"/>
    </font>
    <font>
      <b/>
      <u/>
      <sz val="12"/>
      <color theme="1"/>
      <name val="Calibri"/>
      <family val="2"/>
      <scheme val="minor"/>
    </font>
    <font>
      <u/>
      <sz val="12"/>
      <color theme="1"/>
      <name val="Calibri"/>
      <family val="2"/>
      <scheme val="minor"/>
    </font>
    <font>
      <b/>
      <sz val="10"/>
      <color theme="0"/>
      <name val="Calibri"/>
      <family val="2"/>
      <scheme val="minor"/>
    </font>
    <font>
      <sz val="11"/>
      <color indexed="8"/>
      <name val="Calibri"/>
      <family val="2"/>
      <scheme val="minor"/>
    </font>
    <font>
      <b/>
      <sz val="11"/>
      <name val="Calibri"/>
      <family val="2"/>
      <scheme val="minor"/>
    </font>
    <font>
      <b/>
      <sz val="10"/>
      <name val="Calibri"/>
      <family val="2"/>
      <scheme val="minor"/>
    </font>
    <font>
      <sz val="10"/>
      <color rgb="FFFF0000"/>
      <name val="Calibri"/>
      <family val="2"/>
      <scheme val="minor"/>
    </font>
    <font>
      <b/>
      <sz val="11"/>
      <color theme="0"/>
      <name val="Calibri"/>
      <family val="2"/>
      <scheme val="minor"/>
    </font>
    <font>
      <b/>
      <u/>
      <sz val="10"/>
      <color theme="0"/>
      <name val="Arial"/>
      <family val="2"/>
    </font>
    <font>
      <sz val="18"/>
      <name val="Book Antiqua"/>
      <family val="1"/>
    </font>
    <font>
      <sz val="10"/>
      <name val="Book Antiqua"/>
      <family val="1"/>
    </font>
    <font>
      <b/>
      <sz val="10"/>
      <name val="Book Antiqua"/>
      <family val="1"/>
    </font>
    <font>
      <sz val="14"/>
      <name val="Book Antiqua"/>
      <family val="1"/>
    </font>
    <font>
      <b/>
      <sz val="10"/>
      <color theme="1"/>
      <name val="Book Antiqua"/>
      <family val="1"/>
    </font>
    <font>
      <sz val="10"/>
      <color theme="1"/>
      <name val="Book Antiqua"/>
      <family val="1"/>
    </font>
    <font>
      <b/>
      <i/>
      <u/>
      <sz val="10"/>
      <color theme="1"/>
      <name val="Book Antiqua"/>
      <family val="1"/>
    </font>
    <font>
      <b/>
      <i/>
      <sz val="10"/>
      <color theme="1"/>
      <name val="Book Antiqua"/>
      <family val="1"/>
    </font>
    <font>
      <sz val="10"/>
      <color indexed="8"/>
      <name val="Book Antiqua"/>
      <family val="1"/>
    </font>
    <font>
      <u/>
      <sz val="11"/>
      <color theme="10"/>
      <name val="Calibri"/>
      <family val="2"/>
    </font>
    <font>
      <sz val="10"/>
      <color indexed="8"/>
      <name val="Arial"/>
      <family val="2"/>
    </font>
    <font>
      <b/>
      <sz val="10"/>
      <color theme="0"/>
      <name val="Book Antiqua"/>
      <family val="1"/>
    </font>
    <font>
      <sz val="10"/>
      <color theme="0"/>
      <name val="Arial"/>
      <family val="2"/>
    </font>
    <font>
      <b/>
      <sz val="12"/>
      <color theme="0"/>
      <name val="Times New Roman"/>
      <family val="1"/>
    </font>
    <font>
      <b/>
      <sz val="12"/>
      <color theme="0"/>
      <name val="Arial"/>
      <family val="2"/>
    </font>
    <font>
      <u/>
      <sz val="12"/>
      <color indexed="12"/>
      <name val="Arial"/>
      <family val="2"/>
    </font>
    <font>
      <sz val="12"/>
      <color theme="1"/>
      <name val="Arial"/>
      <family val="2"/>
    </font>
    <font>
      <sz val="12"/>
      <color rgb="FFFF0000"/>
      <name val="Arial"/>
      <family val="2"/>
    </font>
    <font>
      <sz val="11"/>
      <color theme="0"/>
      <name val="Calibri"/>
      <family val="2"/>
      <scheme val="minor"/>
    </font>
    <font>
      <sz val="8"/>
      <color indexed="12"/>
      <name val="MS Sans Serif"/>
      <family val="2"/>
    </font>
    <font>
      <sz val="8"/>
      <color indexed="8"/>
      <name val="MS Sans Serif"/>
      <family val="2"/>
    </font>
    <font>
      <sz val="8"/>
      <color theme="0"/>
      <name val="Arial"/>
      <family val="2"/>
    </font>
    <font>
      <b/>
      <sz val="8"/>
      <color theme="0"/>
      <name val="Arial"/>
      <family val="2"/>
    </font>
    <font>
      <b/>
      <sz val="11"/>
      <color theme="0"/>
      <name val="Arial"/>
      <family val="2"/>
    </font>
    <font>
      <sz val="11"/>
      <color theme="0"/>
      <name val="Arial"/>
      <family val="2"/>
    </font>
    <font>
      <b/>
      <sz val="24"/>
      <color theme="0"/>
      <name val="Calibri"/>
      <family val="2"/>
      <scheme val="minor"/>
    </font>
    <font>
      <sz val="10"/>
      <name val="Arial"/>
    </font>
    <font>
      <sz val="8"/>
      <color rgb="FFFF0000"/>
      <name val="MS Sans Serif"/>
      <family val="2"/>
    </font>
  </fonts>
  <fills count="14">
    <fill>
      <patternFill patternType="none"/>
    </fill>
    <fill>
      <patternFill patternType="gray125"/>
    </fill>
    <fill>
      <patternFill patternType="solid">
        <fgColor indexed="13"/>
      </patternFill>
    </fill>
    <fill>
      <patternFill patternType="solid">
        <fgColor indexed="12"/>
      </patternFill>
    </fill>
    <fill>
      <patternFill patternType="solid">
        <fgColor indexed="22"/>
        <bgColor indexed="64"/>
      </patternFill>
    </fill>
    <fill>
      <patternFill patternType="solid">
        <fgColor indexed="9"/>
        <bgColor indexed="64"/>
      </patternFill>
    </fill>
    <fill>
      <patternFill patternType="solid">
        <fgColor indexed="51"/>
        <bgColor indexed="64"/>
      </patternFill>
    </fill>
    <fill>
      <patternFill patternType="solid">
        <fgColor indexed="13"/>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s>
  <borders count="7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double">
        <color indexed="8"/>
      </top>
      <bottom style="thin">
        <color indexed="8"/>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13"/>
      </left>
      <right style="thin">
        <color indexed="12"/>
      </right>
      <top style="thin">
        <color indexed="13"/>
      </top>
      <bottom style="thin">
        <color indexed="13"/>
      </bottom>
      <diagonal/>
    </border>
  </borders>
  <cellStyleXfs count="38">
    <xf numFmtId="0" fontId="0" fillId="0" borderId="0"/>
    <xf numFmtId="43" fontId="50"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165" fontId="6" fillId="0" borderId="0" applyFont="0" applyFill="0" applyBorder="0" applyAlignment="0" applyProtection="0"/>
    <xf numFmtId="0" fontId="12" fillId="0" borderId="0"/>
    <xf numFmtId="0" fontId="12" fillId="0" borderId="1"/>
    <xf numFmtId="166" fontId="5" fillId="0" borderId="0" applyFont="0" applyFill="0" applyBorder="0" applyAlignment="0" applyProtection="0"/>
    <xf numFmtId="0" fontId="20" fillId="0" borderId="0" applyNumberFormat="0" applyFill="0" applyBorder="0" applyAlignment="0" applyProtection="0">
      <alignment vertical="top"/>
      <protection locked="0"/>
    </xf>
    <xf numFmtId="0" fontId="13" fillId="2" borderId="1"/>
    <xf numFmtId="38" fontId="14" fillId="0" borderId="0" applyFont="0" applyFill="0" applyBorder="0" applyAlignment="0" applyProtection="0"/>
    <xf numFmtId="40" fontId="14" fillId="0" borderId="0" applyFont="0" applyFill="0" applyBorder="0" applyAlignment="0" applyProtection="0"/>
    <xf numFmtId="167" fontId="14" fillId="0" borderId="0" applyFont="0" applyFill="0" applyBorder="0" applyAlignment="0" applyProtection="0"/>
    <xf numFmtId="168" fontId="14" fillId="0" borderId="0" applyFont="0" applyFill="0" applyBorder="0" applyAlignment="0" applyProtection="0"/>
    <xf numFmtId="169" fontId="44" fillId="0" borderId="0"/>
    <xf numFmtId="0" fontId="5" fillId="0" borderId="0"/>
    <xf numFmtId="0" fontId="6" fillId="0" borderId="0"/>
    <xf numFmtId="0" fontId="11" fillId="0" borderId="0"/>
    <xf numFmtId="0" fontId="5" fillId="0" borderId="0"/>
    <xf numFmtId="9" fontId="6" fillId="0" borderId="0" applyFont="0" applyFill="0" applyBorder="0" applyAlignment="0" applyProtection="0"/>
    <xf numFmtId="9" fontId="5" fillId="0" borderId="0" applyFont="0" applyFill="0" applyBorder="0" applyAlignment="0" applyProtection="0"/>
    <xf numFmtId="0" fontId="12" fillId="0" borderId="0"/>
    <xf numFmtId="0" fontId="12" fillId="0" borderId="1"/>
    <xf numFmtId="0" fontId="15" fillId="3" borderId="0"/>
    <xf numFmtId="0" fontId="13" fillId="0" borderId="2"/>
    <xf numFmtId="0" fontId="13" fillId="0" borderId="1"/>
    <xf numFmtId="0" fontId="16" fillId="0" borderId="0"/>
    <xf numFmtId="0" fontId="6" fillId="0" borderId="0"/>
    <xf numFmtId="9" fontId="50" fillId="0" borderId="0" applyFont="0" applyFill="0" applyBorder="0" applyAlignment="0" applyProtection="0"/>
    <xf numFmtId="164" fontId="50"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0" fontId="81" fillId="0" borderId="0" applyNumberFormat="0" applyFill="0" applyBorder="0" applyAlignment="0" applyProtection="0">
      <alignment vertical="top"/>
      <protection locked="0"/>
    </xf>
    <xf numFmtId="0" fontId="5" fillId="0" borderId="0"/>
    <xf numFmtId="0" fontId="82" fillId="0" borderId="0">
      <alignment vertical="top"/>
    </xf>
    <xf numFmtId="0" fontId="91" fillId="0" borderId="0" applyNumberFormat="0" applyFill="0" applyBorder="0" applyAlignment="0" applyProtection="0"/>
  </cellStyleXfs>
  <cellXfs count="1102">
    <xf numFmtId="0" fontId="0" fillId="0" borderId="0" xfId="0"/>
    <xf numFmtId="0" fontId="52" fillId="0" borderId="0" xfId="0" applyFont="1"/>
    <xf numFmtId="0" fontId="52" fillId="0" borderId="0" xfId="0" applyFont="1" applyBorder="1"/>
    <xf numFmtId="0" fontId="53" fillId="0" borderId="0" xfId="0" applyFont="1" applyBorder="1" applyAlignment="1">
      <alignment horizontal="right"/>
    </xf>
    <xf numFmtId="0" fontId="52" fillId="0" borderId="0" xfId="0" applyFont="1" applyFill="1" applyBorder="1"/>
    <xf numFmtId="0" fontId="53" fillId="0" borderId="0" xfId="0" applyFont="1" applyFill="1" applyBorder="1"/>
    <xf numFmtId="0" fontId="53" fillId="0" borderId="0" xfId="0" applyFont="1" applyFill="1" applyBorder="1" applyAlignment="1">
      <alignment horizontal="center"/>
    </xf>
    <xf numFmtId="0" fontId="53" fillId="0" borderId="0" xfId="0" applyFont="1"/>
    <xf numFmtId="0" fontId="53" fillId="0" borderId="0" xfId="0" applyFont="1" applyBorder="1"/>
    <xf numFmtId="0" fontId="52" fillId="0" borderId="0" xfId="0" applyFont="1" applyFill="1"/>
    <xf numFmtId="0" fontId="53" fillId="0" borderId="0" xfId="0" applyFont="1" applyAlignment="1">
      <alignment horizontal="center"/>
    </xf>
    <xf numFmtId="0" fontId="52" fillId="0" borderId="0" xfId="0" applyFont="1" applyFill="1" applyAlignment="1">
      <alignment horizontal="right"/>
    </xf>
    <xf numFmtId="0" fontId="52" fillId="0" borderId="0" xfId="0" applyFont="1" applyFill="1" applyBorder="1" applyAlignment="1">
      <alignment horizontal="right"/>
    </xf>
    <xf numFmtId="0" fontId="52" fillId="0" borderId="3" xfId="0" applyFont="1" applyBorder="1"/>
    <xf numFmtId="0" fontId="53" fillId="0" borderId="3" xfId="0" applyFont="1" applyBorder="1" applyAlignment="1">
      <alignment horizontal="center"/>
    </xf>
    <xf numFmtId="0" fontId="53" fillId="0" borderId="4" xfId="0" applyFont="1" applyFill="1" applyBorder="1" applyAlignment="1">
      <alignment horizontal="right"/>
    </xf>
    <xf numFmtId="0" fontId="53" fillId="0" borderId="0" xfId="0" applyFont="1" applyBorder="1" applyAlignment="1">
      <alignment horizontal="center"/>
    </xf>
    <xf numFmtId="0" fontId="53" fillId="0" borderId="0" xfId="0" applyFont="1" applyFill="1" applyBorder="1" applyAlignment="1">
      <alignment horizontal="right"/>
    </xf>
    <xf numFmtId="0" fontId="53" fillId="0" borderId="3" xfId="0" applyFont="1" applyFill="1" applyBorder="1" applyAlignment="1">
      <alignment horizontal="right"/>
    </xf>
    <xf numFmtId="0" fontId="52" fillId="0" borderId="3" xfId="0" applyFont="1" applyFill="1" applyBorder="1" applyAlignment="1">
      <alignment horizontal="right"/>
    </xf>
    <xf numFmtId="0" fontId="53" fillId="0" borderId="5" xfId="0" applyFont="1" applyBorder="1"/>
    <xf numFmtId="0" fontId="53" fillId="0" borderId="5" xfId="0" applyFont="1" applyBorder="1" applyAlignment="1">
      <alignment horizontal="center"/>
    </xf>
    <xf numFmtId="0" fontId="53" fillId="0" borderId="5" xfId="0" applyFont="1" applyFill="1" applyBorder="1" applyAlignment="1">
      <alignment horizontal="right"/>
    </xf>
    <xf numFmtId="0" fontId="52" fillId="0" borderId="0" xfId="0" applyFont="1" applyAlignment="1">
      <alignment horizontal="left" indent="2"/>
    </xf>
    <xf numFmtId="0" fontId="53" fillId="0" borderId="0" xfId="0" applyFont="1" applyFill="1" applyAlignment="1">
      <alignment horizontal="right"/>
    </xf>
    <xf numFmtId="0" fontId="52" fillId="0" borderId="6" xfId="0" applyFont="1" applyBorder="1"/>
    <xf numFmtId="0" fontId="52" fillId="0" borderId="6" xfId="0" applyFont="1" applyBorder="1" applyAlignment="1">
      <alignment horizontal="center"/>
    </xf>
    <xf numFmtId="0" fontId="52" fillId="0" borderId="6" xfId="0" applyFont="1" applyFill="1" applyBorder="1"/>
    <xf numFmtId="0" fontId="53" fillId="0" borderId="0" xfId="0" applyFont="1" applyAlignment="1">
      <alignment horizontal="right"/>
    </xf>
    <xf numFmtId="0" fontId="53" fillId="0" borderId="0" xfId="0" applyFont="1" applyFill="1" applyBorder="1" applyAlignment="1">
      <alignment horizontal="center" wrapText="1"/>
    </xf>
    <xf numFmtId="0" fontId="53" fillId="0" borderId="6" xfId="0" applyFont="1" applyFill="1" applyBorder="1"/>
    <xf numFmtId="0" fontId="53" fillId="0" borderId="6" xfId="0" applyFont="1" applyFill="1" applyBorder="1" applyAlignment="1">
      <alignment horizontal="center"/>
    </xf>
    <xf numFmtId="0" fontId="53" fillId="0" borderId="4" xfId="0" applyFont="1" applyBorder="1"/>
    <xf numFmtId="0" fontId="53" fillId="0" borderId="4" xfId="0" applyFont="1" applyBorder="1" applyAlignment="1">
      <alignment horizontal="center"/>
    </xf>
    <xf numFmtId="0" fontId="52" fillId="0" borderId="4" xfId="0" applyFont="1" applyFill="1" applyBorder="1" applyAlignment="1">
      <alignment horizontal="right"/>
    </xf>
    <xf numFmtId="0" fontId="53" fillId="0" borderId="6" xfId="0" applyFont="1" applyBorder="1" applyAlignment="1">
      <alignment horizontal="center"/>
    </xf>
    <xf numFmtId="0" fontId="54" fillId="0" borderId="6" xfId="0" applyFont="1" applyBorder="1"/>
    <xf numFmtId="0" fontId="53" fillId="0" borderId="6" xfId="0" applyFont="1" applyFill="1" applyBorder="1" applyAlignment="1">
      <alignment horizontal="center"/>
    </xf>
    <xf numFmtId="0" fontId="53" fillId="0" borderId="6" xfId="0" applyFont="1" applyBorder="1" applyAlignment="1">
      <alignment horizontal="center"/>
    </xf>
    <xf numFmtId="0" fontId="52" fillId="0" borderId="0" xfId="0" applyFont="1" applyFill="1" applyAlignment="1">
      <alignment horizontal="right"/>
    </xf>
    <xf numFmtId="0" fontId="52" fillId="0" borderId="0" xfId="0" applyFont="1" applyAlignment="1">
      <alignment horizontal="left" indent="1"/>
    </xf>
    <xf numFmtId="0" fontId="53" fillId="0" borderId="4" xfId="0" applyFont="1" applyFill="1" applyBorder="1" applyAlignment="1">
      <alignment horizontal="right"/>
    </xf>
    <xf numFmtId="0" fontId="52" fillId="0" borderId="0" xfId="0" applyFont="1" applyAlignment="1">
      <alignment horizontal="right"/>
    </xf>
    <xf numFmtId="0" fontId="53" fillId="0" borderId="4" xfId="0" applyFont="1" applyBorder="1" applyAlignment="1">
      <alignment horizontal="right"/>
    </xf>
    <xf numFmtId="0" fontId="52" fillId="0" borderId="7" xfId="0" applyFont="1" applyBorder="1"/>
    <xf numFmtId="0" fontId="53" fillId="0" borderId="7" xfId="0" applyFont="1" applyBorder="1" applyAlignment="1">
      <alignment horizontal="right"/>
    </xf>
    <xf numFmtId="0" fontId="53" fillId="0" borderId="7" xfId="0" applyFont="1" applyFill="1" applyBorder="1" applyAlignment="1">
      <alignment horizontal="right"/>
    </xf>
    <xf numFmtId="0" fontId="1" fillId="0" borderId="0" xfId="0" applyFont="1" applyFill="1" applyBorder="1"/>
    <xf numFmtId="164" fontId="1" fillId="0" borderId="0" xfId="1" applyNumberFormat="1" applyFont="1" applyFill="1" applyBorder="1"/>
    <xf numFmtId="164" fontId="2" fillId="0" borderId="0" xfId="1" applyNumberFormat="1" applyFont="1" applyFill="1" applyBorder="1"/>
    <xf numFmtId="0" fontId="54" fillId="0" borderId="6" xfId="0" applyFont="1" applyBorder="1" applyAlignment="1">
      <alignment horizontal="left"/>
    </xf>
    <xf numFmtId="0" fontId="54" fillId="0" borderId="0" xfId="0" applyFont="1" applyBorder="1" applyAlignment="1">
      <alignment horizontal="left"/>
    </xf>
    <xf numFmtId="0" fontId="54" fillId="0" borderId="0" xfId="0" applyFont="1" applyBorder="1"/>
    <xf numFmtId="0" fontId="3" fillId="0" borderId="0" xfId="0" applyFont="1" applyFill="1" applyBorder="1"/>
    <xf numFmtId="164" fontId="3" fillId="0" borderId="0" xfId="1" applyNumberFormat="1" applyFont="1" applyFill="1" applyBorder="1"/>
    <xf numFmtId="0" fontId="55" fillId="0" borderId="0" xfId="0" applyFont="1" applyBorder="1"/>
    <xf numFmtId="0" fontId="0" fillId="0" borderId="0" xfId="0" applyFill="1"/>
    <xf numFmtId="0" fontId="0" fillId="0" borderId="0" xfId="0" applyFont="1"/>
    <xf numFmtId="0" fontId="54" fillId="0" borderId="0" xfId="0" applyFont="1"/>
    <xf numFmtId="0" fontId="52" fillId="0" borderId="4" xfId="0" applyFont="1" applyFill="1" applyBorder="1" applyAlignment="1">
      <alignment horizontal="right"/>
    </xf>
    <xf numFmtId="0" fontId="52" fillId="0" borderId="4" xfId="0" applyFont="1" applyBorder="1" applyAlignment="1">
      <alignment horizontal="right"/>
    </xf>
    <xf numFmtId="0" fontId="0" fillId="0" borderId="0" xfId="0" applyBorder="1"/>
    <xf numFmtId="0" fontId="0" fillId="0" borderId="0" xfId="0" applyFill="1" applyBorder="1"/>
    <xf numFmtId="0" fontId="52" fillId="0" borderId="4" xfId="0" applyFont="1" applyBorder="1" applyAlignment="1">
      <alignment horizontal="center"/>
    </xf>
    <xf numFmtId="0" fontId="53" fillId="0" borderId="7" xfId="0" applyFont="1" applyBorder="1"/>
    <xf numFmtId="0" fontId="52" fillId="0" borderId="0" xfId="0" applyFont="1" applyFill="1" applyBorder="1" applyAlignment="1">
      <alignment horizontal="center"/>
    </xf>
    <xf numFmtId="0" fontId="52" fillId="0" borderId="0" xfId="0" applyFont="1" applyBorder="1" applyAlignment="1">
      <alignment horizontal="center"/>
    </xf>
    <xf numFmtId="0" fontId="53" fillId="0" borderId="0" xfId="0" applyFont="1" applyAlignment="1">
      <alignment horizontal="left"/>
    </xf>
    <xf numFmtId="0" fontId="52" fillId="0" borderId="0" xfId="0" applyFont="1" applyAlignment="1">
      <alignment horizontal="left"/>
    </xf>
    <xf numFmtId="0" fontId="52" fillId="0" borderId="0" xfId="0" applyFont="1" applyAlignment="1">
      <alignment horizontal="left" wrapText="1"/>
    </xf>
    <xf numFmtId="0" fontId="53" fillId="0" borderId="0" xfId="0" applyFont="1" applyAlignment="1">
      <alignment horizontal="left" wrapText="1"/>
    </xf>
    <xf numFmtId="0" fontId="53" fillId="0" borderId="0" xfId="0" applyFont="1" applyBorder="1" applyAlignment="1">
      <alignment horizontal="left" indent="2"/>
    </xf>
    <xf numFmtId="0" fontId="53" fillId="0" borderId="0" xfId="0" applyFont="1" applyAlignment="1">
      <alignment horizontal="left" indent="4"/>
    </xf>
    <xf numFmtId="0" fontId="52" fillId="0" borderId="0" xfId="0" applyFont="1" applyAlignment="1">
      <alignment horizontal="left" indent="4"/>
    </xf>
    <xf numFmtId="0" fontId="53" fillId="0" borderId="0" xfId="0" applyFont="1" applyBorder="1" applyAlignment="1">
      <alignment horizontal="left" indent="3"/>
    </xf>
    <xf numFmtId="0" fontId="53" fillId="0" borderId="0" xfId="0" applyFont="1" applyBorder="1" applyAlignment="1">
      <alignment horizontal="left" indent="4"/>
    </xf>
    <xf numFmtId="0" fontId="52" fillId="0" borderId="0" xfId="0" applyFont="1" applyBorder="1" applyAlignment="1">
      <alignment horizontal="left" indent="4"/>
    </xf>
    <xf numFmtId="0" fontId="52" fillId="0" borderId="0" xfId="0" applyFont="1" applyAlignment="1">
      <alignment horizontal="left" indent="3"/>
    </xf>
    <xf numFmtId="0" fontId="52" fillId="0" borderId="0" xfId="0" applyFont="1" applyBorder="1" applyAlignment="1">
      <alignment horizontal="left" indent="2"/>
    </xf>
    <xf numFmtId="0" fontId="52" fillId="0" borderId="0" xfId="0" applyFont="1" applyBorder="1" applyAlignment="1">
      <alignment horizontal="left" indent="3"/>
    </xf>
    <xf numFmtId="0" fontId="52" fillId="0" borderId="3" xfId="0" applyFont="1" applyFill="1" applyBorder="1"/>
    <xf numFmtId="0" fontId="52" fillId="0" borderId="4" xfId="0" applyFont="1" applyBorder="1"/>
    <xf numFmtId="0" fontId="53" fillId="0" borderId="0" xfId="0" applyFont="1" applyAlignment="1">
      <alignment horizontal="left" indent="2"/>
    </xf>
    <xf numFmtId="0" fontId="53" fillId="0" borderId="0" xfId="0" applyFont="1" applyBorder="1" applyAlignment="1">
      <alignment horizontal="left" indent="1"/>
    </xf>
    <xf numFmtId="0" fontId="56" fillId="0" borderId="0" xfId="0" applyFont="1" applyBorder="1"/>
    <xf numFmtId="0" fontId="56" fillId="0" borderId="0" xfId="0" applyFont="1" applyBorder="1" applyAlignment="1" applyProtection="1">
      <alignment wrapText="1"/>
    </xf>
    <xf numFmtId="0" fontId="56" fillId="0" borderId="0" xfId="0" applyFont="1" applyFill="1" applyBorder="1" applyAlignment="1" applyProtection="1">
      <alignment wrapText="1"/>
    </xf>
    <xf numFmtId="0" fontId="56" fillId="0" borderId="0" xfId="0" applyFont="1" applyBorder="1" applyAlignment="1" applyProtection="1"/>
    <xf numFmtId="0" fontId="56" fillId="0" borderId="0" xfId="0" applyFont="1" applyBorder="1" applyAlignment="1">
      <alignment wrapText="1"/>
    </xf>
    <xf numFmtId="0" fontId="52" fillId="0" borderId="0" xfId="0" applyFont="1" applyFill="1" applyBorder="1" applyAlignment="1">
      <alignment horizontal="right"/>
    </xf>
    <xf numFmtId="0" fontId="52" fillId="0" borderId="0" xfId="0" applyFont="1" applyBorder="1" applyAlignment="1">
      <alignment horizontal="right"/>
    </xf>
    <xf numFmtId="0" fontId="0" fillId="0" borderId="6" xfId="0" applyBorder="1"/>
    <xf numFmtId="0" fontId="53" fillId="0" borderId="6" xfId="0" applyFont="1" applyBorder="1" applyAlignment="1">
      <alignment horizontal="right"/>
    </xf>
    <xf numFmtId="0" fontId="51" fillId="0" borderId="4" xfId="0" applyFont="1" applyBorder="1" applyAlignment="1">
      <alignment horizontal="center"/>
    </xf>
    <xf numFmtId="0" fontId="57" fillId="0" borderId="0" xfId="0" applyFont="1"/>
    <xf numFmtId="0" fontId="51" fillId="0" borderId="4" xfId="0" applyFont="1" applyBorder="1" applyAlignment="1">
      <alignment horizontal="left" vertical="center"/>
    </xf>
    <xf numFmtId="0" fontId="1" fillId="0" borderId="8" xfId="0" applyFont="1" applyFill="1" applyBorder="1"/>
    <xf numFmtId="0" fontId="53" fillId="0" borderId="8" xfId="0" applyFont="1" applyBorder="1" applyAlignment="1">
      <alignment horizontal="left" vertical="center"/>
    </xf>
    <xf numFmtId="0" fontId="53" fillId="0" borderId="8" xfId="0" applyFont="1" applyBorder="1" applyAlignment="1">
      <alignment horizontal="center" wrapText="1"/>
    </xf>
    <xf numFmtId="0" fontId="53" fillId="0" borderId="8" xfId="0" applyFont="1" applyBorder="1" applyAlignment="1">
      <alignment horizontal="center" vertical="center"/>
    </xf>
    <xf numFmtId="0" fontId="53" fillId="0" borderId="8" xfId="0" applyFont="1" applyFill="1" applyBorder="1" applyAlignment="1">
      <alignment horizontal="center" wrapText="1"/>
    </xf>
    <xf numFmtId="0" fontId="53" fillId="8" borderId="8" xfId="0" applyFont="1" applyFill="1" applyBorder="1" applyAlignment="1">
      <alignment horizontal="center" wrapText="1"/>
    </xf>
    <xf numFmtId="0" fontId="53" fillId="0" borderId="8" xfId="0" applyFont="1" applyBorder="1"/>
    <xf numFmtId="0" fontId="53" fillId="8" borderId="8" xfId="0" applyFont="1" applyFill="1" applyBorder="1"/>
    <xf numFmtId="0" fontId="52" fillId="0" borderId="8" xfId="0" applyFont="1" applyBorder="1"/>
    <xf numFmtId="0" fontId="52" fillId="8" borderId="8" xfId="0" applyFont="1" applyFill="1" applyBorder="1"/>
    <xf numFmtId="0" fontId="52" fillId="0" borderId="8" xfId="0" applyFont="1" applyFill="1" applyBorder="1"/>
    <xf numFmtId="164" fontId="53" fillId="8" borderId="8" xfId="0" applyNumberFormat="1" applyFont="1" applyFill="1" applyBorder="1" applyAlignment="1">
      <alignment horizontal="center" wrapText="1"/>
    </xf>
    <xf numFmtId="164" fontId="53" fillId="0" borderId="8" xfId="0" applyNumberFormat="1" applyFont="1" applyBorder="1" applyAlignment="1">
      <alignment horizontal="center" wrapText="1"/>
    </xf>
    <xf numFmtId="0" fontId="53" fillId="0" borderId="6" xfId="0" applyFont="1" applyFill="1" applyBorder="1" applyAlignment="1">
      <alignment horizontal="center"/>
    </xf>
    <xf numFmtId="0" fontId="53" fillId="0" borderId="6" xfId="0" applyFont="1" applyBorder="1" applyAlignment="1">
      <alignment horizontal="center"/>
    </xf>
    <xf numFmtId="0" fontId="0" fillId="0" borderId="0" xfId="0" applyFont="1" applyFill="1"/>
    <xf numFmtId="0" fontId="52" fillId="0" borderId="7" xfId="0" applyFont="1" applyFill="1" applyBorder="1" applyAlignment="1">
      <alignment horizontal="right"/>
    </xf>
    <xf numFmtId="0" fontId="58" fillId="0" borderId="0" xfId="0" applyFont="1"/>
    <xf numFmtId="4" fontId="52" fillId="0" borderId="0" xfId="0" applyNumberFormat="1" applyFont="1" applyFill="1" applyBorder="1" applyAlignment="1">
      <alignment horizontal="right"/>
    </xf>
    <xf numFmtId="4" fontId="52" fillId="0" borderId="0" xfId="0" applyNumberFormat="1" applyFont="1" applyBorder="1"/>
    <xf numFmtId="0" fontId="51" fillId="0" borderId="8" xfId="0" applyFont="1" applyBorder="1"/>
    <xf numFmtId="0" fontId="4" fillId="0" borderId="8" xfId="0" applyFont="1" applyFill="1" applyBorder="1" applyAlignment="1">
      <alignment wrapText="1"/>
    </xf>
    <xf numFmtId="164" fontId="4" fillId="0" borderId="8" xfId="1" applyNumberFormat="1" applyFont="1" applyFill="1" applyBorder="1"/>
    <xf numFmtId="0" fontId="60" fillId="0" borderId="8" xfId="0" applyFont="1" applyBorder="1" applyAlignment="1">
      <alignment horizontal="center" wrapText="1"/>
    </xf>
    <xf numFmtId="0" fontId="0" fillId="0" borderId="0" xfId="0" applyFill="1" applyBorder="1" applyAlignment="1">
      <alignment horizontal="right"/>
    </xf>
    <xf numFmtId="0" fontId="0" fillId="0" borderId="0" xfId="0" applyBorder="1" applyAlignment="1">
      <alignment horizontal="right"/>
    </xf>
    <xf numFmtId="0" fontId="61" fillId="0" borderId="6" xfId="0" applyFont="1" applyBorder="1" applyAlignment="1">
      <alignment horizontal="left"/>
    </xf>
    <xf numFmtId="0" fontId="61" fillId="0" borderId="0" xfId="0" applyFont="1" applyBorder="1" applyAlignment="1">
      <alignment horizontal="left"/>
    </xf>
    <xf numFmtId="0" fontId="62" fillId="0" borderId="0" xfId="0" applyFont="1" applyFill="1" applyBorder="1"/>
    <xf numFmtId="0" fontId="62" fillId="0" borderId="0" xfId="0" applyFont="1" applyBorder="1"/>
    <xf numFmtId="0" fontId="57" fillId="0" borderId="0" xfId="0" applyFont="1" applyBorder="1" applyAlignment="1"/>
    <xf numFmtId="0" fontId="61" fillId="0" borderId="6" xfId="0" applyFont="1" applyBorder="1" applyAlignment="1"/>
    <xf numFmtId="0" fontId="61" fillId="0" borderId="0" xfId="0" applyFont="1" applyBorder="1" applyAlignment="1"/>
    <xf numFmtId="0" fontId="1" fillId="0" borderId="10" xfId="0" applyFont="1" applyFill="1" applyBorder="1"/>
    <xf numFmtId="164" fontId="1" fillId="0" borderId="10" xfId="1" applyNumberFormat="1" applyFont="1" applyFill="1" applyBorder="1"/>
    <xf numFmtId="0" fontId="52" fillId="0" borderId="0" xfId="0" applyFont="1" applyBorder="1" applyAlignment="1">
      <alignment horizontal="left" indent="1"/>
    </xf>
    <xf numFmtId="0" fontId="54" fillId="0" borderId="10" xfId="0" applyFont="1" applyBorder="1" applyAlignment="1">
      <alignment horizontal="left"/>
    </xf>
    <xf numFmtId="0" fontId="52" fillId="0" borderId="0" xfId="0" applyFont="1" applyFill="1" applyAlignment="1">
      <alignment horizontal="right"/>
    </xf>
    <xf numFmtId="0" fontId="57" fillId="0" borderId="0" xfId="0" applyFont="1" applyBorder="1" applyAlignment="1"/>
    <xf numFmtId="0" fontId="61" fillId="0" borderId="6" xfId="0" applyFont="1" applyBorder="1" applyAlignment="1"/>
    <xf numFmtId="0" fontId="52" fillId="0" borderId="0" xfId="0" applyFont="1" applyAlignment="1">
      <alignment horizontal="right"/>
    </xf>
    <xf numFmtId="0" fontId="53" fillId="0" borderId="4" xfId="0" applyFont="1" applyFill="1" applyBorder="1" applyAlignment="1">
      <alignment horizontal="right"/>
    </xf>
    <xf numFmtId="0" fontId="52" fillId="0" borderId="0" xfId="0" applyFont="1" applyFill="1" applyAlignment="1">
      <alignment horizontal="right"/>
    </xf>
    <xf numFmtId="0" fontId="53" fillId="0" borderId="4" xfId="0" applyFont="1" applyBorder="1" applyAlignment="1">
      <alignment horizontal="right"/>
    </xf>
    <xf numFmtId="0" fontId="53" fillId="0" borderId="6" xfId="0" applyFont="1" applyFill="1" applyBorder="1" applyAlignment="1">
      <alignment horizontal="center"/>
    </xf>
    <xf numFmtId="0" fontId="53" fillId="0" borderId="6" xfId="0" applyFont="1" applyBorder="1" applyAlignment="1">
      <alignment horizontal="center"/>
    </xf>
    <xf numFmtId="0" fontId="53" fillId="0" borderId="7" xfId="0" applyFont="1" applyFill="1" applyBorder="1" applyAlignment="1">
      <alignment horizontal="right"/>
    </xf>
    <xf numFmtId="0" fontId="53" fillId="0" borderId="7" xfId="0" applyFont="1" applyBorder="1" applyAlignment="1">
      <alignment horizontal="right"/>
    </xf>
    <xf numFmtId="0" fontId="52" fillId="0" borderId="3" xfId="0" applyFont="1" applyFill="1" applyBorder="1" applyAlignment="1">
      <alignment horizontal="right"/>
    </xf>
    <xf numFmtId="0" fontId="57" fillId="0" borderId="0" xfId="0" applyFont="1" applyBorder="1" applyAlignment="1"/>
    <xf numFmtId="0" fontId="61" fillId="0" borderId="6" xfId="0" applyFont="1" applyBorder="1" applyAlignment="1"/>
    <xf numFmtId="0" fontId="53" fillId="0" borderId="6" xfId="0" applyFont="1" applyFill="1" applyBorder="1" applyAlignment="1">
      <alignment horizontal="center"/>
    </xf>
    <xf numFmtId="0" fontId="53" fillId="0" borderId="6" xfId="0" applyFont="1" applyBorder="1" applyAlignment="1">
      <alignment horizontal="center"/>
    </xf>
    <xf numFmtId="0" fontId="52" fillId="0" borderId="0" xfId="0" applyFont="1" applyFill="1" applyAlignment="1">
      <alignment horizontal="right"/>
    </xf>
    <xf numFmtId="0" fontId="52" fillId="0" borderId="0" xfId="0" applyFont="1" applyAlignment="1">
      <alignment horizontal="right"/>
    </xf>
    <xf numFmtId="0" fontId="53" fillId="0" borderId="7" xfId="0" applyFont="1" applyFill="1" applyBorder="1" applyAlignment="1">
      <alignment horizontal="right"/>
    </xf>
    <xf numFmtId="0" fontId="53" fillId="0" borderId="7" xfId="0" applyFont="1" applyBorder="1" applyAlignment="1">
      <alignment horizontal="right"/>
    </xf>
    <xf numFmtId="0" fontId="52" fillId="0" borderId="10" xfId="0" applyFont="1" applyFill="1" applyBorder="1" applyAlignment="1">
      <alignment horizontal="right"/>
    </xf>
    <xf numFmtId="0" fontId="52" fillId="0" borderId="10" xfId="0" applyFont="1" applyBorder="1" applyAlignment="1">
      <alignment horizontal="right"/>
    </xf>
    <xf numFmtId="0" fontId="52" fillId="0" borderId="3" xfId="0" applyFont="1" applyBorder="1" applyAlignment="1">
      <alignment horizontal="right"/>
    </xf>
    <xf numFmtId="0" fontId="53" fillId="0" borderId="6" xfId="0" applyFont="1" applyFill="1" applyBorder="1" applyAlignment="1">
      <alignment horizontal="right"/>
    </xf>
    <xf numFmtId="0" fontId="53" fillId="0" borderId="6" xfId="0" applyFont="1" applyBorder="1" applyAlignment="1">
      <alignment horizontal="right"/>
    </xf>
    <xf numFmtId="0" fontId="57" fillId="0" borderId="0" xfId="0" applyFont="1" applyBorder="1" applyAlignment="1"/>
    <xf numFmtId="0" fontId="61" fillId="0" borderId="6" xfId="0" applyFont="1" applyBorder="1" applyAlignment="1"/>
    <xf numFmtId="0" fontId="53" fillId="0" borderId="7" xfId="0" applyFont="1" applyFill="1" applyBorder="1" applyAlignment="1">
      <alignment horizontal="right"/>
    </xf>
    <xf numFmtId="0" fontId="53" fillId="0" borderId="7" xfId="0" applyFont="1" applyBorder="1" applyAlignment="1">
      <alignment horizontal="right"/>
    </xf>
    <xf numFmtId="0" fontId="61" fillId="0" borderId="6" xfId="0" applyFont="1" applyBorder="1" applyAlignment="1"/>
    <xf numFmtId="0" fontId="4" fillId="0" borderId="0" xfId="0" applyFont="1" applyFill="1" applyBorder="1" applyAlignment="1">
      <alignment wrapText="1"/>
    </xf>
    <xf numFmtId="0" fontId="52" fillId="9" borderId="0" xfId="0" applyFont="1" applyFill="1" applyAlignment="1">
      <alignment horizontal="right"/>
    </xf>
    <xf numFmtId="164" fontId="56" fillId="0" borderId="0" xfId="1" applyNumberFormat="1" applyFont="1" applyFill="1" applyBorder="1"/>
    <xf numFmtId="0" fontId="53" fillId="10" borderId="0" xfId="0" applyFont="1" applyFill="1"/>
    <xf numFmtId="0" fontId="52" fillId="10" borderId="0" xfId="0" applyFont="1" applyFill="1"/>
    <xf numFmtId="0" fontId="63" fillId="10" borderId="0" xfId="0" applyFont="1" applyFill="1"/>
    <xf numFmtId="0" fontId="54" fillId="10" borderId="0" xfId="0" applyFont="1" applyFill="1"/>
    <xf numFmtId="0" fontId="55" fillId="10" borderId="0" xfId="0" applyFont="1" applyFill="1"/>
    <xf numFmtId="0" fontId="54" fillId="10" borderId="0" xfId="0" applyFont="1" applyFill="1" applyAlignment="1">
      <alignment horizontal="center"/>
    </xf>
    <xf numFmtId="0" fontId="55" fillId="10" borderId="0" xfId="0" applyFont="1" applyFill="1" applyAlignment="1">
      <alignment horizontal="right"/>
    </xf>
    <xf numFmtId="0" fontId="54" fillId="10" borderId="0" xfId="0" applyFont="1" applyFill="1" applyBorder="1"/>
    <xf numFmtId="0" fontId="54" fillId="10" borderId="0" xfId="0" applyFont="1" applyFill="1" applyBorder="1" applyAlignment="1">
      <alignment horizontal="center" vertical="center"/>
    </xf>
    <xf numFmtId="0" fontId="54" fillId="10" borderId="0" xfId="0" applyFont="1" applyFill="1" applyBorder="1" applyAlignment="1">
      <alignment horizontal="center"/>
    </xf>
    <xf numFmtId="0" fontId="63" fillId="10" borderId="0" xfId="0" applyFont="1" applyFill="1" applyBorder="1"/>
    <xf numFmtId="0" fontId="64" fillId="10" borderId="0" xfId="0" applyFont="1" applyFill="1" applyBorder="1"/>
    <xf numFmtId="0" fontId="63" fillId="10" borderId="0" xfId="0" applyFont="1" applyFill="1" applyBorder="1" applyAlignment="1">
      <alignment horizontal="center"/>
    </xf>
    <xf numFmtId="0" fontId="63" fillId="10" borderId="0" xfId="0" applyFont="1" applyFill="1" applyBorder="1" applyAlignment="1">
      <alignment horizontal="right"/>
    </xf>
    <xf numFmtId="0" fontId="63" fillId="10" borderId="0" xfId="0" applyFont="1" applyFill="1" applyBorder="1" applyAlignment="1">
      <alignment horizontal="left" vertical="center"/>
    </xf>
    <xf numFmtId="0" fontId="65" fillId="0" borderId="0" xfId="0" applyFont="1" applyBorder="1" applyAlignment="1">
      <alignment horizontal="center"/>
    </xf>
    <xf numFmtId="0" fontId="5" fillId="0" borderId="0" xfId="17"/>
    <xf numFmtId="0" fontId="5" fillId="0" borderId="0" xfId="17" applyAlignment="1">
      <alignment horizontal="justify" vertical="justify"/>
    </xf>
    <xf numFmtId="0" fontId="6" fillId="0" borderId="0" xfId="17" applyFont="1" applyAlignment="1">
      <alignment horizontal="justify" vertical="justify"/>
    </xf>
    <xf numFmtId="0" fontId="7" fillId="0" borderId="0" xfId="17" applyFont="1" applyAlignment="1">
      <alignment horizontal="justify" vertical="justify"/>
    </xf>
    <xf numFmtId="0" fontId="7" fillId="0" borderId="0" xfId="17" applyFont="1"/>
    <xf numFmtId="0" fontId="7" fillId="0" borderId="0" xfId="17" applyFont="1" applyAlignment="1">
      <alignment wrapText="1"/>
    </xf>
    <xf numFmtId="0" fontId="7" fillId="0" borderId="0" xfId="17" applyFont="1" applyAlignment="1">
      <alignment horizontal="right" wrapText="1"/>
    </xf>
    <xf numFmtId="0" fontId="7" fillId="0" borderId="0" xfId="17" applyFont="1" applyAlignment="1">
      <alignment horizontal="right"/>
    </xf>
    <xf numFmtId="0" fontId="5" fillId="0" borderId="0" xfId="17" quotePrefix="1"/>
    <xf numFmtId="14" fontId="5" fillId="0" borderId="0" xfId="17" quotePrefix="1" applyNumberFormat="1"/>
    <xf numFmtId="0" fontId="7" fillId="0" borderId="0" xfId="17" applyFont="1" applyAlignment="1">
      <alignment horizontal="left" vertical="justify"/>
    </xf>
    <xf numFmtId="0" fontId="5" fillId="0" borderId="0" xfId="17" applyBorder="1" applyAlignment="1">
      <alignment horizontal="justify" vertical="justify"/>
    </xf>
    <xf numFmtId="0" fontId="5" fillId="0" borderId="3" xfId="17" applyBorder="1" applyAlignment="1">
      <alignment horizontal="justify" vertical="justify"/>
    </xf>
    <xf numFmtId="43" fontId="50" fillId="0" borderId="0" xfId="2" applyFont="1"/>
    <xf numFmtId="43" fontId="6" fillId="0" borderId="0" xfId="2" applyFont="1"/>
    <xf numFmtId="43" fontId="5" fillId="0" borderId="0" xfId="2" applyFont="1" applyAlignment="1">
      <alignment horizontal="left" indent="1"/>
    </xf>
    <xf numFmtId="43" fontId="7" fillId="0" borderId="0" xfId="2" applyFont="1"/>
    <xf numFmtId="43" fontId="50" fillId="4" borderId="0" xfId="2" applyFont="1" applyFill="1"/>
    <xf numFmtId="43" fontId="5" fillId="0" borderId="0" xfId="2" applyFont="1"/>
    <xf numFmtId="43" fontId="5" fillId="11" borderId="0" xfId="2" applyFont="1" applyFill="1"/>
    <xf numFmtId="43" fontId="6" fillId="11" borderId="0" xfId="2" applyFont="1" applyFill="1"/>
    <xf numFmtId="43" fontId="5" fillId="4" borderId="0" xfId="2" applyFont="1" applyFill="1"/>
    <xf numFmtId="43" fontId="5" fillId="0" borderId="0" xfId="2" applyFont="1" applyFill="1"/>
    <xf numFmtId="43" fontId="7" fillId="0" borderId="0" xfId="2" applyFont="1" applyAlignment="1">
      <alignment horizontal="right"/>
    </xf>
    <xf numFmtId="43" fontId="7" fillId="0" borderId="0" xfId="2" applyFont="1" applyBorder="1"/>
    <xf numFmtId="43" fontId="7" fillId="4" borderId="0" xfId="2" applyFont="1" applyFill="1" applyBorder="1"/>
    <xf numFmtId="43" fontId="7" fillId="0" borderId="0" xfId="2" applyFont="1" applyAlignment="1">
      <alignment horizontal="left"/>
    </xf>
    <xf numFmtId="43" fontId="5" fillId="0" borderId="0" xfId="2" applyFont="1" applyAlignment="1">
      <alignment horizontal="center"/>
    </xf>
    <xf numFmtId="43" fontId="6" fillId="0" borderId="0" xfId="2" applyFont="1" applyAlignment="1">
      <alignment horizontal="left" indent="1"/>
    </xf>
    <xf numFmtId="43" fontId="5" fillId="0" borderId="0" xfId="2" applyFont="1" applyAlignment="1">
      <alignment wrapText="1"/>
    </xf>
    <xf numFmtId="43" fontId="6" fillId="0" borderId="0" xfId="2" applyFont="1" applyBorder="1"/>
    <xf numFmtId="43" fontId="50" fillId="0" borderId="0" xfId="2" applyFont="1" applyAlignment="1">
      <alignment horizontal="right"/>
    </xf>
    <xf numFmtId="43" fontId="7" fillId="0" borderId="4" xfId="2" applyFont="1" applyBorder="1"/>
    <xf numFmtId="43" fontId="50" fillId="0" borderId="0" xfId="2" applyFont="1" applyFill="1"/>
    <xf numFmtId="43" fontId="50" fillId="0" borderId="0" xfId="2" applyFont="1" applyAlignment="1">
      <alignment horizontal="left" indent="1"/>
    </xf>
    <xf numFmtId="43" fontId="7" fillId="0" borderId="5" xfId="2" applyFont="1" applyBorder="1"/>
    <xf numFmtId="43" fontId="50" fillId="0" borderId="0" xfId="2" applyFont="1" applyAlignment="1">
      <alignment horizontal="center"/>
    </xf>
    <xf numFmtId="43" fontId="6" fillId="0" borderId="3" xfId="2" applyFont="1" applyBorder="1"/>
    <xf numFmtId="43" fontId="6" fillId="4" borderId="0" xfId="2" applyFont="1" applyFill="1" applyBorder="1"/>
    <xf numFmtId="43" fontId="7" fillId="0" borderId="3" xfId="2" applyFont="1" applyBorder="1"/>
    <xf numFmtId="0" fontId="6" fillId="0" borderId="0" xfId="17" applyFont="1"/>
    <xf numFmtId="43" fontId="6" fillId="0" borderId="0" xfId="2" applyFont="1" applyAlignment="1">
      <alignment horizontal="center"/>
    </xf>
    <xf numFmtId="43" fontId="7" fillId="0" borderId="0" xfId="2" applyFont="1" applyAlignment="1">
      <alignment horizontal="center"/>
    </xf>
    <xf numFmtId="0" fontId="7" fillId="0" borderId="0" xfId="17" applyFont="1" applyAlignment="1">
      <alignment horizontal="right" vertical="justify"/>
    </xf>
    <xf numFmtId="0" fontId="5" fillId="0" borderId="0" xfId="17" applyNumberFormat="1" applyAlignment="1">
      <alignment horizontal="justify" vertical="justify" wrapText="1"/>
    </xf>
    <xf numFmtId="0" fontId="5" fillId="0" borderId="0" xfId="17" applyAlignment="1">
      <alignment horizontal="justify" vertical="justify" wrapText="1"/>
    </xf>
    <xf numFmtId="0" fontId="7" fillId="0" borderId="0" xfId="17" applyFont="1" applyAlignment="1">
      <alignment horizontal="center" vertical="justify"/>
    </xf>
    <xf numFmtId="0" fontId="18" fillId="0" borderId="0" xfId="17" applyFont="1" applyAlignment="1">
      <alignment horizontal="justify" vertical="justify"/>
    </xf>
    <xf numFmtId="0" fontId="6" fillId="0" borderId="0" xfId="17" applyFont="1" applyBorder="1"/>
    <xf numFmtId="0" fontId="6" fillId="0" borderId="0" xfId="17" applyFont="1" applyBorder="1" applyAlignment="1">
      <alignment horizontal="justify" vertical="justify"/>
    </xf>
    <xf numFmtId="0" fontId="7" fillId="0" borderId="0" xfId="17" applyFont="1" applyAlignment="1">
      <alignment horizontal="center"/>
    </xf>
    <xf numFmtId="0" fontId="5" fillId="0" borderId="0" xfId="17" applyAlignment="1">
      <alignment horizontal="justify" vertical="top" wrapText="1"/>
    </xf>
    <xf numFmtId="0" fontId="19" fillId="0" borderId="0" xfId="17" applyFont="1"/>
    <xf numFmtId="0" fontId="5" fillId="0" borderId="0" xfId="17" applyAlignment="1">
      <alignment vertical="top"/>
    </xf>
    <xf numFmtId="0" fontId="7" fillId="0" borderId="0" xfId="17" applyFont="1" applyAlignment="1">
      <alignment horizontal="justify" vertical="top" wrapText="1"/>
    </xf>
    <xf numFmtId="0" fontId="50" fillId="0" borderId="0" xfId="2" applyNumberFormat="1" applyFont="1" applyAlignment="1">
      <alignment horizontal="center"/>
    </xf>
    <xf numFmtId="0" fontId="7" fillId="0" borderId="0" xfId="2" applyNumberFormat="1" applyFont="1" applyAlignment="1">
      <alignment horizontal="center"/>
    </xf>
    <xf numFmtId="43" fontId="19" fillId="0" borderId="0" xfId="2" applyFont="1" applyAlignment="1">
      <alignment horizontal="center"/>
    </xf>
    <xf numFmtId="43" fontId="19" fillId="0" borderId="0" xfId="2" applyFont="1" applyAlignment="1">
      <alignment horizontal="right"/>
    </xf>
    <xf numFmtId="43" fontId="7" fillId="0" borderId="0" xfId="10" applyNumberFormat="1" applyFont="1" applyAlignment="1" applyProtection="1"/>
    <xf numFmtId="43" fontId="6" fillId="0" borderId="0" xfId="10" applyNumberFormat="1" applyFont="1" applyAlignment="1" applyProtection="1"/>
    <xf numFmtId="43" fontId="7" fillId="0" borderId="3" xfId="2" applyFont="1" applyBorder="1" applyAlignment="1">
      <alignment horizontal="center"/>
    </xf>
    <xf numFmtId="0" fontId="7" fillId="0" borderId="3" xfId="2" applyNumberFormat="1" applyFont="1" applyBorder="1" applyAlignment="1">
      <alignment horizontal="center"/>
    </xf>
    <xf numFmtId="43" fontId="7" fillId="0" borderId="11" xfId="2" applyFont="1" applyBorder="1" applyAlignment="1">
      <alignment horizontal="center"/>
    </xf>
    <xf numFmtId="0" fontId="7" fillId="0" borderId="11" xfId="2" applyNumberFormat="1" applyFont="1" applyBorder="1" applyAlignment="1">
      <alignment horizontal="center"/>
    </xf>
    <xf numFmtId="43" fontId="7" fillId="0" borderId="11" xfId="2" applyFont="1" applyBorder="1"/>
    <xf numFmtId="43" fontId="50" fillId="0" borderId="0" xfId="2" applyFont="1" applyAlignment="1">
      <alignment wrapText="1"/>
    </xf>
    <xf numFmtId="0" fontId="50" fillId="0" borderId="0" xfId="2" applyNumberFormat="1" applyFont="1" applyAlignment="1">
      <alignment horizontal="left" wrapText="1" indent="1"/>
    </xf>
    <xf numFmtId="43" fontId="5" fillId="0" borderId="3" xfId="2" applyFont="1" applyFill="1" applyBorder="1"/>
    <xf numFmtId="43" fontId="8" fillId="0" borderId="0" xfId="2" applyFont="1"/>
    <xf numFmtId="10" fontId="8" fillId="0" borderId="0" xfId="21" applyNumberFormat="1" applyFont="1"/>
    <xf numFmtId="43" fontId="8" fillId="0" borderId="12" xfId="2" applyFont="1" applyBorder="1"/>
    <xf numFmtId="10" fontId="8" fillId="0" borderId="8" xfId="21" applyNumberFormat="1" applyFont="1" applyBorder="1"/>
    <xf numFmtId="43" fontId="8" fillId="0" borderId="8" xfId="2" applyFont="1" applyBorder="1"/>
    <xf numFmtId="43" fontId="21" fillId="0" borderId="13" xfId="2" applyFont="1" applyBorder="1"/>
    <xf numFmtId="10" fontId="21" fillId="0" borderId="8" xfId="21" applyNumberFormat="1" applyFont="1" applyBorder="1"/>
    <xf numFmtId="43" fontId="22" fillId="0" borderId="8" xfId="2" applyFont="1" applyBorder="1"/>
    <xf numFmtId="12" fontId="8" fillId="0" borderId="0" xfId="2" applyNumberFormat="1" applyFont="1"/>
    <xf numFmtId="43" fontId="22" fillId="0" borderId="8" xfId="2" applyFont="1" applyBorder="1" applyAlignment="1">
      <alignment wrapText="1"/>
    </xf>
    <xf numFmtId="10" fontId="22" fillId="0" borderId="8" xfId="21" applyNumberFormat="1" applyFont="1" applyBorder="1"/>
    <xf numFmtId="43" fontId="22" fillId="0" borderId="0" xfId="2" applyFont="1" applyAlignment="1">
      <alignment horizontal="center"/>
    </xf>
    <xf numFmtId="10" fontId="22" fillId="0" borderId="0" xfId="21" applyNumberFormat="1" applyFont="1" applyAlignment="1">
      <alignment horizontal="center"/>
    </xf>
    <xf numFmtId="43" fontId="23" fillId="0" borderId="0" xfId="2" applyFont="1"/>
    <xf numFmtId="0" fontId="6" fillId="0" borderId="8" xfId="17" applyFont="1" applyBorder="1"/>
    <xf numFmtId="43" fontId="5" fillId="0" borderId="0" xfId="2" applyFont="1" applyAlignment="1">
      <alignment horizontal="right"/>
    </xf>
    <xf numFmtId="43" fontId="7" fillId="0" borderId="4" xfId="2" applyFont="1" applyBorder="1" applyAlignment="1">
      <alignment horizontal="right"/>
    </xf>
    <xf numFmtId="164" fontId="5" fillId="0" borderId="0" xfId="2" quotePrefix="1" applyNumberFormat="1" applyFont="1" applyAlignment="1">
      <alignment horizontal="right"/>
    </xf>
    <xf numFmtId="43" fontId="5" fillId="0" borderId="0" xfId="2" quotePrefix="1" applyFont="1" applyAlignment="1">
      <alignment horizontal="right"/>
    </xf>
    <xf numFmtId="43" fontId="5" fillId="0" borderId="0" xfId="2" applyFont="1" applyAlignment="1">
      <alignment horizontal="left"/>
    </xf>
    <xf numFmtId="0" fontId="5" fillId="0" borderId="0" xfId="17" applyAlignment="1">
      <alignment horizontal="center"/>
    </xf>
    <xf numFmtId="43" fontId="7" fillId="0" borderId="0" xfId="2" applyFont="1" applyBorder="1" applyAlignment="1">
      <alignment horizontal="center"/>
    </xf>
    <xf numFmtId="43" fontId="8" fillId="0" borderId="8" xfId="2" applyFont="1" applyBorder="1" applyAlignment="1">
      <alignment horizontal="right"/>
    </xf>
    <xf numFmtId="43" fontId="11" fillId="0" borderId="0" xfId="2" applyFont="1"/>
    <xf numFmtId="0" fontId="5" fillId="0" borderId="0" xfId="17" applyAlignment="1">
      <alignment horizontal="right"/>
    </xf>
    <xf numFmtId="0" fontId="5" fillId="0" borderId="0" xfId="17" applyBorder="1"/>
    <xf numFmtId="0" fontId="5" fillId="0" borderId="0" xfId="17" applyBorder="1" applyAlignment="1"/>
    <xf numFmtId="0" fontId="5" fillId="0" borderId="0" xfId="17" applyBorder="1" applyAlignment="1">
      <alignment horizontal="center"/>
    </xf>
    <xf numFmtId="0" fontId="5" fillId="0" borderId="8" xfId="17" applyBorder="1" applyAlignment="1">
      <alignment horizontal="center"/>
    </xf>
    <xf numFmtId="49" fontId="5" fillId="0" borderId="0" xfId="17" applyNumberFormat="1" applyAlignment="1">
      <alignment horizontal="center"/>
    </xf>
    <xf numFmtId="0" fontId="5" fillId="0" borderId="0" xfId="17" applyAlignment="1"/>
    <xf numFmtId="49" fontId="5" fillId="0" borderId="0" xfId="17" quotePrefix="1" applyNumberFormat="1" applyAlignment="1">
      <alignment horizontal="center"/>
    </xf>
    <xf numFmtId="0" fontId="6" fillId="0" borderId="0" xfId="17" applyFont="1" applyFill="1" applyBorder="1" applyAlignment="1">
      <alignment horizontal="center"/>
    </xf>
    <xf numFmtId="49" fontId="5" fillId="0" borderId="0" xfId="17" applyNumberFormat="1"/>
    <xf numFmtId="49" fontId="7" fillId="0" borderId="3" xfId="17" applyNumberFormat="1" applyFont="1" applyBorder="1" applyAlignment="1">
      <alignment horizontal="center"/>
    </xf>
    <xf numFmtId="0" fontId="7" fillId="0" borderId="3" xfId="17" applyFont="1" applyBorder="1" applyAlignment="1">
      <alignment horizontal="center"/>
    </xf>
    <xf numFmtId="0" fontId="7" fillId="0" borderId="3" xfId="17" applyFont="1" applyBorder="1" applyAlignment="1"/>
    <xf numFmtId="49" fontId="7" fillId="0" borderId="0" xfId="17" applyNumberFormat="1" applyFont="1" applyBorder="1" applyAlignment="1">
      <alignment horizontal="center"/>
    </xf>
    <xf numFmtId="0" fontId="7" fillId="0" borderId="0" xfId="17" applyFont="1" applyBorder="1" applyAlignment="1">
      <alignment horizontal="center"/>
    </xf>
    <xf numFmtId="0" fontId="7" fillId="0" borderId="0" xfId="17" applyFont="1" applyBorder="1" applyAlignment="1"/>
    <xf numFmtId="49" fontId="7" fillId="0" borderId="11" xfId="17" applyNumberFormat="1" applyFont="1" applyBorder="1" applyAlignment="1">
      <alignment horizontal="center"/>
    </xf>
    <xf numFmtId="0" fontId="7" fillId="0" borderId="11" xfId="17" applyFont="1" applyBorder="1" applyAlignment="1">
      <alignment horizontal="center"/>
    </xf>
    <xf numFmtId="0" fontId="7" fillId="0" borderId="0" xfId="17" applyFont="1" applyAlignment="1"/>
    <xf numFmtId="0" fontId="7" fillId="0" borderId="4" xfId="17" applyFont="1" applyBorder="1" applyAlignment="1">
      <alignment horizontal="center"/>
    </xf>
    <xf numFmtId="0" fontId="7" fillId="0" borderId="0" xfId="17" applyFont="1" applyAlignment="1">
      <alignment horizontal="left"/>
    </xf>
    <xf numFmtId="0" fontId="5" fillId="0" borderId="0" xfId="17" applyAlignment="1">
      <alignment horizontal="left"/>
    </xf>
    <xf numFmtId="0" fontId="7" fillId="0" borderId="0" xfId="17" quotePrefix="1" applyFont="1" applyAlignment="1">
      <alignment horizontal="center"/>
    </xf>
    <xf numFmtId="0" fontId="26" fillId="0" borderId="0" xfId="17" applyFont="1" applyBorder="1" applyAlignment="1">
      <alignment horizontal="right" vertical="top" wrapText="1"/>
    </xf>
    <xf numFmtId="0" fontId="26" fillId="0" borderId="0" xfId="17" applyFont="1" applyBorder="1" applyAlignment="1">
      <alignment vertical="top" wrapText="1"/>
    </xf>
    <xf numFmtId="0" fontId="26" fillId="0" borderId="0" xfId="17" applyFont="1" applyBorder="1" applyAlignment="1" applyProtection="1">
      <alignment horizontal="left" vertical="justify"/>
    </xf>
    <xf numFmtId="0" fontId="27" fillId="0" borderId="0" xfId="17" applyFont="1" applyBorder="1" applyAlignment="1" applyProtection="1"/>
    <xf numFmtId="0" fontId="27" fillId="0" borderId="0" xfId="17" applyFont="1" applyBorder="1" applyAlignment="1" applyProtection="1">
      <alignment horizontal="right"/>
    </xf>
    <xf numFmtId="0" fontId="26" fillId="0" borderId="0" xfId="17" applyFont="1" applyBorder="1" applyAlignment="1" applyProtection="1">
      <alignment horizontal="right"/>
    </xf>
    <xf numFmtId="14" fontId="26" fillId="0" borderId="0" xfId="17" applyNumberFormat="1" applyFont="1" applyBorder="1" applyAlignment="1">
      <alignment vertical="justify"/>
    </xf>
    <xf numFmtId="0" fontId="26" fillId="0" borderId="0" xfId="17" applyFont="1" applyBorder="1" applyAlignment="1">
      <alignment vertical="justify"/>
    </xf>
    <xf numFmtId="0" fontId="28" fillId="0" borderId="0" xfId="17" applyFont="1" applyBorder="1" applyAlignment="1" applyProtection="1">
      <alignment horizontal="right"/>
    </xf>
    <xf numFmtId="0" fontId="26" fillId="0" borderId="0" xfId="17" applyFont="1" applyBorder="1" applyAlignment="1" applyProtection="1"/>
    <xf numFmtId="0" fontId="26" fillId="0" borderId="0" xfId="17" applyFont="1" applyBorder="1" applyAlignment="1">
      <alignment horizontal="center" vertical="justify"/>
    </xf>
    <xf numFmtId="0" fontId="26" fillId="0" borderId="0" xfId="20" applyFont="1" applyBorder="1" applyAlignment="1">
      <alignment horizontal="justify" vertical="top" wrapText="1"/>
    </xf>
    <xf numFmtId="0" fontId="26" fillId="0" borderId="0" xfId="20" quotePrefix="1" applyFont="1" applyBorder="1" applyAlignment="1">
      <alignment horizontal="center" vertical="justify"/>
    </xf>
    <xf numFmtId="0" fontId="7" fillId="0" borderId="0" xfId="17" applyFont="1" applyAlignment="1">
      <alignment horizontal="justify" vertical="justify" wrapText="1"/>
    </xf>
    <xf numFmtId="0" fontId="19" fillId="0" borderId="0" xfId="17" applyFont="1" applyAlignment="1">
      <alignment horizontal="center" vertical="justify" wrapText="1"/>
    </xf>
    <xf numFmtId="0" fontId="29" fillId="0" borderId="0" xfId="17" applyFont="1" applyBorder="1" applyAlignment="1">
      <alignment horizontal="center" vertical="justify" wrapText="1"/>
    </xf>
    <xf numFmtId="0" fontId="30" fillId="0" borderId="0" xfId="17" applyFont="1" applyBorder="1" applyAlignment="1">
      <alignment horizontal="center" vertical="justify" wrapText="1"/>
    </xf>
    <xf numFmtId="0" fontId="7" fillId="0" borderId="0" xfId="17" applyFont="1" applyAlignment="1">
      <alignment vertical="top"/>
    </xf>
    <xf numFmtId="0" fontId="31" fillId="0" borderId="0" xfId="17" applyFont="1" applyAlignment="1">
      <alignment vertical="top"/>
    </xf>
    <xf numFmtId="0" fontId="32" fillId="0" borderId="0" xfId="17" applyFont="1" applyAlignment="1">
      <alignment vertical="top"/>
    </xf>
    <xf numFmtId="0" fontId="26" fillId="0" borderId="0" xfId="17" applyFont="1" applyBorder="1" applyAlignment="1">
      <alignment horizontal="left"/>
    </xf>
    <xf numFmtId="0" fontId="5" fillId="0" borderId="3" xfId="17" applyBorder="1" applyAlignment="1">
      <alignment horizontal="center"/>
    </xf>
    <xf numFmtId="0" fontId="25" fillId="0" borderId="0" xfId="17" applyFont="1"/>
    <xf numFmtId="0" fontId="34" fillId="0" borderId="0" xfId="17" applyFont="1"/>
    <xf numFmtId="0" fontId="6" fillId="0" borderId="0" xfId="17" applyFont="1" applyBorder="1" applyAlignment="1">
      <alignment horizontal="center"/>
    </xf>
    <xf numFmtId="14" fontId="6" fillId="0" borderId="0" xfId="17" quotePrefix="1" applyNumberFormat="1" applyFont="1" applyBorder="1" applyAlignment="1">
      <alignment horizontal="justify" vertical="justify"/>
    </xf>
    <xf numFmtId="0" fontId="6" fillId="0" borderId="0" xfId="17" quotePrefix="1" applyFont="1"/>
    <xf numFmtId="0" fontId="7" fillId="0" borderId="0" xfId="17" quotePrefix="1" applyFont="1" applyAlignment="1">
      <alignment horizontal="left" vertical="justify"/>
    </xf>
    <xf numFmtId="0" fontId="16" fillId="0" borderId="0" xfId="17" applyFont="1"/>
    <xf numFmtId="0" fontId="16" fillId="0" borderId="0" xfId="17" applyFont="1" applyAlignment="1">
      <alignment horizontal="center"/>
    </xf>
    <xf numFmtId="0" fontId="38" fillId="0" borderId="0" xfId="17" applyFont="1" applyAlignment="1">
      <alignment horizontal="right"/>
    </xf>
    <xf numFmtId="0" fontId="38" fillId="0" borderId="0" xfId="17" applyFont="1"/>
    <xf numFmtId="0" fontId="38" fillId="0" borderId="0" xfId="17" applyFont="1" applyAlignment="1">
      <alignment horizontal="center"/>
    </xf>
    <xf numFmtId="0" fontId="39" fillId="0" borderId="0" xfId="17" applyFont="1"/>
    <xf numFmtId="43" fontId="39" fillId="0" borderId="21" xfId="17" applyNumberFormat="1" applyFont="1" applyBorder="1" applyAlignment="1">
      <alignment horizontal="center"/>
    </xf>
    <xf numFmtId="14" fontId="39" fillId="0" borderId="6" xfId="17" applyNumberFormat="1" applyFont="1" applyBorder="1" applyAlignment="1">
      <alignment horizontal="left"/>
    </xf>
    <xf numFmtId="0" fontId="39" fillId="0" borderId="6" xfId="17" applyFont="1" applyBorder="1"/>
    <xf numFmtId="0" fontId="38" fillId="0" borderId="22" xfId="17" applyFont="1" applyBorder="1"/>
    <xf numFmtId="0" fontId="16" fillId="0" borderId="23" xfId="17" applyFont="1" applyBorder="1" applyAlignment="1">
      <alignment horizontal="center"/>
    </xf>
    <xf numFmtId="43" fontId="39" fillId="0" borderId="0" xfId="17" applyNumberFormat="1" applyFont="1" applyBorder="1"/>
    <xf numFmtId="0" fontId="39" fillId="0" borderId="0" xfId="17" applyFont="1" applyBorder="1"/>
    <xf numFmtId="0" fontId="38" fillId="0" borderId="24" xfId="17" applyFont="1" applyBorder="1"/>
    <xf numFmtId="0" fontId="38" fillId="0" borderId="23" xfId="17" applyFont="1" applyBorder="1" applyAlignment="1">
      <alignment horizontal="center"/>
    </xf>
    <xf numFmtId="43" fontId="39" fillId="0" borderId="0" xfId="3" applyFont="1" applyBorder="1"/>
    <xf numFmtId="0" fontId="38" fillId="0" borderId="0" xfId="17" applyFont="1" applyBorder="1" applyAlignment="1">
      <alignment horizontal="left"/>
    </xf>
    <xf numFmtId="0" fontId="38" fillId="0" borderId="24" xfId="17" applyFont="1" applyBorder="1" applyAlignment="1">
      <alignment horizontal="left"/>
    </xf>
    <xf numFmtId="0" fontId="39" fillId="0" borderId="0" xfId="17" applyFont="1" applyBorder="1" applyAlignment="1">
      <alignment horizontal="left"/>
    </xf>
    <xf numFmtId="0" fontId="39" fillId="0" borderId="0" xfId="17" applyFont="1" applyAlignment="1">
      <alignment horizontal="right"/>
    </xf>
    <xf numFmtId="43" fontId="39" fillId="0" borderId="23" xfId="17" applyNumberFormat="1" applyFont="1" applyBorder="1" applyAlignment="1">
      <alignment horizontal="center"/>
    </xf>
    <xf numFmtId="0" fontId="39" fillId="0" borderId="24" xfId="17" applyFont="1" applyBorder="1"/>
    <xf numFmtId="0" fontId="38" fillId="0" borderId="0" xfId="17" applyFont="1" applyBorder="1"/>
    <xf numFmtId="0" fontId="33" fillId="0" borderId="23" xfId="17" applyFont="1" applyBorder="1" applyAlignment="1">
      <alignment horizontal="center"/>
    </xf>
    <xf numFmtId="0" fontId="33" fillId="0" borderId="0" xfId="17" applyFont="1" applyBorder="1" applyAlignment="1"/>
    <xf numFmtId="0" fontId="38" fillId="0" borderId="0" xfId="17" applyFont="1" applyBorder="1" applyAlignment="1"/>
    <xf numFmtId="0" fontId="33" fillId="0" borderId="24" xfId="17" applyFont="1" applyBorder="1" applyAlignment="1">
      <alignment horizontal="left"/>
    </xf>
    <xf numFmtId="0" fontId="16" fillId="0" borderId="0" xfId="17" applyFont="1" applyBorder="1"/>
    <xf numFmtId="0" fontId="16" fillId="0" borderId="0" xfId="17" applyFont="1" applyBorder="1" applyAlignment="1">
      <alignment horizontal="justify" vertical="justify" wrapText="1"/>
    </xf>
    <xf numFmtId="0" fontId="16" fillId="0" borderId="0" xfId="17" applyFont="1" applyBorder="1" applyAlignment="1">
      <alignment vertical="top" wrapText="1"/>
    </xf>
    <xf numFmtId="0" fontId="16" fillId="0" borderId="24" xfId="17" applyFont="1" applyBorder="1" applyAlignment="1">
      <alignment horizontal="center"/>
    </xf>
    <xf numFmtId="0" fontId="16" fillId="0" borderId="0" xfId="17" applyFont="1" applyBorder="1" applyAlignment="1">
      <alignment horizontal="center" vertical="top" wrapText="1"/>
    </xf>
    <xf numFmtId="2" fontId="16" fillId="0" borderId="25" xfId="17" applyNumberFormat="1" applyFont="1" applyFill="1" applyBorder="1" applyAlignment="1">
      <alignment horizontal="center" vertical="top" wrapText="1"/>
    </xf>
    <xf numFmtId="0" fontId="16" fillId="0" borderId="26" xfId="17" applyFont="1" applyBorder="1" applyAlignment="1">
      <alignment horizontal="justify" vertical="justify" wrapText="1"/>
    </xf>
    <xf numFmtId="0" fontId="16" fillId="0" borderId="27" xfId="17" applyFont="1" applyBorder="1" applyAlignment="1">
      <alignment vertical="top" wrapText="1"/>
    </xf>
    <xf numFmtId="0" fontId="16" fillId="0" borderId="28" xfId="17" applyFont="1" applyBorder="1" applyAlignment="1">
      <alignment horizontal="center"/>
    </xf>
    <xf numFmtId="0" fontId="16" fillId="0" borderId="29" xfId="17" applyFont="1" applyFill="1" applyBorder="1" applyAlignment="1">
      <alignment horizontal="center" vertical="top" wrapText="1"/>
    </xf>
    <xf numFmtId="0" fontId="16" fillId="0" borderId="12" xfId="17" applyFont="1" applyBorder="1" applyAlignment="1">
      <alignment vertical="top"/>
    </xf>
    <xf numFmtId="10" fontId="16" fillId="0" borderId="29" xfId="17" applyNumberFormat="1" applyFont="1" applyFill="1" applyBorder="1" applyAlignment="1">
      <alignment horizontal="center" vertical="top" wrapText="1"/>
    </xf>
    <xf numFmtId="0" fontId="16" fillId="0" borderId="31" xfId="17" applyFont="1" applyBorder="1" applyAlignment="1">
      <alignment vertical="top"/>
    </xf>
    <xf numFmtId="0" fontId="16" fillId="0" borderId="32" xfId="17" applyFont="1" applyBorder="1" applyAlignment="1">
      <alignment horizontal="center" vertical="top"/>
    </xf>
    <xf numFmtId="0" fontId="16" fillId="0" borderId="29" xfId="17" applyFont="1" applyBorder="1" applyAlignment="1">
      <alignment horizontal="center" vertical="top" wrapText="1"/>
    </xf>
    <xf numFmtId="10" fontId="16" fillId="0" borderId="29" xfId="17" applyNumberFormat="1" applyFont="1" applyBorder="1" applyAlignment="1">
      <alignment horizontal="center" vertical="top" wrapText="1"/>
    </xf>
    <xf numFmtId="0" fontId="16" fillId="0" borderId="33" xfId="17" applyFont="1" applyBorder="1" applyAlignment="1">
      <alignment horizontal="center"/>
    </xf>
    <xf numFmtId="0" fontId="16" fillId="0" borderId="18" xfId="17" applyFont="1" applyBorder="1" applyAlignment="1">
      <alignment horizontal="justify" vertical="justify" wrapText="1"/>
    </xf>
    <xf numFmtId="0" fontId="16" fillId="0" borderId="31" xfId="17" applyFont="1" applyBorder="1"/>
    <xf numFmtId="0" fontId="16" fillId="0" borderId="34" xfId="17" quotePrefix="1" applyFont="1" applyBorder="1" applyAlignment="1">
      <alignment horizontal="center" vertical="top"/>
    </xf>
    <xf numFmtId="0" fontId="16" fillId="0" borderId="0" xfId="17" applyFont="1" applyBorder="1" applyAlignment="1">
      <alignment horizontal="center" vertical="center"/>
    </xf>
    <xf numFmtId="0" fontId="16" fillId="0" borderId="35" xfId="17" applyFont="1" applyBorder="1" applyAlignment="1">
      <alignment horizontal="center" vertical="center"/>
    </xf>
    <xf numFmtId="0" fontId="16" fillId="0" borderId="9" xfId="17" applyFont="1" applyBorder="1" applyAlignment="1">
      <alignment horizontal="justify" vertical="justify" wrapText="1"/>
    </xf>
    <xf numFmtId="0" fontId="16" fillId="0" borderId="8" xfId="17" applyFont="1" applyBorder="1"/>
    <xf numFmtId="0" fontId="16" fillId="0" borderId="36" xfId="17" quotePrefix="1" applyFont="1" applyBorder="1" applyAlignment="1">
      <alignment horizontal="center" vertical="top"/>
    </xf>
    <xf numFmtId="0" fontId="16" fillId="0" borderId="36" xfId="17" quotePrefix="1" applyFont="1" applyBorder="1" applyAlignment="1">
      <alignment horizontal="center" vertical="justify" wrapText="1"/>
    </xf>
    <xf numFmtId="0" fontId="16" fillId="0" borderId="0" xfId="17" applyFont="1" applyBorder="1" applyAlignment="1">
      <alignment horizontal="center" vertical="top"/>
    </xf>
    <xf numFmtId="0" fontId="16" fillId="0" borderId="37" xfId="17" applyFont="1" applyBorder="1" applyAlignment="1">
      <alignment horizontal="center" vertical="top"/>
    </xf>
    <xf numFmtId="0" fontId="16" fillId="0" borderId="29" xfId="17" applyFont="1" applyBorder="1" applyAlignment="1">
      <alignment horizontal="center" vertical="top"/>
    </xf>
    <xf numFmtId="0" fontId="16" fillId="0" borderId="18" xfId="17" applyFont="1" applyBorder="1" applyAlignment="1">
      <alignment vertical="top"/>
    </xf>
    <xf numFmtId="0" fontId="16" fillId="0" borderId="33" xfId="17" applyFont="1" applyBorder="1" applyAlignment="1">
      <alignment horizontal="center" vertical="top"/>
    </xf>
    <xf numFmtId="0" fontId="16" fillId="0" borderId="35" xfId="17" applyFont="1" applyBorder="1" applyAlignment="1">
      <alignment horizontal="center"/>
    </xf>
    <xf numFmtId="0" fontId="16" fillId="0" borderId="9" xfId="17" applyFont="1" applyBorder="1" applyAlignment="1">
      <alignment horizontal="justify" vertical="top"/>
    </xf>
    <xf numFmtId="0" fontId="16" fillId="0" borderId="8" xfId="17" applyFont="1" applyBorder="1" applyAlignment="1">
      <alignment horizontal="center" vertical="top"/>
    </xf>
    <xf numFmtId="0" fontId="16" fillId="0" borderId="36" xfId="17" applyFont="1" applyBorder="1" applyAlignment="1">
      <alignment horizontal="center" vertical="top"/>
    </xf>
    <xf numFmtId="0" fontId="16" fillId="0" borderId="16" xfId="17" applyFont="1" applyBorder="1" applyAlignment="1">
      <alignment horizontal="justify" vertical="top"/>
    </xf>
    <xf numFmtId="0" fontId="16" fillId="0" borderId="40" xfId="17" applyFont="1" applyBorder="1" applyAlignment="1">
      <alignment horizontal="center"/>
    </xf>
    <xf numFmtId="0" fontId="16" fillId="0" borderId="34" xfId="17" applyFont="1" applyBorder="1" applyAlignment="1">
      <alignment horizontal="center"/>
    </xf>
    <xf numFmtId="9" fontId="16" fillId="0" borderId="40" xfId="17" applyNumberFormat="1" applyFont="1" applyBorder="1" applyAlignment="1">
      <alignment horizontal="center"/>
    </xf>
    <xf numFmtId="0" fontId="36" fillId="0" borderId="31" xfId="17" applyFont="1" applyBorder="1" applyAlignment="1">
      <alignment horizontal="center" vertical="top"/>
    </xf>
    <xf numFmtId="0" fontId="16" fillId="0" borderId="0" xfId="17" applyFont="1" applyBorder="1" applyAlignment="1">
      <alignment vertical="top"/>
    </xf>
    <xf numFmtId="0" fontId="16" fillId="0" borderId="18" xfId="17" applyFont="1" applyBorder="1" applyAlignment="1">
      <alignment horizontal="justify" vertical="top"/>
    </xf>
    <xf numFmtId="0" fontId="16" fillId="0" borderId="31" xfId="17" applyFont="1" applyBorder="1" applyAlignment="1">
      <alignment horizontal="center" vertical="top"/>
    </xf>
    <xf numFmtId="0" fontId="16" fillId="0" borderId="40" xfId="17" applyFont="1" applyBorder="1" applyAlignment="1">
      <alignment horizontal="center" vertical="center"/>
    </xf>
    <xf numFmtId="0" fontId="16" fillId="0" borderId="37" xfId="17" applyFont="1" applyBorder="1" applyAlignment="1">
      <alignment vertical="center"/>
    </xf>
    <xf numFmtId="0" fontId="16" fillId="0" borderId="0" xfId="17" applyFont="1" applyFill="1" applyBorder="1" applyAlignment="1">
      <alignment horizontal="center" vertical="center"/>
    </xf>
    <xf numFmtId="0" fontId="16" fillId="0" borderId="18" xfId="17" applyFont="1" applyFill="1" applyBorder="1" applyAlignment="1">
      <alignment horizontal="justify" vertical="justify" wrapText="1"/>
    </xf>
    <xf numFmtId="0" fontId="16" fillId="0" borderId="31" xfId="17" applyFont="1" applyFill="1" applyBorder="1" applyAlignment="1">
      <alignment horizontal="center" vertical="top"/>
    </xf>
    <xf numFmtId="0" fontId="16" fillId="0" borderId="34" xfId="17" quotePrefix="1" applyFont="1" applyFill="1" applyBorder="1" applyAlignment="1">
      <alignment horizontal="center" vertical="top"/>
    </xf>
    <xf numFmtId="0" fontId="16" fillId="0" borderId="40" xfId="17" applyFont="1" applyBorder="1" applyAlignment="1">
      <alignment horizontal="center" vertical="top" wrapText="1"/>
    </xf>
    <xf numFmtId="0" fontId="16" fillId="0" borderId="18" xfId="17" applyFont="1" applyBorder="1" applyAlignment="1">
      <alignment vertical="top" wrapText="1"/>
    </xf>
    <xf numFmtId="0" fontId="16" fillId="6" borderId="34" xfId="17" quotePrefix="1" applyFont="1" applyFill="1" applyBorder="1" applyAlignment="1">
      <alignment horizontal="center" vertical="top"/>
    </xf>
    <xf numFmtId="0" fontId="16" fillId="0" borderId="40" xfId="17" applyFont="1" applyBorder="1" applyAlignment="1">
      <alignment horizontal="left" vertical="top" wrapText="1"/>
    </xf>
    <xf numFmtId="0" fontId="16" fillId="0" borderId="0" xfId="17" applyFont="1" applyFill="1" applyBorder="1" applyAlignment="1">
      <alignment vertical="top" wrapText="1"/>
    </xf>
    <xf numFmtId="0" fontId="16" fillId="0" borderId="40" xfId="17" applyFont="1" applyFill="1" applyBorder="1" applyAlignment="1">
      <alignment horizontal="left" wrapText="1"/>
    </xf>
    <xf numFmtId="0" fontId="16" fillId="0" borderId="18" xfId="17" applyFont="1" applyFill="1" applyBorder="1" applyAlignment="1">
      <alignment horizontal="justify" vertical="top" wrapText="1"/>
    </xf>
    <xf numFmtId="0" fontId="36" fillId="0" borderId="0" xfId="17" applyFont="1" applyBorder="1" applyAlignment="1">
      <alignment horizontal="center" vertical="center"/>
    </xf>
    <xf numFmtId="0" fontId="16" fillId="0" borderId="33" xfId="17" applyFont="1" applyBorder="1" applyAlignment="1">
      <alignment horizontal="center" vertical="center"/>
    </xf>
    <xf numFmtId="0" fontId="16" fillId="0" borderId="41" xfId="17" quotePrefix="1" applyFont="1" applyBorder="1" applyAlignment="1">
      <alignment horizontal="center" vertical="top"/>
    </xf>
    <xf numFmtId="0" fontId="16" fillId="0" borderId="23" xfId="17" applyFont="1" applyBorder="1" applyAlignment="1">
      <alignment horizontal="center" vertical="center"/>
    </xf>
    <xf numFmtId="0" fontId="16" fillId="0" borderId="8" xfId="17" applyFont="1" applyBorder="1" applyAlignment="1">
      <alignment horizontal="left" vertical="center" wrapText="1"/>
    </xf>
    <xf numFmtId="0" fontId="16" fillId="0" borderId="8" xfId="17" applyFont="1" applyBorder="1" applyAlignment="1">
      <alignment vertical="top"/>
    </xf>
    <xf numFmtId="0" fontId="16" fillId="0" borderId="39" xfId="17" applyFont="1" applyBorder="1" applyAlignment="1">
      <alignment horizontal="center"/>
    </xf>
    <xf numFmtId="0" fontId="16" fillId="0" borderId="42" xfId="17" applyFont="1" applyBorder="1" applyAlignment="1">
      <alignment horizontal="center"/>
    </xf>
    <xf numFmtId="0" fontId="16" fillId="0" borderId="43" xfId="17" applyFont="1" applyBorder="1" applyAlignment="1">
      <alignment horizontal="center" vertical="justify" wrapText="1"/>
    </xf>
    <xf numFmtId="0" fontId="16" fillId="0" borderId="43" xfId="17" applyFont="1" applyBorder="1" applyAlignment="1">
      <alignment vertical="top"/>
    </xf>
    <xf numFmtId="0" fontId="16" fillId="0" borderId="44" xfId="17" applyFont="1" applyBorder="1" applyAlignment="1">
      <alignment horizontal="center"/>
    </xf>
    <xf numFmtId="0" fontId="16" fillId="0" borderId="21" xfId="17" applyFont="1" applyBorder="1" applyAlignment="1">
      <alignment horizontal="center"/>
    </xf>
    <xf numFmtId="0" fontId="16" fillId="0" borderId="6" xfId="17" applyFont="1" applyBorder="1" applyAlignment="1">
      <alignment horizontal="justify" vertical="justify" wrapText="1"/>
    </xf>
    <xf numFmtId="0" fontId="16" fillId="0" borderId="6" xfId="17" applyFont="1" applyBorder="1" applyAlignment="1">
      <alignment vertical="top"/>
    </xf>
    <xf numFmtId="0" fontId="16" fillId="0" borderId="45" xfId="17" applyFont="1" applyBorder="1" applyAlignment="1">
      <alignment horizontal="center"/>
    </xf>
    <xf numFmtId="0" fontId="16" fillId="0" borderId="46" xfId="17" applyFont="1" applyBorder="1" applyAlignment="1">
      <alignment horizontal="center"/>
    </xf>
    <xf numFmtId="0" fontId="16" fillId="0" borderId="47" xfId="17" applyFont="1" applyBorder="1" applyAlignment="1">
      <alignment horizontal="center"/>
    </xf>
    <xf numFmtId="0" fontId="16" fillId="0" borderId="48" xfId="17" applyFont="1" applyBorder="1" applyAlignment="1">
      <alignment vertical="top"/>
    </xf>
    <xf numFmtId="0" fontId="16" fillId="0" borderId="16" xfId="17" applyFont="1" applyBorder="1" applyAlignment="1">
      <alignment vertical="top"/>
    </xf>
    <xf numFmtId="0" fontId="16" fillId="0" borderId="24" xfId="17" applyFont="1" applyBorder="1" applyAlignment="1"/>
    <xf numFmtId="0" fontId="16" fillId="0" borderId="23" xfId="17" applyFont="1" applyBorder="1" applyAlignment="1">
      <alignment horizontal="center" vertical="top"/>
    </xf>
    <xf numFmtId="0" fontId="16" fillId="0" borderId="9" xfId="17" applyFont="1" applyBorder="1" applyAlignment="1">
      <alignment horizontal="justify"/>
    </xf>
    <xf numFmtId="0" fontId="16" fillId="0" borderId="41" xfId="17" applyFont="1" applyBorder="1" applyAlignment="1">
      <alignment horizontal="center"/>
    </xf>
    <xf numFmtId="0" fontId="16" fillId="0" borderId="35" xfId="17" applyFont="1" applyFill="1" applyBorder="1" applyAlignment="1">
      <alignment horizontal="center" vertical="center"/>
    </xf>
    <xf numFmtId="0" fontId="16" fillId="0" borderId="16" xfId="17" applyFont="1" applyBorder="1" applyAlignment="1">
      <alignment horizontal="justify" vertical="top" wrapText="1"/>
    </xf>
    <xf numFmtId="0" fontId="16" fillId="0" borderId="49" xfId="17" applyFont="1" applyBorder="1" applyAlignment="1">
      <alignment horizontal="center"/>
    </xf>
    <xf numFmtId="0" fontId="16" fillId="0" borderId="14" xfId="17" applyFont="1" applyBorder="1" applyAlignment="1">
      <alignment horizontal="justify" vertical="justify" wrapText="1"/>
    </xf>
    <xf numFmtId="0" fontId="16" fillId="0" borderId="30" xfId="17" applyFont="1" applyBorder="1" applyAlignment="1">
      <alignment horizontal="center"/>
    </xf>
    <xf numFmtId="0" fontId="16" fillId="5" borderId="35" xfId="17" applyFont="1" applyFill="1" applyBorder="1" applyAlignment="1">
      <alignment horizontal="center" vertical="center"/>
    </xf>
    <xf numFmtId="0" fontId="36" fillId="0" borderId="8" xfId="17" applyFont="1" applyBorder="1" applyAlignment="1">
      <alignment horizontal="center" vertical="top"/>
    </xf>
    <xf numFmtId="0" fontId="16" fillId="5" borderId="41" xfId="17" applyFont="1" applyFill="1" applyBorder="1" applyAlignment="1">
      <alignment horizontal="center"/>
    </xf>
    <xf numFmtId="0" fontId="16" fillId="0" borderId="41" xfId="17" applyFont="1" applyBorder="1" applyAlignment="1">
      <alignment horizontal="center" vertical="top"/>
    </xf>
    <xf numFmtId="0" fontId="36" fillId="0" borderId="9" xfId="17" applyFont="1" applyBorder="1" applyAlignment="1">
      <alignment horizontal="justify" vertical="top"/>
    </xf>
    <xf numFmtId="9" fontId="16" fillId="0" borderId="0" xfId="22" applyFont="1" applyBorder="1" applyAlignment="1">
      <alignment horizontal="center" vertical="center"/>
    </xf>
    <xf numFmtId="9" fontId="16" fillId="0" borderId="37" xfId="22" applyFont="1" applyBorder="1" applyAlignment="1">
      <alignment horizontal="center" vertical="center"/>
    </xf>
    <xf numFmtId="9" fontId="16" fillId="0" borderId="50" xfId="22" applyFont="1" applyBorder="1" applyAlignment="1">
      <alignment horizontal="center" vertical="center"/>
    </xf>
    <xf numFmtId="9" fontId="16" fillId="0" borderId="18" xfId="22" applyFont="1" applyBorder="1" applyAlignment="1">
      <alignment horizontal="justify" vertical="justify" wrapText="1"/>
    </xf>
    <xf numFmtId="9" fontId="16" fillId="0" borderId="31" xfId="22" applyFont="1" applyBorder="1" applyAlignment="1">
      <alignment vertical="top"/>
    </xf>
    <xf numFmtId="9" fontId="16" fillId="0" borderId="32" xfId="22" applyFont="1" applyBorder="1" applyAlignment="1">
      <alignment horizontal="center"/>
    </xf>
    <xf numFmtId="0" fontId="16" fillId="0" borderId="32" xfId="17" applyFont="1" applyBorder="1" applyAlignment="1">
      <alignment horizontal="center"/>
    </xf>
    <xf numFmtId="0" fontId="16" fillId="6" borderId="41" xfId="17" applyFont="1" applyFill="1" applyBorder="1" applyAlignment="1">
      <alignment horizontal="center" vertical="top"/>
    </xf>
    <xf numFmtId="0" fontId="16" fillId="0" borderId="9" xfId="17" applyFont="1" applyBorder="1" applyAlignment="1">
      <alignment horizontal="justify" vertical="top" wrapText="1"/>
    </xf>
    <xf numFmtId="0" fontId="16" fillId="0" borderId="8" xfId="17" applyFont="1" applyFill="1" applyBorder="1" applyAlignment="1">
      <alignment vertical="top" wrapText="1"/>
    </xf>
    <xf numFmtId="0" fontId="16" fillId="7" borderId="41" xfId="17" applyFont="1" applyFill="1" applyBorder="1" applyAlignment="1">
      <alignment horizontal="center"/>
    </xf>
    <xf numFmtId="0" fontId="16" fillId="0" borderId="41" xfId="17" quotePrefix="1" applyFont="1" applyBorder="1" applyAlignment="1">
      <alignment horizontal="center"/>
    </xf>
    <xf numFmtId="0" fontId="16" fillId="0" borderId="32" xfId="17" quotePrefix="1" applyFont="1" applyBorder="1" applyAlignment="1">
      <alignment horizontal="center" vertical="top"/>
    </xf>
    <xf numFmtId="0" fontId="16" fillId="0" borderId="35" xfId="17" applyFont="1" applyBorder="1" applyAlignment="1">
      <alignment horizontal="center" vertical="center" wrapText="1"/>
    </xf>
    <xf numFmtId="0" fontId="16" fillId="0" borderId="35" xfId="17" applyFont="1" applyFill="1" applyBorder="1" applyAlignment="1">
      <alignment horizontal="center" vertical="top" wrapText="1"/>
    </xf>
    <xf numFmtId="0" fontId="16" fillId="0" borderId="0" xfId="17" applyFont="1" applyBorder="1" applyAlignment="1">
      <alignment wrapText="1"/>
    </xf>
    <xf numFmtId="0" fontId="16" fillId="0" borderId="23" xfId="17" applyFont="1" applyBorder="1" applyAlignment="1">
      <alignment horizontal="center" wrapText="1"/>
    </xf>
    <xf numFmtId="0" fontId="16" fillId="0" borderId="38" xfId="17" applyFont="1" applyBorder="1" applyAlignment="1">
      <alignment vertical="top"/>
    </xf>
    <xf numFmtId="0" fontId="16" fillId="0" borderId="39" xfId="17" quotePrefix="1" applyFont="1" applyBorder="1" applyAlignment="1">
      <alignment horizontal="center" vertical="top"/>
    </xf>
    <xf numFmtId="0" fontId="16" fillId="0" borderId="50" xfId="17" applyFont="1" applyBorder="1" applyAlignment="1">
      <alignment horizontal="center" vertical="center"/>
    </xf>
    <xf numFmtId="0" fontId="16" fillId="0" borderId="0" xfId="17" applyFont="1" applyBorder="1" applyAlignment="1">
      <alignment horizontal="center" wrapText="1"/>
    </xf>
    <xf numFmtId="0" fontId="16" fillId="0" borderId="50" xfId="17" applyFont="1" applyBorder="1" applyAlignment="1">
      <alignment horizontal="center" vertical="center" wrapText="1"/>
    </xf>
    <xf numFmtId="0" fontId="16" fillId="0" borderId="18" xfId="17" applyFont="1" applyBorder="1" applyAlignment="1">
      <alignment horizontal="justify" vertical="top" wrapText="1"/>
    </xf>
    <xf numFmtId="0" fontId="16" fillId="0" borderId="14" xfId="17" applyFont="1" applyBorder="1" applyAlignment="1">
      <alignment horizontal="justify" vertical="top" wrapText="1"/>
    </xf>
    <xf numFmtId="0" fontId="16" fillId="0" borderId="12" xfId="17" applyFont="1" applyBorder="1" applyAlignment="1">
      <alignment horizontal="justify" vertical="top" wrapText="1"/>
    </xf>
    <xf numFmtId="0" fontId="16" fillId="0" borderId="29" xfId="17" applyFont="1" applyBorder="1" applyAlignment="1">
      <alignment vertical="center"/>
    </xf>
    <xf numFmtId="0" fontId="16" fillId="0" borderId="33" xfId="17" applyFont="1" applyBorder="1" applyAlignment="1">
      <alignment vertical="center"/>
    </xf>
    <xf numFmtId="0" fontId="36" fillId="0" borderId="0" xfId="17" applyFont="1" applyBorder="1" applyAlignment="1">
      <alignment horizontal="center"/>
    </xf>
    <xf numFmtId="0" fontId="16" fillId="0" borderId="0" xfId="17" applyFont="1" applyBorder="1" applyAlignment="1">
      <alignment horizontal="left" vertical="top"/>
    </xf>
    <xf numFmtId="0" fontId="36" fillId="0" borderId="0" xfId="17" applyFont="1" applyBorder="1" applyAlignment="1">
      <alignment vertical="top" wrapText="1"/>
    </xf>
    <xf numFmtId="0" fontId="41" fillId="0" borderId="0" xfId="17" applyFont="1" applyAlignment="1">
      <alignment horizontal="center"/>
    </xf>
    <xf numFmtId="0" fontId="36" fillId="0" borderId="0" xfId="17" applyFont="1" applyAlignment="1">
      <alignment horizontal="center"/>
    </xf>
    <xf numFmtId="0" fontId="42" fillId="0" borderId="0" xfId="17" applyFont="1"/>
    <xf numFmtId="0" fontId="26" fillId="0" borderId="0" xfId="17" applyFont="1"/>
    <xf numFmtId="171" fontId="27" fillId="0" borderId="0" xfId="3" applyNumberFormat="1" applyFont="1" applyAlignment="1">
      <alignment horizontal="right" vertical="top"/>
    </xf>
    <xf numFmtId="171" fontId="26" fillId="0" borderId="8" xfId="3" applyNumberFormat="1" applyFont="1" applyBorder="1" applyAlignment="1">
      <alignment horizontal="right" vertical="top"/>
    </xf>
    <xf numFmtId="0" fontId="26" fillId="0" borderId="8" xfId="19" applyFont="1" applyBorder="1" applyAlignment="1">
      <alignment vertical="top"/>
    </xf>
    <xf numFmtId="0" fontId="26" fillId="0" borderId="8" xfId="19" applyFont="1" applyBorder="1" applyAlignment="1">
      <alignment horizontal="left" vertical="top"/>
    </xf>
    <xf numFmtId="0" fontId="26" fillId="0" borderId="8" xfId="19" applyFont="1" applyBorder="1" applyAlignment="1">
      <alignment vertical="top" wrapText="1"/>
    </xf>
    <xf numFmtId="171" fontId="26" fillId="0" borderId="8" xfId="3" applyNumberFormat="1" applyFont="1" applyFill="1" applyBorder="1" applyAlignment="1">
      <alignment horizontal="right" vertical="top"/>
    </xf>
    <xf numFmtId="171" fontId="33" fillId="0" borderId="0" xfId="3" applyNumberFormat="1" applyFont="1" applyAlignment="1">
      <alignment horizontal="right" vertical="top"/>
    </xf>
    <xf numFmtId="171" fontId="27" fillId="0" borderId="12" xfId="3" applyNumberFormat="1" applyFont="1" applyBorder="1" applyAlignment="1">
      <alignment horizontal="right"/>
    </xf>
    <xf numFmtId="0" fontId="26" fillId="0" borderId="12" xfId="19" applyFont="1" applyBorder="1"/>
    <xf numFmtId="0" fontId="26" fillId="0" borderId="12" xfId="19" applyFont="1" applyBorder="1" applyAlignment="1">
      <alignment horizontal="left"/>
    </xf>
    <xf numFmtId="43" fontId="35" fillId="0" borderId="31" xfId="5" applyFont="1" applyBorder="1" applyAlignment="1">
      <alignment horizontal="right"/>
    </xf>
    <xf numFmtId="0" fontId="35" fillId="0" borderId="31" xfId="19" applyFont="1" applyBorder="1"/>
    <xf numFmtId="0" fontId="35" fillId="0" borderId="31" xfId="19" applyFont="1" applyBorder="1" applyAlignment="1">
      <alignment horizontal="left"/>
    </xf>
    <xf numFmtId="0" fontId="45" fillId="0" borderId="0" xfId="19" applyFont="1" applyAlignment="1">
      <alignment horizontal="center"/>
    </xf>
    <xf numFmtId="0" fontId="35" fillId="0" borderId="0" xfId="19" applyFont="1" applyAlignment="1"/>
    <xf numFmtId="0" fontId="35" fillId="0" borderId="0" xfId="19" applyFont="1" applyAlignment="1">
      <alignment horizontal="center"/>
    </xf>
    <xf numFmtId="0" fontId="26" fillId="0" borderId="0" xfId="19" applyFont="1" applyAlignment="1">
      <alignment horizontal="left"/>
    </xf>
    <xf numFmtId="43" fontId="26" fillId="0" borderId="0" xfId="5" applyFont="1" applyAlignment="1">
      <alignment horizontal="left"/>
    </xf>
    <xf numFmtId="0" fontId="26" fillId="0" borderId="0" xfId="19" quotePrefix="1" applyFont="1" applyAlignment="1">
      <alignment horizontal="left"/>
    </xf>
    <xf numFmtId="0" fontId="46" fillId="0" borderId="14" xfId="17" quotePrefix="1" applyFont="1" applyFill="1" applyBorder="1"/>
    <xf numFmtId="0" fontId="26" fillId="0" borderId="14" xfId="17" applyFont="1" applyBorder="1"/>
    <xf numFmtId="0" fontId="35" fillId="0" borderId="15" xfId="19" applyFont="1" applyFill="1" applyBorder="1" applyAlignment="1">
      <alignment horizontal="left"/>
    </xf>
    <xf numFmtId="0" fontId="26" fillId="0" borderId="15" xfId="19" applyFont="1" applyBorder="1" applyAlignment="1">
      <alignment horizontal="left"/>
    </xf>
    <xf numFmtId="0" fontId="26" fillId="0" borderId="18" xfId="19" applyFont="1" applyBorder="1" applyAlignment="1">
      <alignment horizontal="left"/>
    </xf>
    <xf numFmtId="0" fontId="26" fillId="0" borderId="18" xfId="17" applyFont="1" applyBorder="1"/>
    <xf numFmtId="0" fontId="35" fillId="0" borderId="19" xfId="19" applyFont="1" applyFill="1" applyBorder="1" applyAlignment="1">
      <alignment horizontal="left"/>
    </xf>
    <xf numFmtId="0" fontId="26" fillId="0" borderId="19" xfId="19" applyFont="1" applyBorder="1" applyAlignment="1">
      <alignment horizontal="left"/>
    </xf>
    <xf numFmtId="0" fontId="26" fillId="0" borderId="9" xfId="19" applyFont="1" applyBorder="1" applyAlignment="1">
      <alignment horizontal="left"/>
    </xf>
    <xf numFmtId="0" fontId="26" fillId="0" borderId="11" xfId="17" applyFont="1" applyBorder="1"/>
    <xf numFmtId="0" fontId="35" fillId="0" borderId="11" xfId="19" applyFont="1" applyBorder="1" applyAlignment="1">
      <alignment horizontal="left"/>
    </xf>
    <xf numFmtId="0" fontId="35" fillId="0" borderId="20" xfId="19" applyFont="1" applyBorder="1" applyAlignment="1">
      <alignment horizontal="left"/>
    </xf>
    <xf numFmtId="0" fontId="26" fillId="0" borderId="16" xfId="19" applyFont="1" applyBorder="1" applyAlignment="1">
      <alignment horizontal="left"/>
    </xf>
    <xf numFmtId="0" fontId="26" fillId="0" borderId="16" xfId="17" applyFont="1" applyBorder="1"/>
    <xf numFmtId="0" fontId="35" fillId="0" borderId="17" xfId="19" applyFont="1" applyBorder="1" applyAlignment="1">
      <alignment horizontal="left"/>
    </xf>
    <xf numFmtId="0" fontId="35" fillId="0" borderId="18" xfId="19" applyFont="1" applyBorder="1" applyAlignment="1">
      <alignment horizontal="left"/>
    </xf>
    <xf numFmtId="0" fontId="35" fillId="0" borderId="19" xfId="19" applyFont="1" applyBorder="1" applyAlignment="1">
      <alignment horizontal="left"/>
    </xf>
    <xf numFmtId="0" fontId="47" fillId="0" borderId="0" xfId="17" applyFont="1" applyBorder="1"/>
    <xf numFmtId="0" fontId="39" fillId="0" borderId="0" xfId="17" applyFont="1" applyBorder="1" applyAlignment="1">
      <alignment horizontal="center"/>
    </xf>
    <xf numFmtId="0" fontId="35" fillId="0" borderId="0" xfId="17" applyFont="1" applyBorder="1"/>
    <xf numFmtId="0" fontId="35" fillId="0" borderId="0" xfId="17" applyFont="1" applyAlignment="1">
      <alignment horizontal="center"/>
    </xf>
    <xf numFmtId="0" fontId="5" fillId="0" borderId="0" xfId="17" applyAlignment="1">
      <alignment horizontal="left" vertical="top"/>
    </xf>
    <xf numFmtId="0" fontId="5" fillId="0" borderId="57" xfId="17" quotePrefix="1" applyBorder="1"/>
    <xf numFmtId="0" fontId="5" fillId="0" borderId="27" xfId="17" applyBorder="1"/>
    <xf numFmtId="0" fontId="5" fillId="0" borderId="50" xfId="17" quotePrefix="1" applyBorder="1"/>
    <xf numFmtId="0" fontId="5" fillId="0" borderId="8" xfId="17" applyBorder="1"/>
    <xf numFmtId="49" fontId="5" fillId="0" borderId="50" xfId="17" applyNumberFormat="1" applyBorder="1"/>
    <xf numFmtId="49" fontId="5" fillId="0" borderId="8" xfId="17" applyNumberFormat="1" applyBorder="1"/>
    <xf numFmtId="49" fontId="5" fillId="0" borderId="8" xfId="17" applyNumberFormat="1" applyBorder="1" applyAlignment="1">
      <alignment horizontal="center"/>
    </xf>
    <xf numFmtId="0" fontId="5" fillId="0" borderId="8" xfId="17" applyBorder="1" applyAlignment="1">
      <alignment horizontal="left"/>
    </xf>
    <xf numFmtId="0" fontId="7" fillId="0" borderId="59" xfId="17" applyFont="1" applyBorder="1" applyAlignment="1">
      <alignment horizontal="center"/>
    </xf>
    <xf numFmtId="0" fontId="7" fillId="0" borderId="60" xfId="17" applyFont="1" applyBorder="1" applyAlignment="1">
      <alignment horizontal="center"/>
    </xf>
    <xf numFmtId="0" fontId="7" fillId="0" borderId="61" xfId="17" applyFont="1" applyBorder="1" applyAlignment="1">
      <alignment horizontal="center"/>
    </xf>
    <xf numFmtId="0" fontId="5" fillId="0" borderId="25" xfId="17" applyBorder="1"/>
    <xf numFmtId="0" fontId="5" fillId="0" borderId="48" xfId="17" applyBorder="1" applyAlignment="1">
      <alignment horizontal="right"/>
    </xf>
    <xf numFmtId="0" fontId="7" fillId="0" borderId="48" xfId="17" applyFont="1" applyBorder="1"/>
    <xf numFmtId="0" fontId="5" fillId="0" borderId="48" xfId="17" applyBorder="1"/>
    <xf numFmtId="0" fontId="5" fillId="0" borderId="66" xfId="17" applyBorder="1"/>
    <xf numFmtId="14" fontId="5" fillId="0" borderId="50" xfId="17" applyNumberFormat="1" applyBorder="1" applyAlignment="1">
      <alignment horizontal="right"/>
    </xf>
    <xf numFmtId="0" fontId="5" fillId="0" borderId="41" xfId="17" applyBorder="1"/>
    <xf numFmtId="0" fontId="37" fillId="0" borderId="50" xfId="17" applyFont="1" applyBorder="1"/>
    <xf numFmtId="0" fontId="37" fillId="0" borderId="8" xfId="17" applyFont="1" applyBorder="1"/>
    <xf numFmtId="0" fontId="37" fillId="0" borderId="41" xfId="17" applyFont="1" applyBorder="1"/>
    <xf numFmtId="0" fontId="5" fillId="0" borderId="50" xfId="17" applyBorder="1"/>
    <xf numFmtId="0" fontId="5" fillId="0" borderId="59" xfId="17" applyBorder="1"/>
    <xf numFmtId="0" fontId="5" fillId="0" borderId="60" xfId="17" applyBorder="1"/>
    <xf numFmtId="0" fontId="5" fillId="0" borderId="61" xfId="17" applyBorder="1"/>
    <xf numFmtId="171" fontId="39" fillId="0" borderId="0" xfId="6" applyNumberFormat="1" applyFont="1"/>
    <xf numFmtId="171" fontId="39" fillId="0" borderId="6" xfId="6" applyNumberFormat="1" applyFont="1" applyBorder="1"/>
    <xf numFmtId="0" fontId="5" fillId="0" borderId="45" xfId="17" applyBorder="1"/>
    <xf numFmtId="0" fontId="5" fillId="0" borderId="6" xfId="17" applyBorder="1"/>
    <xf numFmtId="0" fontId="5" fillId="0" borderId="22" xfId="17" applyBorder="1"/>
    <xf numFmtId="0" fontId="5" fillId="0" borderId="46" xfId="17" applyBorder="1"/>
    <xf numFmtId="0" fontId="5" fillId="0" borderId="24" xfId="17" applyBorder="1"/>
    <xf numFmtId="164" fontId="50" fillId="0" borderId="46" xfId="3" applyNumberFormat="1" applyFont="1" applyBorder="1" applyAlignment="1">
      <alignment horizontal="right"/>
    </xf>
    <xf numFmtId="0" fontId="6" fillId="0" borderId="46" xfId="17" applyFont="1" applyBorder="1"/>
    <xf numFmtId="0" fontId="6" fillId="0" borderId="24" xfId="17" applyFont="1" applyBorder="1"/>
    <xf numFmtId="0" fontId="5" fillId="0" borderId="62" xfId="17" applyBorder="1" applyAlignment="1">
      <alignment horizontal="right"/>
    </xf>
    <xf numFmtId="0" fontId="5" fillId="0" borderId="65" xfId="17" applyBorder="1" applyAlignment="1">
      <alignment horizontal="center"/>
    </xf>
    <xf numFmtId="0" fontId="5" fillId="0" borderId="62" xfId="17" applyBorder="1" applyAlignment="1">
      <alignment horizontal="center"/>
    </xf>
    <xf numFmtId="0" fontId="5" fillId="0" borderId="64" xfId="17" applyBorder="1" applyAlignment="1">
      <alignment horizontal="center"/>
    </xf>
    <xf numFmtId="0" fontId="6" fillId="0" borderId="23" xfId="17" applyFont="1" applyBorder="1" applyAlignment="1">
      <alignment horizontal="right"/>
    </xf>
    <xf numFmtId="0" fontId="5" fillId="0" borderId="24" xfId="17" applyBorder="1" applyAlignment="1"/>
    <xf numFmtId="0" fontId="49" fillId="0" borderId="0" xfId="17" applyFont="1"/>
    <xf numFmtId="164" fontId="37" fillId="0" borderId="50" xfId="4" applyNumberFormat="1" applyFont="1" applyBorder="1"/>
    <xf numFmtId="164" fontId="37" fillId="0" borderId="8" xfId="4" applyNumberFormat="1" applyFont="1" applyBorder="1"/>
    <xf numFmtId="170" fontId="25" fillId="0" borderId="8" xfId="17" applyNumberFormat="1" applyFont="1" applyBorder="1"/>
    <xf numFmtId="170" fontId="37" fillId="0" borderId="8" xfId="4" applyNumberFormat="1" applyFont="1" applyBorder="1"/>
    <xf numFmtId="0" fontId="37" fillId="0" borderId="8" xfId="17" applyFont="1" applyBorder="1" applyAlignment="1">
      <alignment horizontal="center"/>
    </xf>
    <xf numFmtId="0" fontId="39" fillId="0" borderId="8" xfId="17" applyFont="1" applyBorder="1"/>
    <xf numFmtId="0" fontId="39" fillId="0" borderId="41" xfId="17" applyFont="1" applyBorder="1" applyAlignment="1">
      <alignment horizontal="center"/>
    </xf>
    <xf numFmtId="164" fontId="25" fillId="0" borderId="50" xfId="4" applyNumberFormat="1" applyFont="1" applyBorder="1"/>
    <xf numFmtId="164" fontId="25" fillId="0" borderId="8" xfId="4" applyNumberFormat="1" applyFont="1" applyBorder="1"/>
    <xf numFmtId="0" fontId="39" fillId="0" borderId="8" xfId="17" applyFont="1" applyFill="1" applyBorder="1" applyAlignment="1">
      <alignment horizontal="right"/>
    </xf>
    <xf numFmtId="0" fontId="38" fillId="0" borderId="8" xfId="17" applyFont="1" applyBorder="1"/>
    <xf numFmtId="0" fontId="17" fillId="0" borderId="0" xfId="17" applyFont="1"/>
    <xf numFmtId="164" fontId="25" fillId="5" borderId="50" xfId="4" applyNumberFormat="1" applyFont="1" applyFill="1" applyBorder="1"/>
    <xf numFmtId="164" fontId="25" fillId="5" borderId="8" xfId="4" applyNumberFormat="1" applyFont="1" applyFill="1" applyBorder="1"/>
    <xf numFmtId="170" fontId="25" fillId="5" borderId="8" xfId="17" applyNumberFormat="1" applyFont="1" applyFill="1" applyBorder="1" applyAlignment="1">
      <alignment horizontal="right"/>
    </xf>
    <xf numFmtId="170" fontId="25" fillId="5" borderId="8" xfId="17" applyNumberFormat="1" applyFont="1" applyFill="1" applyBorder="1"/>
    <xf numFmtId="0" fontId="39" fillId="5" borderId="8" xfId="17" applyFont="1" applyFill="1" applyBorder="1" applyAlignment="1">
      <alignment horizontal="right"/>
    </xf>
    <xf numFmtId="0" fontId="38" fillId="5" borderId="8" xfId="17" applyFont="1" applyFill="1" applyBorder="1"/>
    <xf numFmtId="14" fontId="39" fillId="0" borderId="8" xfId="17" applyNumberFormat="1" applyFont="1" applyBorder="1" applyAlignment="1">
      <alignment horizontal="right"/>
    </xf>
    <xf numFmtId="164" fontId="39" fillId="0" borderId="37" xfId="4" applyNumberFormat="1" applyFont="1" applyBorder="1"/>
    <xf numFmtId="164" fontId="39" fillId="0" borderId="12" xfId="4" applyNumberFormat="1" applyFont="1" applyBorder="1"/>
    <xf numFmtId="170" fontId="39" fillId="0" borderId="12" xfId="17" applyNumberFormat="1" applyFont="1" applyBorder="1"/>
    <xf numFmtId="0" fontId="39" fillId="0" borderId="12" xfId="17" applyFont="1" applyBorder="1"/>
    <xf numFmtId="0" fontId="39" fillId="0" borderId="30" xfId="17" applyFont="1" applyBorder="1" applyAlignment="1">
      <alignment horizontal="center"/>
    </xf>
    <xf numFmtId="164" fontId="38" fillId="0" borderId="68" xfId="4" applyNumberFormat="1" applyFont="1" applyBorder="1" applyAlignment="1">
      <alignment wrapText="1"/>
    </xf>
    <xf numFmtId="170" fontId="38" fillId="0" borderId="69" xfId="17" applyNumberFormat="1" applyFont="1" applyBorder="1" applyAlignment="1">
      <alignment horizontal="center" wrapText="1"/>
    </xf>
    <xf numFmtId="170" fontId="38" fillId="0" borderId="69" xfId="17" applyNumberFormat="1" applyFont="1" applyBorder="1" applyAlignment="1">
      <alignment wrapText="1"/>
    </xf>
    <xf numFmtId="164" fontId="38" fillId="0" borderId="69" xfId="4" applyNumberFormat="1" applyFont="1" applyBorder="1" applyAlignment="1">
      <alignment horizontal="center" wrapText="1"/>
    </xf>
    <xf numFmtId="0" fontId="38" fillId="0" borderId="69" xfId="17" applyFont="1" applyBorder="1" applyAlignment="1">
      <alignment horizontal="center" wrapText="1"/>
    </xf>
    <xf numFmtId="0" fontId="38" fillId="0" borderId="70" xfId="17" applyFont="1" applyBorder="1" applyAlignment="1">
      <alignment horizontal="center" wrapText="1"/>
    </xf>
    <xf numFmtId="164" fontId="39" fillId="0" borderId="23" xfId="4" applyNumberFormat="1" applyFont="1" applyBorder="1"/>
    <xf numFmtId="164" fontId="39" fillId="0" borderId="0" xfId="4" applyNumberFormat="1" applyFont="1" applyBorder="1"/>
    <xf numFmtId="170" fontId="39" fillId="0" borderId="0" xfId="17" applyNumberFormat="1" applyFont="1" applyBorder="1"/>
    <xf numFmtId="0" fontId="39" fillId="0" borderId="24" xfId="17" applyFont="1" applyBorder="1" applyAlignment="1">
      <alignment horizontal="center"/>
    </xf>
    <xf numFmtId="43" fontId="7" fillId="0" borderId="0" xfId="3" applyFont="1"/>
    <xf numFmtId="164" fontId="7" fillId="0" borderId="9" xfId="3" applyNumberFormat="1" applyFont="1" applyBorder="1"/>
    <xf numFmtId="43" fontId="7" fillId="0" borderId="9" xfId="3" applyFont="1" applyBorder="1"/>
    <xf numFmtId="0" fontId="7" fillId="0" borderId="9" xfId="17" applyFont="1" applyBorder="1"/>
    <xf numFmtId="0" fontId="7" fillId="0" borderId="9" xfId="17" applyFont="1" applyBorder="1" applyAlignment="1">
      <alignment horizontal="center"/>
    </xf>
    <xf numFmtId="0" fontId="7" fillId="0" borderId="8" xfId="17" applyFont="1" applyBorder="1" applyAlignment="1">
      <alignment horizontal="center"/>
    </xf>
    <xf numFmtId="164" fontId="7" fillId="0" borderId="16" xfId="3" applyNumberFormat="1" applyFont="1" applyBorder="1"/>
    <xf numFmtId="43" fontId="7" fillId="0" borderId="16" xfId="3" applyFont="1" applyBorder="1" applyAlignment="1">
      <alignment horizontal="center"/>
    </xf>
    <xf numFmtId="0" fontId="7" fillId="0" borderId="16" xfId="17" applyFont="1" applyBorder="1"/>
    <xf numFmtId="0" fontId="7" fillId="0" borderId="16" xfId="17" applyFont="1" applyBorder="1" applyAlignment="1">
      <alignment horizontal="center"/>
    </xf>
    <xf numFmtId="0" fontId="7" fillId="0" borderId="38" xfId="17" applyFont="1" applyBorder="1"/>
    <xf numFmtId="43" fontId="7" fillId="0" borderId="18" xfId="3" applyFont="1" applyBorder="1"/>
    <xf numFmtId="43" fontId="7" fillId="0" borderId="18" xfId="3" applyFont="1" applyBorder="1" applyAlignment="1">
      <alignment horizontal="center"/>
    </xf>
    <xf numFmtId="0" fontId="7" fillId="0" borderId="18" xfId="17" applyFont="1" applyBorder="1"/>
    <xf numFmtId="0" fontId="7" fillId="0" borderId="18" xfId="17" applyFont="1" applyBorder="1" applyAlignment="1">
      <alignment horizontal="center"/>
    </xf>
    <xf numFmtId="0" fontId="7" fillId="0" borderId="31" xfId="17" applyFont="1" applyBorder="1"/>
    <xf numFmtId="43" fontId="7" fillId="0" borderId="14" xfId="3" applyFont="1" applyBorder="1" applyAlignment="1">
      <alignment horizontal="center"/>
    </xf>
    <xf numFmtId="43" fontId="7" fillId="0" borderId="12" xfId="3" applyFont="1" applyBorder="1" applyAlignment="1">
      <alignment horizontal="center"/>
    </xf>
    <xf numFmtId="0" fontId="7" fillId="0" borderId="12" xfId="17" applyFont="1" applyBorder="1" applyAlignment="1">
      <alignment horizontal="center"/>
    </xf>
    <xf numFmtId="43" fontId="7" fillId="0" borderId="38" xfId="3" applyFont="1" applyBorder="1" applyAlignment="1">
      <alignment horizontal="center"/>
    </xf>
    <xf numFmtId="0" fontId="7" fillId="0" borderId="38" xfId="17" applyFont="1" applyBorder="1" applyAlignment="1">
      <alignment horizontal="center"/>
    </xf>
    <xf numFmtId="43" fontId="7" fillId="0" borderId="31" xfId="3" applyFont="1" applyBorder="1" applyAlignment="1">
      <alignment horizontal="center"/>
    </xf>
    <xf numFmtId="0" fontId="7" fillId="0" borderId="31" xfId="17" applyFont="1" applyBorder="1" applyAlignment="1">
      <alignment horizontal="center"/>
    </xf>
    <xf numFmtId="171" fontId="39" fillId="0" borderId="56" xfId="6" applyNumberFormat="1" applyFont="1" applyBorder="1"/>
    <xf numFmtId="171" fontId="39" fillId="0" borderId="55" xfId="6" applyNumberFormat="1" applyFont="1" applyBorder="1"/>
    <xf numFmtId="171" fontId="39" fillId="0" borderId="24" xfId="6" applyNumberFormat="1" applyFont="1" applyBorder="1"/>
    <xf numFmtId="171" fontId="39" fillId="0" borderId="0" xfId="6" applyNumberFormat="1" applyFont="1" applyBorder="1"/>
    <xf numFmtId="171" fontId="39" fillId="0" borderId="23" xfId="6" applyNumberFormat="1" applyFont="1" applyBorder="1"/>
    <xf numFmtId="171" fontId="39" fillId="0" borderId="22" xfId="6" applyNumberFormat="1" applyFont="1" applyBorder="1"/>
    <xf numFmtId="171" fontId="39" fillId="0" borderId="21" xfId="6" applyNumberFormat="1" applyFont="1" applyBorder="1"/>
    <xf numFmtId="171" fontId="38" fillId="0" borderId="0" xfId="6" applyNumberFormat="1" applyFont="1" applyAlignment="1">
      <alignment horizontal="right"/>
    </xf>
    <xf numFmtId="171" fontId="39" fillId="0" borderId="0" xfId="6" applyNumberFormat="1" applyFont="1" applyFill="1"/>
    <xf numFmtId="171" fontId="38" fillId="0" borderId="0" xfId="6" applyNumberFormat="1" applyFont="1"/>
    <xf numFmtId="171" fontId="39" fillId="0" borderId="3" xfId="6" applyNumberFormat="1" applyFont="1" applyBorder="1"/>
    <xf numFmtId="171" fontId="38" fillId="0" borderId="6" xfId="6" applyNumberFormat="1" applyFont="1" applyBorder="1"/>
    <xf numFmtId="171" fontId="38" fillId="0" borderId="7" xfId="6" applyNumberFormat="1" applyFont="1" applyBorder="1"/>
    <xf numFmtId="171" fontId="39" fillId="0" borderId="0" xfId="6" applyNumberFormat="1" applyFont="1" applyAlignment="1">
      <alignment horizontal="right"/>
    </xf>
    <xf numFmtId="171" fontId="40" fillId="0" borderId="0" xfId="6" applyNumberFormat="1" applyFont="1"/>
    <xf numFmtId="14" fontId="39" fillId="0" borderId="0" xfId="6" applyNumberFormat="1" applyFont="1"/>
    <xf numFmtId="164" fontId="39" fillId="0" borderId="0" xfId="2" applyNumberFormat="1" applyFont="1"/>
    <xf numFmtId="164" fontId="39" fillId="0" borderId="0" xfId="2" applyNumberFormat="1" applyFont="1" applyAlignment="1">
      <alignment horizontal="right"/>
    </xf>
    <xf numFmtId="164" fontId="39" fillId="0" borderId="6" xfId="2" applyNumberFormat="1" applyFont="1" applyBorder="1"/>
    <xf numFmtId="164" fontId="39" fillId="0" borderId="0" xfId="2" applyNumberFormat="1" applyFont="1" applyBorder="1"/>
    <xf numFmtId="171" fontId="39" fillId="0" borderId="0" xfId="6" applyNumberFormat="1" applyFont="1" applyBorder="1" applyAlignment="1">
      <alignment horizontal="right"/>
    </xf>
    <xf numFmtId="171" fontId="39" fillId="0" borderId="3" xfId="6" applyNumberFormat="1" applyFont="1" applyBorder="1" applyAlignment="1">
      <alignment horizontal="right"/>
    </xf>
    <xf numFmtId="43" fontId="6" fillId="0" borderId="0" xfId="2" applyFont="1" applyAlignment="1">
      <alignment vertical="top" wrapText="1"/>
    </xf>
    <xf numFmtId="0" fontId="0" fillId="0" borderId="0" xfId="0" applyFont="1" applyAlignment="1">
      <alignment horizontal="left" indent="1"/>
    </xf>
    <xf numFmtId="0" fontId="51" fillId="0" borderId="0" xfId="0" applyFont="1" applyFill="1" applyBorder="1"/>
    <xf numFmtId="0" fontId="59" fillId="0" borderId="0" xfId="0" applyFont="1" applyFill="1" applyBorder="1"/>
    <xf numFmtId="0" fontId="0" fillId="0" borderId="0" xfId="0" applyFont="1" applyFill="1" applyBorder="1"/>
    <xf numFmtId="0" fontId="66" fillId="0" borderId="0" xfId="0" applyFont="1" applyBorder="1" applyAlignment="1">
      <alignment vertical="top"/>
    </xf>
    <xf numFmtId="43" fontId="59" fillId="0" borderId="0" xfId="2" applyFont="1"/>
    <xf numFmtId="43" fontId="59" fillId="0" borderId="0" xfId="2" applyFont="1" applyAlignment="1">
      <alignment horizontal="left"/>
    </xf>
    <xf numFmtId="43" fontId="59" fillId="0" borderId="0" xfId="2" applyFont="1" applyAlignment="1">
      <alignment wrapText="1"/>
    </xf>
    <xf numFmtId="43" fontId="59" fillId="0" borderId="0" xfId="2" applyFont="1" applyAlignment="1">
      <alignment horizontal="left" indent="1"/>
    </xf>
    <xf numFmtId="43" fontId="67" fillId="0" borderId="0" xfId="2" applyFont="1"/>
    <xf numFmtId="43" fontId="50" fillId="0" borderId="0" xfId="1" applyFont="1"/>
    <xf numFmtId="43" fontId="57" fillId="0" borderId="0" xfId="1" applyFont="1" applyBorder="1" applyAlignment="1"/>
    <xf numFmtId="43" fontId="50" fillId="9" borderId="0" xfId="1" applyFont="1" applyFill="1"/>
    <xf numFmtId="43" fontId="61" fillId="0" borderId="6" xfId="1" applyFont="1" applyBorder="1" applyAlignment="1"/>
    <xf numFmtId="43" fontId="54" fillId="0" borderId="6" xfId="1" applyFont="1" applyBorder="1"/>
    <xf numFmtId="43" fontId="53" fillId="0" borderId="6" xfId="1" applyFont="1" applyFill="1" applyBorder="1" applyAlignment="1">
      <alignment horizontal="center"/>
    </xf>
    <xf numFmtId="43" fontId="53" fillId="0" borderId="6" xfId="1" applyFont="1" applyBorder="1" applyAlignment="1">
      <alignment horizontal="center"/>
    </xf>
    <xf numFmtId="43" fontId="51" fillId="0" borderId="0" xfId="1" applyFont="1" applyFill="1" applyBorder="1"/>
    <xf numFmtId="43" fontId="50" fillId="0" borderId="0" xfId="1" applyFont="1" applyFill="1" applyAlignment="1">
      <alignment horizontal="right"/>
    </xf>
    <xf numFmtId="43" fontId="50" fillId="0" borderId="0" xfId="1" applyFont="1" applyAlignment="1">
      <alignment horizontal="right"/>
    </xf>
    <xf numFmtId="43" fontId="59" fillId="0" borderId="0" xfId="1" applyFont="1" applyFill="1" applyBorder="1"/>
    <xf numFmtId="43" fontId="59" fillId="0" borderId="0" xfId="1" applyFont="1" applyFill="1" applyBorder="1" applyAlignment="1">
      <alignment horizontal="left" indent="1"/>
    </xf>
    <xf numFmtId="43" fontId="50" fillId="0" borderId="0" xfId="1" applyFont="1" applyAlignment="1">
      <alignment horizontal="left" indent="1"/>
    </xf>
    <xf numFmtId="43" fontId="50" fillId="0" borderId="0" xfId="1" applyFont="1" applyFill="1" applyBorder="1"/>
    <xf numFmtId="43" fontId="51" fillId="0" borderId="4" xfId="1" applyFont="1" applyFill="1" applyBorder="1" applyAlignment="1">
      <alignment horizontal="right"/>
    </xf>
    <xf numFmtId="43" fontId="51" fillId="0" borderId="0" xfId="1" applyFont="1" applyFill="1" applyBorder="1" applyAlignment="1">
      <alignment horizontal="right"/>
    </xf>
    <xf numFmtId="43" fontId="51" fillId="0" borderId="0" xfId="1" applyFont="1" applyBorder="1" applyAlignment="1">
      <alignment horizontal="right"/>
    </xf>
    <xf numFmtId="43" fontId="51" fillId="0" borderId="4" xfId="1" applyFont="1" applyBorder="1" applyAlignment="1">
      <alignment horizontal="right"/>
    </xf>
    <xf numFmtId="43" fontId="66" fillId="0" borderId="0" xfId="1" applyFont="1" applyBorder="1" applyAlignment="1">
      <alignment vertical="top"/>
    </xf>
    <xf numFmtId="43" fontId="59" fillId="0" borderId="0" xfId="1" applyFont="1"/>
    <xf numFmtId="43" fontId="51" fillId="0" borderId="0" xfId="1" applyFont="1"/>
    <xf numFmtId="43" fontId="67" fillId="0" borderId="0" xfId="1" applyFont="1" applyAlignment="1">
      <alignment horizontal="left"/>
    </xf>
    <xf numFmtId="43" fontId="67" fillId="0" borderId="0" xfId="1" applyFont="1" applyBorder="1"/>
    <xf numFmtId="43" fontId="67" fillId="0" borderId="0" xfId="1" applyFont="1" applyAlignment="1">
      <alignment wrapText="1"/>
    </xf>
    <xf numFmtId="43" fontId="59" fillId="0" borderId="0" xfId="1" applyFont="1" applyFill="1"/>
    <xf numFmtId="43" fontId="59" fillId="0" borderId="0" xfId="1" applyFont="1" applyAlignment="1">
      <alignment horizontal="left" indent="1"/>
    </xf>
    <xf numFmtId="43" fontId="50" fillId="0" borderId="7" xfId="1" applyFont="1" applyBorder="1"/>
    <xf numFmtId="43" fontId="51" fillId="0" borderId="7" xfId="1" applyFont="1" applyFill="1" applyBorder="1" applyAlignment="1">
      <alignment horizontal="right"/>
    </xf>
    <xf numFmtId="43" fontId="59" fillId="9" borderId="0" xfId="1" applyFont="1" applyFill="1" applyAlignment="1">
      <alignment horizontal="left" indent="1"/>
    </xf>
    <xf numFmtId="43" fontId="59" fillId="9" borderId="0" xfId="1" applyFont="1" applyFill="1" applyAlignment="1">
      <alignment horizontal="left" wrapText="1" indent="1"/>
    </xf>
    <xf numFmtId="43" fontId="51" fillId="9" borderId="4" xfId="1" applyFont="1" applyFill="1" applyBorder="1"/>
    <xf numFmtId="172" fontId="50" fillId="9" borderId="0" xfId="1" applyNumberFormat="1" applyFont="1" applyFill="1"/>
    <xf numFmtId="164" fontId="50" fillId="9" borderId="0" xfId="1" applyNumberFormat="1" applyFont="1" applyFill="1"/>
    <xf numFmtId="43" fontId="67" fillId="0" borderId="0" xfId="1" applyFont="1" applyFill="1" applyBorder="1"/>
    <xf numFmtId="0" fontId="67" fillId="0" borderId="0" xfId="0" applyFont="1" applyFill="1" applyBorder="1"/>
    <xf numFmtId="0" fontId="59" fillId="0" borderId="0" xfId="0" applyFont="1" applyFill="1" applyBorder="1" applyAlignment="1">
      <alignment horizontal="left" indent="2"/>
    </xf>
    <xf numFmtId="43" fontId="50" fillId="9" borderId="0" xfId="1" applyFont="1" applyFill="1" applyAlignment="1">
      <alignment horizontal="right"/>
    </xf>
    <xf numFmtId="0" fontId="39" fillId="0" borderId="23" xfId="17" applyFont="1" applyBorder="1" applyAlignment="1">
      <alignment horizontal="left"/>
    </xf>
    <xf numFmtId="0" fontId="40" fillId="0" borderId="23" xfId="17" applyFont="1" applyBorder="1" applyAlignment="1">
      <alignment horizontal="left"/>
    </xf>
    <xf numFmtId="0" fontId="16" fillId="0" borderId="29" xfId="17" applyFont="1" applyBorder="1" applyAlignment="1">
      <alignment horizontal="center" vertical="center"/>
    </xf>
    <xf numFmtId="43" fontId="26" fillId="0" borderId="0" xfId="17" applyNumberFormat="1" applyFont="1"/>
    <xf numFmtId="164" fontId="53" fillId="0" borderId="0" xfId="1" applyNumberFormat="1" applyFont="1" applyBorder="1" applyAlignment="1">
      <alignment horizontal="center"/>
    </xf>
    <xf numFmtId="164" fontId="52" fillId="0" borderId="0" xfId="1" applyNumberFormat="1" applyFont="1" applyBorder="1"/>
    <xf numFmtId="164" fontId="52" fillId="8" borderId="0" xfId="1" applyNumberFormat="1" applyFont="1" applyFill="1" applyBorder="1" applyAlignment="1">
      <alignment horizontal="right"/>
    </xf>
    <xf numFmtId="164" fontId="52" fillId="8" borderId="0" xfId="1" applyNumberFormat="1" applyFont="1" applyFill="1" applyBorder="1"/>
    <xf numFmtId="164" fontId="52" fillId="0" borderId="0" xfId="1" applyNumberFormat="1" applyFont="1" applyFill="1" applyBorder="1"/>
    <xf numFmtId="164" fontId="52" fillId="0" borderId="0" xfId="1" applyNumberFormat="1" applyFont="1" applyBorder="1" applyAlignment="1">
      <alignment horizontal="right"/>
    </xf>
    <xf numFmtId="164" fontId="52" fillId="0" borderId="0" xfId="1" applyNumberFormat="1" applyFont="1" applyFill="1" applyBorder="1" applyAlignment="1">
      <alignment horizontal="right"/>
    </xf>
    <xf numFmtId="164" fontId="53" fillId="0" borderId="0" xfId="1" applyNumberFormat="1" applyFont="1" applyFill="1" applyBorder="1" applyAlignment="1">
      <alignment horizontal="right"/>
    </xf>
    <xf numFmtId="164" fontId="53" fillId="0" borderId="0" xfId="1" applyNumberFormat="1" applyFont="1" applyBorder="1" applyAlignment="1">
      <alignment horizontal="right"/>
    </xf>
    <xf numFmtId="164" fontId="52" fillId="9" borderId="0" xfId="1" applyNumberFormat="1" applyFont="1" applyFill="1" applyBorder="1" applyAlignment="1">
      <alignment horizontal="right"/>
    </xf>
    <xf numFmtId="164" fontId="52" fillId="0" borderId="0" xfId="1" applyNumberFormat="1" applyFont="1" applyFill="1" applyBorder="1" applyAlignment="1">
      <alignment horizontal="center"/>
    </xf>
    <xf numFmtId="164" fontId="52" fillId="0" borderId="0" xfId="1" applyNumberFormat="1" applyFont="1" applyBorder="1" applyAlignment="1">
      <alignment horizontal="center"/>
    </xf>
    <xf numFmtId="164" fontId="53" fillId="0" borderId="0" xfId="1" applyNumberFormat="1" applyFont="1" applyFill="1" applyBorder="1" applyAlignment="1">
      <alignment horizontal="center"/>
    </xf>
    <xf numFmtId="164" fontId="52" fillId="0" borderId="0" xfId="1" applyNumberFormat="1" applyFont="1"/>
    <xf numFmtId="164" fontId="52" fillId="0" borderId="0" xfId="1" applyNumberFormat="1" applyFont="1" applyFill="1" applyAlignment="1">
      <alignment horizontal="right"/>
    </xf>
    <xf numFmtId="164" fontId="52" fillId="9" borderId="0" xfId="1" applyNumberFormat="1" applyFont="1" applyFill="1" applyBorder="1"/>
    <xf numFmtId="164" fontId="53" fillId="0" borderId="7" xfId="1" applyNumberFormat="1" applyFont="1" applyBorder="1"/>
    <xf numFmtId="43" fontId="0" fillId="0" borderId="0" xfId="2" applyFont="1"/>
    <xf numFmtId="43" fontId="8" fillId="0" borderId="0" xfId="2" quotePrefix="1" applyFont="1"/>
    <xf numFmtId="12" fontId="8" fillId="0" borderId="0" xfId="2" quotePrefix="1" applyNumberFormat="1" applyFont="1"/>
    <xf numFmtId="43" fontId="22" fillId="12" borderId="8" xfId="2" applyFont="1" applyFill="1" applyBorder="1" applyAlignment="1">
      <alignment wrapText="1"/>
    </xf>
    <xf numFmtId="43" fontId="21" fillId="12" borderId="8" xfId="2" applyFont="1" applyFill="1" applyBorder="1"/>
    <xf numFmtId="43" fontId="21" fillId="12" borderId="13" xfId="2" applyFont="1" applyFill="1" applyBorder="1"/>
    <xf numFmtId="43" fontId="8" fillId="12" borderId="8" xfId="2" applyFont="1" applyFill="1" applyBorder="1"/>
    <xf numFmtId="164" fontId="52" fillId="12" borderId="0" xfId="1" applyNumberFormat="1" applyFont="1" applyFill="1" applyBorder="1"/>
    <xf numFmtId="164" fontId="52" fillId="12" borderId="0" xfId="1" applyNumberFormat="1" applyFont="1" applyFill="1" applyBorder="1" applyAlignment="1">
      <alignment horizontal="right"/>
    </xf>
    <xf numFmtId="0" fontId="68" fillId="0" borderId="0" xfId="0" applyFont="1" applyBorder="1" applyAlignment="1" applyProtection="1"/>
    <xf numFmtId="0" fontId="68" fillId="0" borderId="0" xfId="0" applyFont="1" applyBorder="1" applyAlignment="1">
      <alignment wrapText="1"/>
    </xf>
    <xf numFmtId="43" fontId="53" fillId="0" borderId="0" xfId="0" applyNumberFormat="1" applyFont="1" applyFill="1" applyBorder="1" applyAlignment="1">
      <alignment horizontal="right"/>
    </xf>
    <xf numFmtId="43" fontId="53" fillId="0" borderId="0" xfId="0" applyNumberFormat="1" applyFont="1" applyBorder="1" applyAlignment="1">
      <alignment horizontal="right"/>
    </xf>
    <xf numFmtId="0" fontId="69" fillId="0" borderId="0" xfId="0" applyFont="1" applyFill="1" applyBorder="1"/>
    <xf numFmtId="164" fontId="69" fillId="0" borderId="0" xfId="1" applyNumberFormat="1" applyFont="1" applyFill="1" applyBorder="1" applyAlignment="1">
      <alignment horizontal="right"/>
    </xf>
    <xf numFmtId="164" fontId="69" fillId="0" borderId="0" xfId="1" applyNumberFormat="1" applyFont="1" applyBorder="1"/>
    <xf numFmtId="164" fontId="56" fillId="12" borderId="0" xfId="1" applyNumberFormat="1" applyFont="1" applyFill="1" applyBorder="1"/>
    <xf numFmtId="0" fontId="52" fillId="0" borderId="0" xfId="0" applyNumberFormat="1" applyFont="1" applyFill="1" applyAlignment="1">
      <alignment horizontal="right"/>
    </xf>
    <xf numFmtId="43" fontId="52" fillId="0" borderId="0" xfId="0" applyNumberFormat="1" applyFont="1" applyFill="1" applyBorder="1" applyAlignment="1">
      <alignment horizontal="right"/>
    </xf>
    <xf numFmtId="0" fontId="5" fillId="0" borderId="0" xfId="17" applyAlignment="1">
      <alignment horizontal="justify" vertical="justify"/>
    </xf>
    <xf numFmtId="0" fontId="57" fillId="0" borderId="0" xfId="1" applyNumberFormat="1" applyFont="1" applyBorder="1" applyAlignment="1"/>
    <xf numFmtId="0" fontId="0" fillId="0" borderId="0" xfId="1" applyNumberFormat="1" applyFont="1"/>
    <xf numFmtId="0" fontId="61" fillId="0" borderId="6" xfId="1" applyNumberFormat="1" applyFont="1" applyBorder="1" applyAlignment="1"/>
    <xf numFmtId="0" fontId="53" fillId="0" borderId="6" xfId="1" applyNumberFormat="1" applyFont="1" applyFill="1" applyBorder="1" applyAlignment="1">
      <alignment horizontal="center"/>
    </xf>
    <xf numFmtId="0" fontId="53" fillId="0" borderId="6" xfId="1" applyNumberFormat="1" applyFont="1" applyBorder="1" applyAlignment="1">
      <alignment horizontal="center"/>
    </xf>
    <xf numFmtId="0" fontId="52" fillId="0" borderId="0" xfId="1" applyNumberFormat="1" applyFont="1" applyFill="1"/>
    <xf numFmtId="0" fontId="52" fillId="0" borderId="0" xfId="1" applyNumberFormat="1" applyFont="1"/>
    <xf numFmtId="0" fontId="52" fillId="0" borderId="0" xfId="1" applyNumberFormat="1" applyFont="1" applyFill="1" applyAlignment="1">
      <alignment horizontal="right"/>
    </xf>
    <xf numFmtId="0" fontId="53" fillId="0" borderId="4" xfId="1" applyNumberFormat="1" applyFont="1" applyFill="1" applyBorder="1" applyAlignment="1">
      <alignment horizontal="right"/>
    </xf>
    <xf numFmtId="0" fontId="53" fillId="0" borderId="4" xfId="1" applyNumberFormat="1" applyFont="1" applyBorder="1" applyAlignment="1">
      <alignment horizontal="right"/>
    </xf>
    <xf numFmtId="0" fontId="53" fillId="0" borderId="0" xfId="1" applyNumberFormat="1" applyFont="1" applyFill="1" applyBorder="1" applyAlignment="1">
      <alignment horizontal="right"/>
    </xf>
    <xf numFmtId="0" fontId="53" fillId="0" borderId="0" xfId="1" applyNumberFormat="1" applyFont="1" applyBorder="1" applyAlignment="1">
      <alignment horizontal="right"/>
    </xf>
    <xf numFmtId="0" fontId="53" fillId="0" borderId="7" xfId="1" applyNumberFormat="1" applyFont="1" applyFill="1" applyBorder="1" applyAlignment="1">
      <alignment horizontal="right"/>
    </xf>
    <xf numFmtId="0" fontId="53" fillId="0" borderId="7" xfId="1" applyNumberFormat="1" applyFont="1" applyBorder="1" applyAlignment="1">
      <alignment horizontal="right"/>
    </xf>
    <xf numFmtId="0" fontId="52" fillId="0" borderId="0" xfId="1" applyNumberFormat="1" applyFont="1" applyAlignment="1">
      <alignment horizontal="right"/>
    </xf>
    <xf numFmtId="1" fontId="52" fillId="0" borderId="0" xfId="1" applyNumberFormat="1" applyFont="1" applyFill="1" applyAlignment="1">
      <alignment horizontal="right"/>
    </xf>
    <xf numFmtId="0" fontId="7" fillId="12" borderId="0" xfId="17" applyFont="1" applyFill="1" applyAlignment="1">
      <alignment horizontal="justify" vertical="justify"/>
    </xf>
    <xf numFmtId="0" fontId="5" fillId="12" borderId="0" xfId="17" applyFill="1"/>
    <xf numFmtId="0" fontId="0" fillId="12" borderId="0" xfId="0" applyFill="1"/>
    <xf numFmtId="14" fontId="7" fillId="0" borderId="0" xfId="2" applyNumberFormat="1" applyFont="1" applyAlignment="1">
      <alignment horizontal="center"/>
    </xf>
    <xf numFmtId="0" fontId="52" fillId="12" borderId="0" xfId="0" applyFont="1" applyFill="1"/>
    <xf numFmtId="0" fontId="5" fillId="0" borderId="0" xfId="17" applyAlignment="1">
      <alignment horizontal="justify" vertical="justify"/>
    </xf>
    <xf numFmtId="0" fontId="5" fillId="0" borderId="0" xfId="17" applyAlignment="1">
      <alignment horizontal="justify" vertical="justify" wrapText="1"/>
    </xf>
    <xf numFmtId="0" fontId="5" fillId="0" borderId="0" xfId="17" applyFont="1"/>
    <xf numFmtId="14" fontId="7" fillId="0" borderId="3" xfId="2" applyNumberFormat="1" applyFont="1" applyBorder="1" applyAlignment="1">
      <alignment horizontal="center"/>
    </xf>
    <xf numFmtId="43" fontId="51" fillId="0" borderId="0" xfId="2" applyFont="1"/>
    <xf numFmtId="43" fontId="51" fillId="0" borderId="0" xfId="2" applyFont="1" applyAlignment="1">
      <alignment wrapText="1"/>
    </xf>
    <xf numFmtId="43" fontId="22" fillId="0" borderId="0" xfId="2" applyFont="1" applyBorder="1"/>
    <xf numFmtId="43" fontId="21" fillId="0" borderId="0" xfId="2" applyFont="1" applyBorder="1"/>
    <xf numFmtId="43" fontId="5" fillId="0" borderId="8" xfId="17" applyNumberFormat="1" applyBorder="1"/>
    <xf numFmtId="0" fontId="5" fillId="0" borderId="8" xfId="17" applyFont="1" applyBorder="1"/>
    <xf numFmtId="0" fontId="5" fillId="0" borderId="8" xfId="17" quotePrefix="1" applyBorder="1" applyAlignment="1">
      <alignment horizontal="right"/>
    </xf>
    <xf numFmtId="14" fontId="5" fillId="0" borderId="8" xfId="17" quotePrefix="1" applyNumberFormat="1" applyBorder="1" applyAlignment="1">
      <alignment horizontal="right"/>
    </xf>
    <xf numFmtId="0" fontId="5" fillId="0" borderId="24" xfId="17" applyFont="1" applyBorder="1"/>
    <xf numFmtId="0" fontId="5" fillId="0" borderId="46" xfId="17" applyFont="1" applyBorder="1" applyAlignment="1">
      <alignment horizontal="center"/>
    </xf>
    <xf numFmtId="0" fontId="6" fillId="0" borderId="46" xfId="3" applyNumberFormat="1" applyFont="1" applyBorder="1" applyAlignment="1">
      <alignment horizontal="center"/>
    </xf>
    <xf numFmtId="0" fontId="6" fillId="0" borderId="46" xfId="3" applyNumberFormat="1" applyFont="1" applyBorder="1" applyAlignment="1">
      <alignment horizontal="right"/>
    </xf>
    <xf numFmtId="0" fontId="6" fillId="0" borderId="46" xfId="17" applyNumberFormat="1" applyFont="1" applyBorder="1" applyAlignment="1">
      <alignment horizontal="center"/>
    </xf>
    <xf numFmtId="43" fontId="52" fillId="0" borderId="0" xfId="0" applyNumberFormat="1" applyFont="1" applyFill="1" applyAlignment="1">
      <alignment horizontal="right"/>
    </xf>
    <xf numFmtId="43" fontId="52" fillId="0" borderId="0" xfId="0" applyNumberFormat="1" applyFont="1"/>
    <xf numFmtId="14" fontId="53" fillId="0" borderId="6" xfId="0" applyNumberFormat="1" applyFont="1" applyFill="1" applyBorder="1" applyAlignment="1">
      <alignment horizontal="center"/>
    </xf>
    <xf numFmtId="0" fontId="70" fillId="12" borderId="0" xfId="0" applyFont="1" applyFill="1" applyAlignment="1">
      <alignment horizontal="center"/>
    </xf>
    <xf numFmtId="0" fontId="65" fillId="12" borderId="0" xfId="0" applyFont="1" applyFill="1" applyAlignment="1">
      <alignment horizontal="center"/>
    </xf>
    <xf numFmtId="0" fontId="71" fillId="12" borderId="0" xfId="10" applyFont="1" applyFill="1" applyAlignment="1" applyProtection="1">
      <alignment horizontal="center"/>
    </xf>
    <xf numFmtId="0" fontId="51" fillId="12" borderId="0" xfId="0" applyFont="1" applyFill="1" applyAlignment="1">
      <alignment horizontal="center"/>
    </xf>
    <xf numFmtId="0" fontId="53" fillId="12" borderId="0" xfId="0" applyFont="1" applyFill="1" applyAlignment="1">
      <alignment horizontal="center"/>
    </xf>
    <xf numFmtId="0" fontId="65" fillId="12" borderId="0" xfId="0" applyFont="1" applyFill="1"/>
    <xf numFmtId="0" fontId="73" fillId="0" borderId="0" xfId="17" applyFont="1" applyAlignment="1">
      <alignment vertical="top"/>
    </xf>
    <xf numFmtId="0" fontId="74" fillId="0" borderId="0" xfId="0" applyFont="1" applyAlignment="1">
      <alignment horizontal="center" vertical="top"/>
    </xf>
    <xf numFmtId="0" fontId="73" fillId="0" borderId="0" xfId="0" applyFont="1" applyAlignment="1">
      <alignment horizontal="right" vertical="top"/>
    </xf>
    <xf numFmtId="0" fontId="73" fillId="0" borderId="0" xfId="0" applyFont="1" applyAlignment="1">
      <alignment vertical="top"/>
    </xf>
    <xf numFmtId="0" fontId="76" fillId="0" borderId="17" xfId="0" applyFont="1" applyBorder="1" applyAlignment="1">
      <alignment vertical="top"/>
    </xf>
    <xf numFmtId="0" fontId="73" fillId="0" borderId="16" xfId="17" applyFont="1" applyBorder="1" applyAlignment="1">
      <alignment vertical="top"/>
    </xf>
    <xf numFmtId="0" fontId="73" fillId="0" borderId="38" xfId="17" applyFont="1" applyFill="1" applyBorder="1" applyAlignment="1">
      <alignment vertical="top"/>
    </xf>
    <xf numFmtId="0" fontId="73" fillId="0" borderId="0" xfId="17" applyFont="1" applyFill="1" applyBorder="1" applyAlignment="1">
      <alignment vertical="top"/>
    </xf>
    <xf numFmtId="0" fontId="77" fillId="0" borderId="17" xfId="0" applyFont="1" applyBorder="1" applyAlignment="1">
      <alignment vertical="top"/>
    </xf>
    <xf numFmtId="174" fontId="73" fillId="0" borderId="38" xfId="31" applyNumberFormat="1" applyFont="1" applyFill="1" applyBorder="1" applyAlignment="1">
      <alignment vertical="top"/>
    </xf>
    <xf numFmtId="174" fontId="73" fillId="0" borderId="0" xfId="17" applyNumberFormat="1" applyFont="1" applyFill="1" applyBorder="1" applyAlignment="1">
      <alignment vertical="top"/>
    </xf>
    <xf numFmtId="0" fontId="78" fillId="0" borderId="17" xfId="0" applyFont="1" applyBorder="1" applyAlignment="1">
      <alignment vertical="top"/>
    </xf>
    <xf numFmtId="0" fontId="77" fillId="0" borderId="17" xfId="0" applyFont="1" applyBorder="1" applyAlignment="1">
      <alignment horizontal="left" vertical="top" indent="2"/>
    </xf>
    <xf numFmtId="174" fontId="73" fillId="0" borderId="0" xfId="17" applyNumberFormat="1" applyFont="1" applyAlignment="1">
      <alignment vertical="top"/>
    </xf>
    <xf numFmtId="174" fontId="73" fillId="0" borderId="12" xfId="31" applyNumberFormat="1" applyFont="1" applyFill="1" applyBorder="1" applyAlignment="1">
      <alignment vertical="top"/>
    </xf>
    <xf numFmtId="174" fontId="73" fillId="0" borderId="31" xfId="31" applyNumberFormat="1" applyFont="1" applyFill="1" applyBorder="1" applyAlignment="1">
      <alignment vertical="top"/>
    </xf>
    <xf numFmtId="0" fontId="79" fillId="0" borderId="17" xfId="0" applyFont="1" applyBorder="1" applyAlignment="1">
      <alignment horizontal="left" vertical="top" indent="1"/>
    </xf>
    <xf numFmtId="174" fontId="73" fillId="0" borderId="0" xfId="31" applyNumberFormat="1" applyFont="1" applyFill="1" applyBorder="1" applyAlignment="1">
      <alignment vertical="top"/>
    </xf>
    <xf numFmtId="174" fontId="73" fillId="0" borderId="0" xfId="31" applyNumberFormat="1" applyFont="1" applyFill="1" applyAlignment="1">
      <alignment vertical="top"/>
    </xf>
    <xf numFmtId="174" fontId="74" fillId="0" borderId="38" xfId="31" applyNumberFormat="1" applyFont="1" applyFill="1" applyBorder="1" applyAlignment="1">
      <alignment horizontal="center" vertical="top"/>
    </xf>
    <xf numFmtId="174" fontId="74" fillId="0" borderId="12" xfId="31" applyNumberFormat="1" applyFont="1" applyFill="1" applyBorder="1" applyAlignment="1">
      <alignment vertical="top"/>
    </xf>
    <xf numFmtId="0" fontId="74" fillId="0" borderId="17" xfId="0" applyFont="1" applyBorder="1" applyAlignment="1">
      <alignment horizontal="left" vertical="top" wrapText="1"/>
    </xf>
    <xf numFmtId="0" fontId="74" fillId="0" borderId="16" xfId="0" applyFont="1" applyBorder="1" applyAlignment="1">
      <alignment horizontal="left" vertical="top" wrapText="1"/>
    </xf>
    <xf numFmtId="0" fontId="77" fillId="0" borderId="17" xfId="0" applyFont="1" applyBorder="1" applyAlignment="1">
      <alignment horizontal="left" vertical="top"/>
    </xf>
    <xf numFmtId="0" fontId="73" fillId="0" borderId="16" xfId="17" applyFont="1" applyBorder="1" applyAlignment="1">
      <alignment horizontal="left" vertical="top"/>
    </xf>
    <xf numFmtId="174" fontId="74" fillId="0" borderId="8" xfId="31" applyNumberFormat="1" applyFont="1" applyFill="1" applyBorder="1" applyAlignment="1">
      <alignment vertical="top"/>
    </xf>
    <xf numFmtId="0" fontId="73" fillId="0" borderId="0" xfId="17" applyFont="1" applyFill="1" applyBorder="1" applyAlignment="1">
      <alignment horizontal="left" vertical="top"/>
    </xf>
    <xf numFmtId="14" fontId="73" fillId="0" borderId="0" xfId="17" applyNumberFormat="1" applyFont="1" applyFill="1" applyBorder="1" applyAlignment="1">
      <alignment vertical="top"/>
    </xf>
    <xf numFmtId="174" fontId="74" fillId="0" borderId="27" xfId="31" applyNumberFormat="1" applyFont="1" applyFill="1" applyBorder="1" applyAlignment="1">
      <alignment vertical="top"/>
    </xf>
    <xf numFmtId="173" fontId="73" fillId="0" borderId="0" xfId="17" applyNumberFormat="1" applyFont="1" applyFill="1" applyBorder="1" applyAlignment="1">
      <alignment vertical="top"/>
    </xf>
    <xf numFmtId="0" fontId="77" fillId="0" borderId="15" xfId="0" applyFont="1" applyBorder="1" applyAlignment="1">
      <alignment vertical="top"/>
    </xf>
    <xf numFmtId="0" fontId="73" fillId="0" borderId="14" xfId="17" applyFont="1" applyBorder="1" applyAlignment="1">
      <alignment vertical="top"/>
    </xf>
    <xf numFmtId="174" fontId="73" fillId="0" borderId="8" xfId="31" applyNumberFormat="1" applyFont="1" applyFill="1" applyBorder="1" applyAlignment="1">
      <alignment vertical="top"/>
    </xf>
    <xf numFmtId="0" fontId="73" fillId="0" borderId="17" xfId="0" applyFont="1" applyFill="1" applyBorder="1" applyAlignment="1" applyProtection="1">
      <alignment vertical="top"/>
    </xf>
    <xf numFmtId="0" fontId="73" fillId="0" borderId="0" xfId="0" applyFont="1" applyFill="1" applyBorder="1" applyAlignment="1" applyProtection="1">
      <alignment vertical="top"/>
    </xf>
    <xf numFmtId="0" fontId="73" fillId="0" borderId="0" xfId="17" applyFont="1" applyBorder="1" applyAlignment="1">
      <alignment vertical="top"/>
    </xf>
    <xf numFmtId="0" fontId="73" fillId="0" borderId="0" xfId="0" applyFont="1" applyFill="1" applyBorder="1" applyAlignment="1" applyProtection="1">
      <alignment horizontal="center" vertical="top"/>
    </xf>
    <xf numFmtId="175" fontId="73" fillId="0" borderId="16" xfId="32" applyNumberFormat="1" applyFont="1" applyFill="1" applyBorder="1" applyAlignment="1" applyProtection="1">
      <alignment vertical="top"/>
    </xf>
    <xf numFmtId="176" fontId="73" fillId="0" borderId="0" xfId="33" applyNumberFormat="1" applyFont="1" applyFill="1" applyBorder="1" applyAlignment="1" applyProtection="1">
      <alignment vertical="top"/>
    </xf>
    <xf numFmtId="0" fontId="73" fillId="0" borderId="0" xfId="0" applyFont="1" applyFill="1" applyBorder="1" applyAlignment="1" applyProtection="1">
      <alignment horizontal="left" vertical="top"/>
    </xf>
    <xf numFmtId="0" fontId="74" fillId="0" borderId="16" xfId="0" applyFont="1" applyFill="1" applyBorder="1" applyAlignment="1" applyProtection="1">
      <alignment vertical="top"/>
    </xf>
    <xf numFmtId="43" fontId="74" fillId="0" borderId="16" xfId="32" applyFont="1" applyFill="1" applyBorder="1" applyAlignment="1" applyProtection="1">
      <alignment vertical="top"/>
    </xf>
    <xf numFmtId="0" fontId="73" fillId="0" borderId="0" xfId="0" applyFont="1" applyBorder="1" applyAlignment="1">
      <alignment vertical="top"/>
    </xf>
    <xf numFmtId="0" fontId="73" fillId="0" borderId="16" xfId="0" applyFont="1" applyBorder="1" applyAlignment="1">
      <alignment vertical="top"/>
    </xf>
    <xf numFmtId="176" fontId="74" fillId="0" borderId="0" xfId="33" applyNumberFormat="1" applyFont="1" applyFill="1" applyBorder="1" applyAlignment="1" applyProtection="1">
      <alignment vertical="top"/>
    </xf>
    <xf numFmtId="0" fontId="73" fillId="0" borderId="16" xfId="0" applyFont="1" applyFill="1" applyBorder="1" applyAlignment="1" applyProtection="1">
      <alignment vertical="top"/>
    </xf>
    <xf numFmtId="176" fontId="74" fillId="0" borderId="0" xfId="33" applyNumberFormat="1" applyFont="1" applyFill="1" applyBorder="1" applyAlignment="1" applyProtection="1">
      <alignment vertical="top" wrapText="1"/>
    </xf>
    <xf numFmtId="0" fontId="74" fillId="0" borderId="0" xfId="0" applyFont="1" applyBorder="1" applyAlignment="1">
      <alignment horizontal="left" vertical="top"/>
    </xf>
    <xf numFmtId="43" fontId="73" fillId="0" borderId="16" xfId="32" applyFont="1" applyFill="1" applyBorder="1" applyAlignment="1" applyProtection="1">
      <alignment vertical="top"/>
    </xf>
    <xf numFmtId="0" fontId="73" fillId="0" borderId="15" xfId="0" applyFont="1" applyFill="1" applyBorder="1" applyAlignment="1" applyProtection="1">
      <alignment vertical="top"/>
    </xf>
    <xf numFmtId="0" fontId="73" fillId="0" borderId="3" xfId="0" applyFont="1" applyFill="1" applyBorder="1" applyAlignment="1" applyProtection="1">
      <alignment vertical="top"/>
    </xf>
    <xf numFmtId="0" fontId="73" fillId="0" borderId="3" xfId="17" applyFont="1" applyBorder="1" applyAlignment="1">
      <alignment vertical="top"/>
    </xf>
    <xf numFmtId="43" fontId="73" fillId="0" borderId="14" xfId="32" applyFont="1" applyFill="1" applyBorder="1" applyAlignment="1" applyProtection="1">
      <alignment vertical="top"/>
    </xf>
    <xf numFmtId="0" fontId="73" fillId="0" borderId="16" xfId="0" applyFont="1" applyFill="1" applyBorder="1" applyAlignment="1" applyProtection="1">
      <alignment horizontal="left" vertical="top"/>
    </xf>
    <xf numFmtId="0" fontId="83" fillId="0" borderId="0" xfId="17" applyFont="1" applyAlignment="1">
      <alignment vertical="top"/>
    </xf>
    <xf numFmtId="0" fontId="83" fillId="0" borderId="0" xfId="17" applyFont="1" applyFill="1" applyBorder="1" applyAlignment="1">
      <alignment vertical="top"/>
    </xf>
    <xf numFmtId="174" fontId="83" fillId="0" borderId="0" xfId="17" applyNumberFormat="1" applyFont="1" applyFill="1" applyBorder="1" applyAlignment="1">
      <alignment vertical="top"/>
    </xf>
    <xf numFmtId="170" fontId="5" fillId="0" borderId="50" xfId="17" applyNumberFormat="1" applyBorder="1" applyAlignment="1">
      <alignment horizontal="right"/>
    </xf>
    <xf numFmtId="0" fontId="84" fillId="0" borderId="0" xfId="17" applyFont="1"/>
    <xf numFmtId="0" fontId="85" fillId="0" borderId="0" xfId="17" applyFont="1" applyFill="1" applyBorder="1" applyAlignment="1">
      <alignment horizontal="center"/>
    </xf>
    <xf numFmtId="0" fontId="86" fillId="0" borderId="0" xfId="17" applyFont="1" applyFill="1" applyBorder="1" applyAlignment="1">
      <alignment horizontal="center"/>
    </xf>
    <xf numFmtId="0" fontId="84" fillId="0" borderId="0" xfId="17" applyFont="1" applyBorder="1"/>
    <xf numFmtId="0" fontId="86" fillId="0" borderId="50" xfId="17" applyFont="1" applyBorder="1"/>
    <xf numFmtId="170" fontId="84" fillId="0" borderId="0" xfId="17" applyNumberFormat="1" applyFont="1" applyBorder="1" applyAlignment="1">
      <alignment horizontal="right"/>
    </xf>
    <xf numFmtId="170" fontId="84" fillId="0" borderId="0" xfId="17" applyNumberFormat="1" applyFont="1"/>
    <xf numFmtId="164" fontId="84" fillId="0" borderId="0" xfId="1" applyNumberFormat="1" applyFont="1"/>
    <xf numFmtId="14" fontId="84" fillId="0" borderId="0" xfId="17" applyNumberFormat="1" applyFont="1" applyBorder="1" applyAlignment="1">
      <alignment horizontal="right"/>
    </xf>
    <xf numFmtId="9" fontId="84" fillId="0" borderId="0" xfId="30" applyFont="1"/>
    <xf numFmtId="0" fontId="5" fillId="0" borderId="0" xfId="17" applyAlignment="1">
      <alignment horizontal="justify" vertical="justify"/>
    </xf>
    <xf numFmtId="0" fontId="7" fillId="0" borderId="0" xfId="0" applyFont="1" applyAlignment="1">
      <alignment horizontal="justify" vertical="justify"/>
    </xf>
    <xf numFmtId="0" fontId="0" fillId="0" borderId="0" xfId="0" applyAlignment="1">
      <alignment horizontal="justify" vertical="justify"/>
    </xf>
    <xf numFmtId="0" fontId="0" fillId="0" borderId="3" xfId="0" applyBorder="1" applyAlignment="1">
      <alignment horizontal="justify" vertical="justify"/>
    </xf>
    <xf numFmtId="0" fontId="0" fillId="0" borderId="3" xfId="0" quotePrefix="1" applyBorder="1" applyAlignment="1">
      <alignment horizontal="justify" vertical="justify"/>
    </xf>
    <xf numFmtId="0" fontId="7" fillId="0" borderId="0" xfId="0" applyFont="1" applyAlignment="1">
      <alignment horizontal="left" vertical="justify"/>
    </xf>
    <xf numFmtId="0" fontId="7" fillId="0" borderId="0" xfId="0" quotePrefix="1" applyFont="1" applyAlignment="1">
      <alignment horizontal="left" vertical="justify"/>
    </xf>
    <xf numFmtId="14" fontId="0" fillId="0" borderId="0" xfId="0" quotePrefix="1" applyNumberFormat="1"/>
    <xf numFmtId="0" fontId="5" fillId="0" borderId="24" xfId="0" applyFont="1" applyFill="1" applyBorder="1"/>
    <xf numFmtId="43" fontId="21" fillId="12" borderId="8" xfId="32" applyFont="1" applyFill="1" applyBorder="1"/>
    <xf numFmtId="43" fontId="8" fillId="12" borderId="8" xfId="32" applyFont="1" applyFill="1" applyBorder="1"/>
    <xf numFmtId="43" fontId="8" fillId="0" borderId="8" xfId="32" applyFont="1" applyBorder="1"/>
    <xf numFmtId="0" fontId="68" fillId="0" borderId="0" xfId="0" applyFont="1" applyBorder="1"/>
    <xf numFmtId="43" fontId="5" fillId="0" borderId="0" xfId="2" applyFont="1" applyBorder="1"/>
    <xf numFmtId="0" fontId="5" fillId="0" borderId="0" xfId="0" applyFont="1" applyFill="1" applyBorder="1" applyAlignment="1" applyProtection="1">
      <alignment horizontal="left"/>
    </xf>
    <xf numFmtId="0" fontId="5" fillId="0" borderId="0" xfId="0" applyFont="1" applyFill="1" applyAlignment="1" applyProtection="1">
      <alignment horizontal="left"/>
    </xf>
    <xf numFmtId="0" fontId="54" fillId="0" borderId="0" xfId="0" applyFont="1" applyAlignment="1">
      <alignment horizontal="left" wrapText="1"/>
    </xf>
    <xf numFmtId="0" fontId="88" fillId="0" borderId="0" xfId="0" applyFont="1" applyAlignment="1">
      <alignment horizontal="left" wrapText="1"/>
    </xf>
    <xf numFmtId="0" fontId="87" fillId="0" borderId="0" xfId="10" applyFont="1" applyAlignment="1" applyProtection="1">
      <alignment horizontal="left" wrapText="1"/>
    </xf>
    <xf numFmtId="0" fontId="89" fillId="0" borderId="0" xfId="0" applyFont="1" applyAlignment="1">
      <alignment horizontal="left" wrapText="1"/>
    </xf>
    <xf numFmtId="0" fontId="92" fillId="13" borderId="71" xfId="37" applyFont="1" applyFill="1" applyBorder="1" applyAlignment="1">
      <alignment horizontal="left" vertical="top"/>
    </xf>
    <xf numFmtId="2" fontId="92" fillId="13" borderId="71" xfId="37" applyNumberFormat="1" applyFont="1" applyFill="1" applyBorder="1" applyAlignment="1">
      <alignment horizontal="right" vertical="top"/>
    </xf>
    <xf numFmtId="9" fontId="8" fillId="0" borderId="8" xfId="30" applyFont="1" applyBorder="1" applyAlignment="1">
      <alignment horizontal="center"/>
    </xf>
    <xf numFmtId="9" fontId="8" fillId="0" borderId="0" xfId="30" applyFont="1" applyBorder="1" applyAlignment="1">
      <alignment horizontal="center"/>
    </xf>
    <xf numFmtId="9" fontId="0" fillId="0" borderId="0" xfId="30" applyFont="1" applyAlignment="1">
      <alignment horizontal="center"/>
    </xf>
    <xf numFmtId="43" fontId="93" fillId="0" borderId="0" xfId="2" applyFont="1"/>
    <xf numFmtId="10" fontId="93" fillId="0" borderId="0" xfId="21" applyNumberFormat="1" applyFont="1"/>
    <xf numFmtId="43" fontId="94" fillId="0" borderId="0" xfId="2" applyFont="1"/>
    <xf numFmtId="14" fontId="94" fillId="0" borderId="0" xfId="2" applyNumberFormat="1" applyFont="1"/>
    <xf numFmtId="43" fontId="20" fillId="0" borderId="0" xfId="10" applyNumberFormat="1" applyAlignment="1" applyProtection="1"/>
    <xf numFmtId="43" fontId="90" fillId="0" borderId="0" xfId="2" applyFont="1"/>
    <xf numFmtId="43" fontId="84" fillId="0" borderId="0" xfId="2" applyFont="1"/>
    <xf numFmtId="43" fontId="95" fillId="0" borderId="0" xfId="2" applyFont="1"/>
    <xf numFmtId="43" fontId="96" fillId="0" borderId="0" xfId="2" applyFont="1"/>
    <xf numFmtId="43" fontId="97" fillId="0" borderId="0" xfId="2" applyFont="1"/>
    <xf numFmtId="43" fontId="5" fillId="12" borderId="0" xfId="2" applyFont="1" applyFill="1"/>
    <xf numFmtId="43" fontId="11" fillId="0" borderId="0" xfId="32" applyFont="1"/>
    <xf numFmtId="43" fontId="98" fillId="0" borderId="0" xfId="32" applyFont="1"/>
    <xf numFmtId="43" fontId="0" fillId="0" borderId="0" xfId="32" applyFont="1"/>
    <xf numFmtId="43" fontId="5" fillId="0" borderId="0" xfId="32" applyFont="1"/>
    <xf numFmtId="164" fontId="52" fillId="10" borderId="0" xfId="1" applyNumberFormat="1" applyFont="1" applyFill="1" applyBorder="1" applyAlignment="1">
      <alignment horizontal="right"/>
    </xf>
    <xf numFmtId="0" fontId="0" fillId="0" borderId="0" xfId="0" applyBorder="1" applyAlignment="1">
      <alignment horizontal="justify" vertical="justify"/>
    </xf>
    <xf numFmtId="0" fontId="0" fillId="0" borderId="0" xfId="0" quotePrefix="1" applyBorder="1" applyAlignment="1">
      <alignment horizontal="justify" vertical="justify"/>
    </xf>
    <xf numFmtId="171" fontId="39" fillId="12" borderId="0" xfId="6" applyNumberFormat="1" applyFont="1" applyFill="1"/>
    <xf numFmtId="2" fontId="99" fillId="13" borderId="71" xfId="37" applyNumberFormat="1" applyFont="1" applyFill="1" applyBorder="1" applyAlignment="1">
      <alignment horizontal="right" vertical="top"/>
    </xf>
    <xf numFmtId="43" fontId="11" fillId="0" borderId="0" xfId="1" applyFont="1"/>
    <xf numFmtId="10" fontId="11" fillId="0" borderId="0" xfId="1" applyNumberFormat="1" applyFont="1"/>
    <xf numFmtId="43" fontId="94" fillId="0" borderId="0" xfId="2" quotePrefix="1" applyFont="1"/>
    <xf numFmtId="43" fontId="71" fillId="0" borderId="0" xfId="10" applyNumberFormat="1" applyFont="1" applyAlignment="1" applyProtection="1"/>
    <xf numFmtId="0" fontId="5" fillId="0" borderId="0" xfId="0" applyFont="1"/>
    <xf numFmtId="0" fontId="5" fillId="0" borderId="0" xfId="17" applyAlignment="1">
      <alignment horizontal="justify" vertical="justify"/>
    </xf>
    <xf numFmtId="0" fontId="19" fillId="0" borderId="24" xfId="0" applyFont="1" applyFill="1" applyBorder="1"/>
    <xf numFmtId="0" fontId="0" fillId="0" borderId="24" xfId="0" applyFill="1" applyBorder="1"/>
    <xf numFmtId="2" fontId="0" fillId="0" borderId="46" xfId="32" applyNumberFormat="1" applyFont="1" applyFill="1" applyBorder="1"/>
    <xf numFmtId="0" fontId="19" fillId="0" borderId="24" xfId="0" applyFont="1" applyFill="1" applyBorder="1" applyAlignment="1" applyProtection="1">
      <alignment horizontal="left"/>
    </xf>
    <xf numFmtId="43" fontId="19" fillId="0" borderId="0" xfId="2" applyFont="1" applyAlignment="1">
      <alignment horizontal="center"/>
    </xf>
    <xf numFmtId="43" fontId="7" fillId="0" borderId="0" xfId="2" applyFont="1" applyAlignment="1">
      <alignment horizontal="center"/>
    </xf>
    <xf numFmtId="43" fontId="7" fillId="0" borderId="0" xfId="2" applyFont="1" applyAlignment="1">
      <alignment horizontal="center" shrinkToFit="1"/>
    </xf>
    <xf numFmtId="43" fontId="19" fillId="0" borderId="3" xfId="2" applyFont="1" applyBorder="1" applyAlignment="1">
      <alignment horizontal="center"/>
    </xf>
    <xf numFmtId="164" fontId="53" fillId="0" borderId="0" xfId="1" applyNumberFormat="1" applyFont="1" applyBorder="1" applyAlignment="1">
      <alignment horizontal="center"/>
    </xf>
    <xf numFmtId="0" fontId="5" fillId="0" borderId="0" xfId="17" applyAlignment="1">
      <alignment horizontal="justify" vertical="top" wrapText="1"/>
    </xf>
    <xf numFmtId="0" fontId="5" fillId="0" borderId="0" xfId="17" applyAlignment="1">
      <alignment horizontal="justify" vertical="justify" wrapText="1"/>
    </xf>
    <xf numFmtId="0" fontId="5" fillId="0" borderId="0" xfId="17" applyAlignment="1">
      <alignment horizontal="justify" vertical="justify"/>
    </xf>
    <xf numFmtId="0" fontId="7" fillId="0" borderId="0" xfId="17" applyFont="1" applyAlignment="1">
      <alignment horizontal="center"/>
    </xf>
    <xf numFmtId="0" fontId="19" fillId="0" borderId="0" xfId="17" applyFont="1" applyAlignment="1">
      <alignment horizontal="justify" vertical="justify" wrapText="1"/>
    </xf>
    <xf numFmtId="0" fontId="5" fillId="0" borderId="0" xfId="17" applyFill="1" applyAlignment="1">
      <alignment horizontal="justify" vertical="justify" wrapText="1"/>
    </xf>
    <xf numFmtId="0" fontId="5" fillId="0" borderId="0" xfId="17" applyFill="1" applyAlignment="1">
      <alignment horizontal="justify" vertical="justify"/>
    </xf>
    <xf numFmtId="0" fontId="19" fillId="0" borderId="0" xfId="17" applyFont="1" applyAlignment="1">
      <alignment horizontal="center"/>
    </xf>
    <xf numFmtId="0" fontId="6" fillId="0" borderId="0" xfId="17" applyFont="1" applyFill="1" applyAlignment="1">
      <alignment horizontal="left"/>
    </xf>
    <xf numFmtId="0" fontId="65" fillId="12" borderId="0" xfId="0" applyFont="1" applyFill="1" applyBorder="1" applyAlignment="1">
      <alignment horizontal="center" vertical="center"/>
    </xf>
    <xf numFmtId="43" fontId="19" fillId="0" borderId="0" xfId="2" applyFont="1" applyAlignment="1">
      <alignment horizontal="left"/>
    </xf>
    <xf numFmtId="0" fontId="57" fillId="0" borderId="0" xfId="0" applyFont="1" applyBorder="1" applyAlignment="1"/>
    <xf numFmtId="0" fontId="61" fillId="0" borderId="6" xfId="0" applyFont="1" applyBorder="1" applyAlignment="1"/>
    <xf numFmtId="0" fontId="52" fillId="0" borderId="0" xfId="0" applyFont="1" applyFill="1" applyBorder="1" applyAlignment="1">
      <alignment horizontal="center" vertical="center"/>
    </xf>
    <xf numFmtId="0" fontId="53" fillId="0" borderId="0" xfId="0" applyFont="1" applyFill="1" applyBorder="1" applyAlignment="1">
      <alignment horizontal="center" vertical="center"/>
    </xf>
    <xf numFmtId="0" fontId="53" fillId="0" borderId="6" xfId="0" applyFont="1" applyFill="1" applyBorder="1" applyAlignment="1">
      <alignment horizontal="center" vertical="center"/>
    </xf>
    <xf numFmtId="0" fontId="73" fillId="0" borderId="20" xfId="0" applyFont="1" applyBorder="1" applyAlignment="1">
      <alignment horizontal="left" vertical="top" wrapText="1"/>
    </xf>
    <xf numFmtId="0" fontId="73" fillId="0" borderId="4" xfId="0" applyFont="1" applyBorder="1" applyAlignment="1">
      <alignment horizontal="left" vertical="top" wrapText="1"/>
    </xf>
    <xf numFmtId="0" fontId="80" fillId="0" borderId="17" xfId="0" applyFont="1" applyBorder="1" applyAlignment="1">
      <alignment horizontal="left" vertical="top" wrapText="1"/>
    </xf>
    <xf numFmtId="0" fontId="80" fillId="0" borderId="16" xfId="0" applyFont="1" applyBorder="1" applyAlignment="1">
      <alignment horizontal="left" vertical="top" wrapText="1"/>
    </xf>
    <xf numFmtId="0" fontId="80" fillId="0" borderId="17" xfId="0" applyFont="1" applyBorder="1" applyAlignment="1">
      <alignment horizontal="left" vertical="top" wrapText="1" indent="2"/>
    </xf>
    <xf numFmtId="0" fontId="80" fillId="0" borderId="16" xfId="0" applyFont="1" applyBorder="1" applyAlignment="1">
      <alignment horizontal="left" vertical="top" wrapText="1" indent="2"/>
    </xf>
    <xf numFmtId="0" fontId="76" fillId="0" borderId="17" xfId="0" applyFont="1" applyBorder="1" applyAlignment="1">
      <alignment horizontal="left" vertical="top" wrapText="1"/>
    </xf>
    <xf numFmtId="0" fontId="76" fillId="0" borderId="16" xfId="0" applyFont="1" applyBorder="1" applyAlignment="1">
      <alignment horizontal="left" vertical="top" wrapText="1"/>
    </xf>
    <xf numFmtId="0" fontId="72" fillId="0" borderId="0" xfId="0" applyFont="1" applyAlignment="1">
      <alignment horizontal="center" vertical="top"/>
    </xf>
    <xf numFmtId="0" fontId="73" fillId="0" borderId="0" xfId="0" applyFont="1" applyAlignment="1">
      <alignment horizontal="center" vertical="top"/>
    </xf>
    <xf numFmtId="0" fontId="75" fillId="0" borderId="0" xfId="0" applyFont="1" applyAlignment="1">
      <alignment horizontal="center" vertical="top"/>
    </xf>
    <xf numFmtId="0" fontId="73" fillId="0" borderId="0" xfId="0" applyFont="1" applyFill="1" applyAlignment="1">
      <alignment horizontal="right" vertical="top"/>
    </xf>
    <xf numFmtId="0" fontId="74" fillId="0" borderId="20" xfId="0" applyFont="1" applyFill="1" applyBorder="1" applyAlignment="1">
      <alignment horizontal="center" vertical="top"/>
    </xf>
    <xf numFmtId="0" fontId="74" fillId="0" borderId="9" xfId="0" applyFont="1" applyFill="1" applyBorder="1" applyAlignment="1">
      <alignment horizontal="center" vertical="top"/>
    </xf>
    <xf numFmtId="43" fontId="74" fillId="0" borderId="9" xfId="31" applyNumberFormat="1" applyFont="1" applyFill="1" applyBorder="1" applyAlignment="1">
      <alignment horizontal="center" vertical="top" wrapText="1"/>
    </xf>
    <xf numFmtId="43" fontId="74" fillId="0" borderId="8" xfId="31" applyNumberFormat="1" applyFont="1" applyFill="1" applyBorder="1" applyAlignment="1">
      <alignment horizontal="center" vertical="top" wrapText="1"/>
    </xf>
    <xf numFmtId="0" fontId="77" fillId="0" borderId="17" xfId="0" applyFont="1" applyBorder="1" applyAlignment="1">
      <alignment horizontal="left" vertical="top" wrapText="1"/>
    </xf>
    <xf numFmtId="0" fontId="77" fillId="0" borderId="16" xfId="0" applyFont="1" applyBorder="1" applyAlignment="1">
      <alignment horizontal="left" vertical="top" wrapText="1"/>
    </xf>
    <xf numFmtId="0" fontId="74" fillId="0" borderId="15" xfId="0" applyFont="1" applyBorder="1" applyAlignment="1">
      <alignment horizontal="left" vertical="top" wrapText="1"/>
    </xf>
    <xf numFmtId="0" fontId="74" fillId="0" borderId="14" xfId="0" applyFont="1" applyBorder="1" applyAlignment="1">
      <alignment horizontal="left" vertical="top" wrapText="1"/>
    </xf>
    <xf numFmtId="43" fontId="22" fillId="0" borderId="8" xfId="2" applyFont="1" applyBorder="1" applyAlignment="1">
      <alignment horizontal="center"/>
    </xf>
    <xf numFmtId="0" fontId="51" fillId="0" borderId="0" xfId="0" applyFont="1" applyAlignment="1">
      <alignment horizontal="left" wrapText="1"/>
    </xf>
    <xf numFmtId="0" fontId="0" fillId="0" borderId="0" xfId="0" applyFont="1" applyAlignment="1">
      <alignment horizontal="left" wrapText="1"/>
    </xf>
    <xf numFmtId="0" fontId="0" fillId="0" borderId="0" xfId="0" applyAlignment="1">
      <alignment horizontal="left" wrapText="1"/>
    </xf>
    <xf numFmtId="0" fontId="16" fillId="0" borderId="0" xfId="17" applyFont="1" applyAlignment="1">
      <alignment horizontal="justify" vertical="top"/>
    </xf>
    <xf numFmtId="0" fontId="16" fillId="0" borderId="33" xfId="17" applyFont="1" applyBorder="1" applyAlignment="1">
      <alignment horizontal="center" vertical="top"/>
    </xf>
    <xf numFmtId="0" fontId="16" fillId="0" borderId="37" xfId="17" applyFont="1" applyBorder="1" applyAlignment="1">
      <alignment horizontal="center" vertical="top"/>
    </xf>
    <xf numFmtId="0" fontId="16" fillId="0" borderId="29" xfId="17" applyFont="1" applyBorder="1" applyAlignment="1">
      <alignment horizontal="center" vertical="top"/>
    </xf>
    <xf numFmtId="0" fontId="16" fillId="6" borderId="32" xfId="17" applyFont="1" applyFill="1" applyBorder="1" applyAlignment="1">
      <alignment horizontal="center" vertical="top"/>
    </xf>
    <xf numFmtId="0" fontId="16" fillId="6" borderId="30" xfId="17" applyFont="1" applyFill="1" applyBorder="1" applyAlignment="1">
      <alignment horizontal="center" vertical="top"/>
    </xf>
    <xf numFmtId="0" fontId="16" fillId="0" borderId="33" xfId="17" applyFont="1" applyFill="1" applyBorder="1" applyAlignment="1">
      <alignment horizontal="center" vertical="center"/>
    </xf>
    <xf numFmtId="0" fontId="16" fillId="0" borderId="29" xfId="17" applyFont="1" applyFill="1" applyBorder="1" applyAlignment="1">
      <alignment horizontal="center" vertical="center"/>
    </xf>
    <xf numFmtId="0" fontId="16" fillId="0" borderId="32" xfId="17" quotePrefix="1" applyFont="1" applyBorder="1" applyAlignment="1">
      <alignment horizontal="center" vertical="top"/>
    </xf>
    <xf numFmtId="0" fontId="16" fillId="0" borderId="30" xfId="17" applyFont="1" applyBorder="1" applyAlignment="1">
      <alignment horizontal="center" vertical="top"/>
    </xf>
    <xf numFmtId="0" fontId="16" fillId="0" borderId="19" xfId="17" applyFont="1" applyBorder="1" applyAlignment="1">
      <alignment vertical="top"/>
    </xf>
    <xf numFmtId="0" fontId="16" fillId="0" borderId="18" xfId="17" applyFont="1" applyBorder="1" applyAlignment="1">
      <alignment vertical="top"/>
    </xf>
    <xf numFmtId="0" fontId="16" fillId="0" borderId="15" xfId="17" applyFont="1" applyBorder="1" applyAlignment="1">
      <alignment vertical="top"/>
    </xf>
    <xf numFmtId="0" fontId="16" fillId="0" borderId="14" xfId="17" applyFont="1" applyBorder="1" applyAlignment="1">
      <alignment vertical="top"/>
    </xf>
    <xf numFmtId="0" fontId="25" fillId="0" borderId="33" xfId="17" applyFont="1" applyBorder="1" applyAlignment="1">
      <alignment horizontal="left" vertical="top"/>
    </xf>
    <xf numFmtId="0" fontId="25" fillId="0" borderId="37" xfId="17" applyFont="1" applyBorder="1" applyAlignment="1">
      <alignment horizontal="left" vertical="top"/>
    </xf>
    <xf numFmtId="0" fontId="16" fillId="0" borderId="32" xfId="17" applyFont="1" applyBorder="1" applyAlignment="1">
      <alignment horizontal="center" vertical="top"/>
    </xf>
    <xf numFmtId="0" fontId="16" fillId="0" borderId="31" xfId="17" applyFont="1" applyBorder="1" applyAlignment="1">
      <alignment vertical="top"/>
    </xf>
    <xf numFmtId="0" fontId="16" fillId="0" borderId="12" xfId="17" applyFont="1" applyBorder="1" applyAlignment="1">
      <alignment vertical="top"/>
    </xf>
    <xf numFmtId="0" fontId="16" fillId="5" borderId="32" xfId="17" applyFont="1" applyFill="1" applyBorder="1" applyAlignment="1">
      <alignment horizontal="center" vertical="top"/>
    </xf>
    <xf numFmtId="0" fontId="16" fillId="5" borderId="30" xfId="17" applyFont="1" applyFill="1" applyBorder="1" applyAlignment="1">
      <alignment horizontal="center" vertical="top"/>
    </xf>
    <xf numFmtId="0" fontId="16" fillId="0" borderId="18" xfId="17" applyFont="1" applyBorder="1" applyAlignment="1">
      <alignment horizontal="justify" vertical="top"/>
    </xf>
    <xf numFmtId="0" fontId="16" fillId="0" borderId="14" xfId="17" applyFont="1" applyBorder="1" applyAlignment="1">
      <alignment horizontal="justify" vertical="top"/>
    </xf>
    <xf numFmtId="0" fontId="16" fillId="0" borderId="33" xfId="17" applyFont="1" applyBorder="1" applyAlignment="1">
      <alignment horizontal="center" vertical="center"/>
    </xf>
    <xf numFmtId="0" fontId="16" fillId="0" borderId="37" xfId="17" applyFont="1" applyBorder="1" applyAlignment="1">
      <alignment horizontal="center" vertical="center"/>
    </xf>
    <xf numFmtId="0" fontId="5" fillId="0" borderId="37" xfId="17" applyBorder="1" applyAlignment="1">
      <alignment horizontal="center"/>
    </xf>
    <xf numFmtId="0" fontId="16" fillId="0" borderId="39" xfId="17" quotePrefix="1" applyFont="1" applyBorder="1" applyAlignment="1">
      <alignment horizontal="center" vertical="top"/>
    </xf>
    <xf numFmtId="0" fontId="16" fillId="0" borderId="17" xfId="17" applyFont="1" applyBorder="1" applyAlignment="1">
      <alignment vertical="top"/>
    </xf>
    <xf numFmtId="0" fontId="16" fillId="0" borderId="16" xfId="17" applyFont="1" applyBorder="1" applyAlignment="1">
      <alignment vertical="top"/>
    </xf>
    <xf numFmtId="14" fontId="16" fillId="0" borderId="33" xfId="17" applyNumberFormat="1" applyFont="1" applyBorder="1" applyAlignment="1">
      <alignment horizontal="left" vertical="top"/>
    </xf>
    <xf numFmtId="0" fontId="16" fillId="0" borderId="37" xfId="17" applyFont="1" applyBorder="1" applyAlignment="1">
      <alignment horizontal="left" vertical="top"/>
    </xf>
    <xf numFmtId="0" fontId="30" fillId="0" borderId="56" xfId="17" applyFont="1" applyBorder="1" applyAlignment="1">
      <alignment horizontal="center"/>
    </xf>
    <xf numFmtId="0" fontId="30" fillId="0" borderId="10" xfId="17" applyFont="1" applyBorder="1" applyAlignment="1">
      <alignment horizontal="center"/>
    </xf>
    <xf numFmtId="0" fontId="30" fillId="0" borderId="55" xfId="17" applyFont="1" applyBorder="1" applyAlignment="1">
      <alignment horizontal="center"/>
    </xf>
    <xf numFmtId="0" fontId="36" fillId="0" borderId="24" xfId="17" applyFont="1" applyBorder="1" applyAlignment="1">
      <alignment horizontal="center"/>
    </xf>
    <xf numFmtId="0" fontId="36" fillId="0" borderId="0" xfId="17" applyFont="1" applyBorder="1" applyAlignment="1">
      <alignment horizontal="center"/>
    </xf>
    <xf numFmtId="0" fontId="36" fillId="0" borderId="23" xfId="17" applyFont="1" applyBorder="1" applyAlignment="1">
      <alignment horizontal="center"/>
    </xf>
    <xf numFmtId="0" fontId="41" fillId="0" borderId="24" xfId="17" applyFont="1" applyBorder="1" applyAlignment="1">
      <alignment horizontal="center"/>
    </xf>
    <xf numFmtId="0" fontId="41" fillId="0" borderId="0" xfId="17" applyFont="1" applyBorder="1" applyAlignment="1">
      <alignment horizontal="center"/>
    </xf>
    <xf numFmtId="0" fontId="41" fillId="0" borderId="23" xfId="17" applyFont="1" applyBorder="1" applyAlignment="1">
      <alignment horizontal="center"/>
    </xf>
    <xf numFmtId="0" fontId="16" fillId="0" borderId="54" xfId="17" quotePrefix="1" applyFont="1" applyBorder="1" applyAlignment="1">
      <alignment horizontal="center" vertical="top"/>
    </xf>
    <xf numFmtId="0" fontId="43" fillId="0" borderId="6" xfId="17" applyFont="1" applyBorder="1" applyAlignment="1">
      <alignment horizontal="center"/>
    </xf>
    <xf numFmtId="0" fontId="16" fillId="0" borderId="33" xfId="17" applyFont="1" applyBorder="1" applyAlignment="1">
      <alignment horizontal="center" vertical="center" wrapText="1"/>
    </xf>
    <xf numFmtId="0" fontId="16" fillId="0" borderId="37" xfId="17" applyFont="1" applyBorder="1" applyAlignment="1">
      <alignment horizontal="center" vertical="center" wrapText="1"/>
    </xf>
    <xf numFmtId="0" fontId="16" fillId="0" borderId="33" xfId="17" applyFont="1" applyBorder="1" applyAlignment="1">
      <alignment horizontal="left" vertical="top"/>
    </xf>
    <xf numFmtId="0" fontId="36" fillId="0" borderId="34" xfId="17" applyFont="1" applyBorder="1" applyAlignment="1">
      <alignment horizontal="center"/>
    </xf>
    <xf numFmtId="0" fontId="36" fillId="0" borderId="11" xfId="17" applyFont="1" applyBorder="1" applyAlignment="1">
      <alignment horizontal="center"/>
    </xf>
    <xf numFmtId="0" fontId="36" fillId="0" borderId="40" xfId="17" applyFont="1" applyBorder="1" applyAlignment="1">
      <alignment horizontal="center"/>
    </xf>
    <xf numFmtId="0" fontId="16" fillId="0" borderId="30" xfId="17" quotePrefix="1" applyFont="1" applyBorder="1" applyAlignment="1">
      <alignment horizontal="center" vertical="top"/>
    </xf>
    <xf numFmtId="0" fontId="16" fillId="0" borderId="38" xfId="17" applyFont="1" applyBorder="1" applyAlignment="1">
      <alignment vertical="top"/>
    </xf>
    <xf numFmtId="0" fontId="16" fillId="0" borderId="33" xfId="17" applyFont="1" applyFill="1" applyBorder="1" applyAlignment="1">
      <alignment horizontal="center" vertical="top" wrapText="1"/>
    </xf>
    <xf numFmtId="0" fontId="16" fillId="0" borderId="37" xfId="17" applyFont="1" applyFill="1" applyBorder="1" applyAlignment="1">
      <alignment horizontal="center" vertical="top" wrapText="1"/>
    </xf>
    <xf numFmtId="0" fontId="16" fillId="0" borderId="31" xfId="17" applyFont="1" applyBorder="1" applyAlignment="1">
      <alignment horizontal="justify" vertical="top"/>
    </xf>
    <xf numFmtId="0" fontId="16" fillId="0" borderId="38" xfId="17" applyFont="1" applyBorder="1" applyAlignment="1">
      <alignment horizontal="justify" vertical="top"/>
    </xf>
    <xf numFmtId="0" fontId="16" fillId="0" borderId="53" xfId="17" applyFont="1" applyBorder="1" applyAlignment="1">
      <alignment vertical="top"/>
    </xf>
    <xf numFmtId="0" fontId="16" fillId="0" borderId="52" xfId="17" applyFont="1" applyBorder="1" applyAlignment="1">
      <alignment vertical="top"/>
    </xf>
    <xf numFmtId="0" fontId="37" fillId="0" borderId="51" xfId="17" applyFont="1" applyBorder="1" applyAlignment="1">
      <alignment horizontal="left" vertical="top" wrapText="1"/>
    </xf>
    <xf numFmtId="0" fontId="37" fillId="0" borderId="37" xfId="17" applyFont="1" applyBorder="1" applyAlignment="1">
      <alignment horizontal="left" vertical="top" wrapText="1"/>
    </xf>
    <xf numFmtId="0" fontId="16" fillId="0" borderId="24" xfId="17" applyFont="1" applyBorder="1" applyAlignment="1">
      <alignment horizontal="center"/>
    </xf>
    <xf numFmtId="0" fontId="16" fillId="0" borderId="0" xfId="17" applyFont="1" applyBorder="1" applyAlignment="1">
      <alignment horizontal="center"/>
    </xf>
    <xf numFmtId="0" fontId="16" fillId="0" borderId="23" xfId="17" applyFont="1" applyBorder="1" applyAlignment="1">
      <alignment horizontal="center"/>
    </xf>
    <xf numFmtId="0" fontId="16" fillId="0" borderId="32" xfId="17" applyFont="1" applyBorder="1" applyAlignment="1">
      <alignment vertical="top"/>
    </xf>
    <xf numFmtId="0" fontId="16" fillId="0" borderId="30" xfId="17" applyFont="1" applyBorder="1" applyAlignment="1">
      <alignment vertical="top"/>
    </xf>
    <xf numFmtId="0" fontId="16" fillId="0" borderId="31" xfId="17" applyFont="1" applyBorder="1" applyAlignment="1">
      <alignment horizontal="center" vertical="top"/>
    </xf>
    <xf numFmtId="0" fontId="16" fillId="0" borderId="12" xfId="17" applyFont="1" applyBorder="1" applyAlignment="1">
      <alignment horizontal="center" vertical="top"/>
    </xf>
    <xf numFmtId="0" fontId="36" fillId="0" borderId="18" xfId="17" applyFont="1" applyBorder="1" applyAlignment="1">
      <alignment vertical="top"/>
    </xf>
    <xf numFmtId="0" fontId="36" fillId="0" borderId="14" xfId="17" applyFont="1" applyBorder="1" applyAlignment="1">
      <alignment vertical="top"/>
    </xf>
    <xf numFmtId="0" fontId="16" fillId="0" borderId="31" xfId="17" applyFont="1" applyBorder="1" applyAlignment="1">
      <alignment horizontal="left" vertical="top"/>
    </xf>
    <xf numFmtId="0" fontId="16" fillId="0" borderId="12" xfId="17" applyFont="1" applyBorder="1" applyAlignment="1">
      <alignment horizontal="left" vertical="top"/>
    </xf>
    <xf numFmtId="0" fontId="16" fillId="0" borderId="18" xfId="17" applyFont="1" applyBorder="1" applyAlignment="1">
      <alignment horizontal="left" vertical="top"/>
    </xf>
    <xf numFmtId="0" fontId="16" fillId="0" borderId="14" xfId="17" applyFont="1" applyBorder="1" applyAlignment="1">
      <alignment horizontal="left" vertical="top"/>
    </xf>
    <xf numFmtId="9" fontId="16" fillId="0" borderId="33" xfId="17" applyNumberFormat="1" applyFont="1" applyBorder="1" applyAlignment="1">
      <alignment horizontal="center" vertical="top"/>
    </xf>
    <xf numFmtId="0" fontId="36" fillId="0" borderId="31" xfId="17" applyFont="1" applyBorder="1" applyAlignment="1">
      <alignment horizontal="center" vertical="top"/>
    </xf>
    <xf numFmtId="0" fontId="36" fillId="0" borderId="32" xfId="17" applyFont="1" applyBorder="1" applyAlignment="1">
      <alignment horizontal="center" vertical="top"/>
    </xf>
    <xf numFmtId="0" fontId="16" fillId="0" borderId="39" xfId="17" applyFont="1" applyBorder="1" applyAlignment="1">
      <alignment horizontal="center" vertical="top"/>
    </xf>
    <xf numFmtId="0" fontId="16" fillId="0" borderId="38" xfId="17" applyFont="1" applyBorder="1" applyAlignment="1">
      <alignment horizontal="center" vertical="top"/>
    </xf>
    <xf numFmtId="0" fontId="16" fillId="0" borderId="16" xfId="17" applyFont="1" applyBorder="1" applyAlignment="1">
      <alignment horizontal="justify" vertical="top"/>
    </xf>
    <xf numFmtId="0" fontId="38" fillId="0" borderId="0" xfId="17" applyFont="1" applyAlignment="1">
      <alignment horizontal="left"/>
    </xf>
    <xf numFmtId="0" fontId="38" fillId="0" borderId="0" xfId="17" applyFont="1" applyAlignment="1">
      <alignment horizontal="right"/>
    </xf>
    <xf numFmtId="0" fontId="48" fillId="0" borderId="0" xfId="17" applyFont="1" applyAlignment="1">
      <alignment horizontal="center"/>
    </xf>
    <xf numFmtId="0" fontId="27" fillId="0" borderId="0" xfId="17" applyFont="1" applyBorder="1" applyAlignment="1">
      <alignment horizontal="left" vertical="top"/>
    </xf>
    <xf numFmtId="0" fontId="35" fillId="0" borderId="0" xfId="19" applyFont="1" applyAlignment="1">
      <alignment horizontal="center"/>
    </xf>
    <xf numFmtId="0" fontId="37" fillId="0" borderId="6" xfId="17" applyFont="1" applyBorder="1" applyAlignment="1">
      <alignment horizontal="center"/>
    </xf>
    <xf numFmtId="0" fontId="5" fillId="0" borderId="31" xfId="17" applyBorder="1" applyAlignment="1">
      <alignment horizontal="center" vertical="top"/>
    </xf>
    <xf numFmtId="0" fontId="5" fillId="0" borderId="12" xfId="17" applyBorder="1" applyAlignment="1">
      <alignment horizontal="center" vertical="top"/>
    </xf>
    <xf numFmtId="0" fontId="5" fillId="0" borderId="32" xfId="17" applyBorder="1" applyAlignment="1">
      <alignment horizontal="center" vertical="top"/>
    </xf>
    <xf numFmtId="0" fontId="5" fillId="0" borderId="39" xfId="17" applyBorder="1" applyAlignment="1">
      <alignment horizontal="center" vertical="top"/>
    </xf>
    <xf numFmtId="0" fontId="5" fillId="0" borderId="30" xfId="17" applyBorder="1" applyAlignment="1">
      <alignment horizontal="center" vertical="top"/>
    </xf>
    <xf numFmtId="0" fontId="5" fillId="0" borderId="8" xfId="17" applyBorder="1" applyAlignment="1">
      <alignment horizontal="center" vertical="top"/>
    </xf>
    <xf numFmtId="0" fontId="5" fillId="0" borderId="41" xfId="17" applyBorder="1" applyAlignment="1">
      <alignment horizontal="center" vertical="top"/>
    </xf>
    <xf numFmtId="0" fontId="5" fillId="0" borderId="58" xfId="17" applyBorder="1" applyAlignment="1">
      <alignment horizontal="center" vertical="top"/>
    </xf>
    <xf numFmtId="0" fontId="5" fillId="0" borderId="38" xfId="17" applyBorder="1" applyAlignment="1">
      <alignment horizontal="center" vertical="top"/>
    </xf>
    <xf numFmtId="0" fontId="5" fillId="0" borderId="48" xfId="17" applyBorder="1" applyAlignment="1">
      <alignment horizontal="center" vertical="top"/>
    </xf>
    <xf numFmtId="0" fontId="37" fillId="0" borderId="28" xfId="17" applyFont="1" applyFill="1" applyBorder="1" applyAlignment="1">
      <alignment horizontal="center"/>
    </xf>
    <xf numFmtId="0" fontId="37" fillId="0" borderId="7" xfId="17" applyFont="1" applyFill="1" applyBorder="1" applyAlignment="1">
      <alignment horizontal="center"/>
    </xf>
    <xf numFmtId="0" fontId="37" fillId="0" borderId="67" xfId="17" applyFont="1" applyFill="1" applyBorder="1" applyAlignment="1">
      <alignment horizontal="center"/>
    </xf>
    <xf numFmtId="43" fontId="38" fillId="0" borderId="61" xfId="17" applyNumberFormat="1" applyFont="1" applyFill="1" applyBorder="1" applyAlignment="1">
      <alignment horizontal="center"/>
    </xf>
    <xf numFmtId="0" fontId="38" fillId="0" borderId="60" xfId="17" applyFont="1" applyFill="1" applyBorder="1" applyAlignment="1">
      <alignment horizontal="center"/>
    </xf>
    <xf numFmtId="0" fontId="38" fillId="0" borderId="59" xfId="17" applyFont="1" applyFill="1" applyBorder="1" applyAlignment="1">
      <alignment horizontal="center"/>
    </xf>
    <xf numFmtId="0" fontId="7" fillId="0" borderId="24" xfId="18" applyFont="1" applyFill="1" applyBorder="1" applyAlignment="1">
      <alignment horizontal="center"/>
    </xf>
    <xf numFmtId="0" fontId="7" fillId="0" borderId="0" xfId="18" applyFont="1" applyFill="1" applyBorder="1" applyAlignment="1">
      <alignment horizontal="center"/>
    </xf>
    <xf numFmtId="0" fontId="7" fillId="0" borderId="23" xfId="18" applyFont="1" applyFill="1" applyBorder="1" applyAlignment="1">
      <alignment horizontal="center"/>
    </xf>
    <xf numFmtId="0" fontId="5" fillId="0" borderId="6" xfId="17" applyBorder="1" applyAlignment="1">
      <alignment horizontal="right"/>
    </xf>
    <xf numFmtId="0" fontId="5" fillId="0" borderId="21" xfId="17" applyBorder="1" applyAlignment="1">
      <alignment horizontal="right"/>
    </xf>
    <xf numFmtId="0" fontId="25" fillId="0" borderId="64" xfId="17" applyFont="1" applyFill="1" applyBorder="1" applyAlignment="1">
      <alignment horizontal="center"/>
    </xf>
    <xf numFmtId="0" fontId="25" fillId="0" borderId="65" xfId="17" applyFont="1" applyFill="1" applyBorder="1" applyAlignment="1">
      <alignment horizontal="center"/>
    </xf>
    <xf numFmtId="0" fontId="25" fillId="0" borderId="63" xfId="17" applyFont="1" applyFill="1" applyBorder="1" applyAlignment="1">
      <alignment horizontal="center"/>
    </xf>
    <xf numFmtId="43" fontId="36" fillId="0" borderId="56" xfId="17" applyNumberFormat="1" applyFont="1" applyBorder="1" applyAlignment="1">
      <alignment horizontal="center"/>
    </xf>
    <xf numFmtId="0" fontId="36" fillId="0" borderId="10" xfId="17" applyFont="1" applyBorder="1" applyAlignment="1">
      <alignment horizontal="center"/>
    </xf>
    <xf numFmtId="0" fontId="36" fillId="0" borderId="55" xfId="17" applyFont="1" applyBorder="1" applyAlignment="1">
      <alignment horizontal="center"/>
    </xf>
    <xf numFmtId="43" fontId="27" fillId="0" borderId="56" xfId="17" applyNumberFormat="1" applyFont="1" applyBorder="1" applyAlignment="1">
      <alignment horizontal="center"/>
    </xf>
    <xf numFmtId="0" fontId="27" fillId="0" borderId="10" xfId="17" applyFont="1" applyBorder="1" applyAlignment="1">
      <alignment horizontal="center"/>
    </xf>
    <xf numFmtId="0" fontId="27" fillId="0" borderId="55" xfId="17" applyFont="1" applyBorder="1" applyAlignment="1">
      <alignment horizontal="center"/>
    </xf>
    <xf numFmtId="0" fontId="7" fillId="0" borderId="22" xfId="18" applyFont="1" applyFill="1" applyBorder="1" applyAlignment="1">
      <alignment horizontal="center"/>
    </xf>
    <xf numFmtId="0" fontId="7" fillId="0" borderId="6" xfId="18" applyFont="1" applyFill="1" applyBorder="1" applyAlignment="1">
      <alignment horizontal="center"/>
    </xf>
    <xf numFmtId="0" fontId="7" fillId="0" borderId="21" xfId="18" applyFont="1" applyFill="1" applyBorder="1" applyAlignment="1">
      <alignment horizontal="center"/>
    </xf>
    <xf numFmtId="0" fontId="38" fillId="0" borderId="64" xfId="17" applyFont="1" applyBorder="1" applyAlignment="1">
      <alignment horizontal="center"/>
    </xf>
    <xf numFmtId="0" fontId="38" fillId="0" borderId="65" xfId="17" applyFont="1" applyBorder="1" applyAlignment="1">
      <alignment horizontal="center"/>
    </xf>
    <xf numFmtId="0" fontId="38" fillId="0" borderId="63" xfId="17" applyFont="1" applyBorder="1" applyAlignment="1">
      <alignment horizontal="center"/>
    </xf>
    <xf numFmtId="0" fontId="39" fillId="0" borderId="10" xfId="17" applyFont="1" applyBorder="1" applyAlignment="1">
      <alignment horizontal="right"/>
    </xf>
    <xf numFmtId="0" fontId="39" fillId="0" borderId="55" xfId="17" applyFont="1" applyBorder="1" applyAlignment="1">
      <alignment horizontal="right"/>
    </xf>
    <xf numFmtId="43" fontId="34" fillId="0" borderId="0" xfId="17" applyNumberFormat="1" applyFont="1" applyAlignment="1">
      <alignment horizontal="center"/>
    </xf>
    <xf numFmtId="0" fontId="34" fillId="0" borderId="0" xfId="17" applyFont="1" applyAlignment="1">
      <alignment horizontal="center"/>
    </xf>
    <xf numFmtId="0" fontId="36" fillId="0" borderId="0" xfId="17" applyFont="1" applyAlignment="1">
      <alignment horizontal="center"/>
    </xf>
    <xf numFmtId="43" fontId="51" fillId="0" borderId="20" xfId="2" applyFont="1" applyBorder="1" applyAlignment="1">
      <alignment horizontal="center"/>
    </xf>
    <xf numFmtId="43" fontId="51" fillId="0" borderId="4" xfId="2" applyFont="1" applyBorder="1" applyAlignment="1">
      <alignment horizontal="center"/>
    </xf>
    <xf numFmtId="43" fontId="51" fillId="0" borderId="9" xfId="2" applyFont="1" applyBorder="1" applyAlignment="1">
      <alignment horizontal="center"/>
    </xf>
    <xf numFmtId="0" fontId="5" fillId="0" borderId="0" xfId="17" applyAlignment="1">
      <alignment horizontal="center"/>
    </xf>
    <xf numFmtId="164" fontId="51" fillId="0" borderId="20" xfId="2" applyNumberFormat="1" applyFont="1" applyBorder="1" applyAlignment="1">
      <alignment horizontal="center"/>
    </xf>
    <xf numFmtId="164" fontId="51" fillId="0" borderId="4" xfId="2" applyNumberFormat="1" applyFont="1" applyBorder="1" applyAlignment="1">
      <alignment horizontal="center"/>
    </xf>
    <xf numFmtId="164" fontId="51" fillId="0" borderId="9" xfId="2" applyNumberFormat="1" applyFont="1" applyBorder="1" applyAlignment="1">
      <alignment horizontal="center"/>
    </xf>
    <xf numFmtId="0" fontId="7" fillId="0" borderId="0" xfId="17" applyFont="1" applyBorder="1" applyAlignment="1">
      <alignment horizontal="left"/>
    </xf>
    <xf numFmtId="0" fontId="5" fillId="0" borderId="0" xfId="17" applyBorder="1" applyAlignment="1">
      <alignment horizontal="center"/>
    </xf>
    <xf numFmtId="0" fontId="7" fillId="0" borderId="20" xfId="17" applyFont="1" applyBorder="1" applyAlignment="1">
      <alignment horizontal="left"/>
    </xf>
    <xf numFmtId="0" fontId="7" fillId="0" borderId="4" xfId="17" applyFont="1" applyBorder="1" applyAlignment="1">
      <alignment horizontal="left"/>
    </xf>
    <xf numFmtId="0" fontId="7" fillId="0" borderId="9" xfId="17" applyFont="1" applyBorder="1" applyAlignment="1">
      <alignment horizontal="left"/>
    </xf>
    <xf numFmtId="0" fontId="25" fillId="0" borderId="0" xfId="17" applyFont="1" applyAlignment="1">
      <alignment horizontal="center"/>
    </xf>
    <xf numFmtId="0" fontId="24" fillId="0" borderId="0" xfId="17" applyFont="1" applyAlignment="1">
      <alignment horizontal="center"/>
    </xf>
    <xf numFmtId="43" fontId="50" fillId="0" borderId="20" xfId="2" applyFont="1" applyBorder="1" applyAlignment="1">
      <alignment horizontal="left"/>
    </xf>
    <xf numFmtId="43" fontId="50" fillId="0" borderId="4" xfId="2" applyFont="1" applyBorder="1" applyAlignment="1">
      <alignment horizontal="left"/>
    </xf>
    <xf numFmtId="43" fontId="50" fillId="0" borderId="9" xfId="2" applyFont="1" applyBorder="1" applyAlignment="1">
      <alignment horizontal="left"/>
    </xf>
    <xf numFmtId="0" fontId="7" fillId="0" borderId="17" xfId="17" applyFont="1" applyBorder="1" applyAlignment="1">
      <alignment horizontal="left"/>
    </xf>
    <xf numFmtId="0" fontId="5" fillId="0" borderId="0" xfId="17" applyAlignment="1">
      <alignment horizontal="right"/>
    </xf>
    <xf numFmtId="43" fontId="50" fillId="0" borderId="0" xfId="2" applyFont="1" applyAlignment="1">
      <alignment horizontal="left"/>
    </xf>
    <xf numFmtId="0" fontId="7" fillId="0" borderId="20" xfId="17" applyFont="1" applyBorder="1" applyAlignment="1">
      <alignment horizontal="center"/>
    </xf>
    <xf numFmtId="0" fontId="7" fillId="0" borderId="4" xfId="17" applyFont="1" applyBorder="1" applyAlignment="1">
      <alignment horizontal="center"/>
    </xf>
    <xf numFmtId="0" fontId="7" fillId="0" borderId="9" xfId="17" applyFont="1" applyBorder="1" applyAlignment="1">
      <alignment horizontal="center"/>
    </xf>
    <xf numFmtId="1" fontId="7" fillId="0" borderId="20" xfId="17" applyNumberFormat="1" applyFont="1" applyBorder="1" applyAlignment="1">
      <alignment horizontal="right"/>
    </xf>
    <xf numFmtId="1" fontId="7" fillId="0" borderId="4" xfId="17" applyNumberFormat="1" applyFont="1" applyBorder="1" applyAlignment="1">
      <alignment horizontal="right"/>
    </xf>
    <xf numFmtId="1" fontId="7" fillId="0" borderId="9" xfId="17" applyNumberFormat="1" applyFont="1" applyBorder="1" applyAlignment="1">
      <alignment horizontal="right"/>
    </xf>
    <xf numFmtId="0" fontId="5" fillId="0" borderId="11" xfId="17" applyBorder="1" applyAlignment="1">
      <alignment horizontal="center"/>
    </xf>
    <xf numFmtId="0" fontId="5" fillId="0" borderId="20" xfId="17" applyBorder="1" applyAlignment="1">
      <alignment horizontal="left"/>
    </xf>
    <xf numFmtId="0" fontId="5" fillId="0" borderId="4" xfId="17" applyBorder="1" applyAlignment="1">
      <alignment horizontal="left"/>
    </xf>
    <xf numFmtId="0" fontId="5" fillId="0" borderId="9" xfId="17" applyBorder="1" applyAlignment="1">
      <alignment horizontal="left"/>
    </xf>
    <xf numFmtId="43" fontId="50" fillId="0" borderId="17" xfId="2" applyFont="1" applyBorder="1" applyAlignment="1">
      <alignment horizontal="left"/>
    </xf>
    <xf numFmtId="43" fontId="50" fillId="0" borderId="0" xfId="2" applyFont="1" applyBorder="1" applyAlignment="1">
      <alignment horizontal="left"/>
    </xf>
    <xf numFmtId="43" fontId="50" fillId="0" borderId="16" xfId="2" applyFont="1" applyBorder="1" applyAlignment="1">
      <alignment horizontal="left"/>
    </xf>
    <xf numFmtId="0" fontId="7" fillId="0" borderId="11" xfId="17" applyFont="1" applyBorder="1" applyAlignment="1">
      <alignment horizontal="left" vertical="top" wrapText="1"/>
    </xf>
    <xf numFmtId="0" fontId="7" fillId="0" borderId="0" xfId="17" applyFont="1" applyBorder="1" applyAlignment="1">
      <alignment horizontal="left" vertical="top" wrapText="1"/>
    </xf>
    <xf numFmtId="0" fontId="7" fillId="0" borderId="3" xfId="17" applyFont="1" applyBorder="1" applyAlignment="1">
      <alignment horizontal="left" vertical="top" wrapText="1"/>
    </xf>
  </cellXfs>
  <cellStyles count="38">
    <cellStyle name="Comma" xfId="1" builtinId="3"/>
    <cellStyle name="Comma 2" xfId="2"/>
    <cellStyle name="Comma 2 2" xfId="32"/>
    <cellStyle name="Comma 3" xfId="3"/>
    <cellStyle name="Comma 3 2" xfId="4"/>
    <cellStyle name="Comma 4" xfId="31"/>
    <cellStyle name="Comma_BALANCE SHEET FHI 03-04 DEC" xfId="33"/>
    <cellStyle name="Comma_New Annexure to 3CD" xfId="5"/>
    <cellStyle name="Comma_SAH 02" xfId="6"/>
    <cellStyle name="Custom - Style8" xfId="7"/>
    <cellStyle name="Data   - Style2" xfId="8"/>
    <cellStyle name="Euro" xfId="9"/>
    <cellStyle name="Hyperlink" xfId="10" builtinId="8"/>
    <cellStyle name="Hyperlink 2" xfId="34"/>
    <cellStyle name="Labels - Style3" xfId="11"/>
    <cellStyle name="Milliers [0]_A1_96VX" xfId="12"/>
    <cellStyle name="Milliers_A1_96VX" xfId="13"/>
    <cellStyle name="Monétaire [0]_A1_96VX" xfId="14"/>
    <cellStyle name="Monétaire_A1_96VX" xfId="15"/>
    <cellStyle name="Normal" xfId="0" builtinId="0"/>
    <cellStyle name="Normal - Style1" xfId="16"/>
    <cellStyle name="Normal 2" xfId="17"/>
    <cellStyle name="Normal 2 2" xfId="35"/>
    <cellStyle name="Normal 3" xfId="18"/>
    <cellStyle name="Normal 4" xfId="36"/>
    <cellStyle name="Normal 5" xfId="37"/>
    <cellStyle name="Normal_New Annexure to 3CD" xfId="19"/>
    <cellStyle name="Normal_Sheet1" xfId="20"/>
    <cellStyle name="Percent" xfId="30" builtinId="5"/>
    <cellStyle name="Percent 2" xfId="21"/>
    <cellStyle name="Percent 3" xfId="22"/>
    <cellStyle name="Reset  - Style7" xfId="23"/>
    <cellStyle name="Table  - Style6" xfId="24"/>
    <cellStyle name="Title  - Style1" xfId="25"/>
    <cellStyle name="TotCol - Style5" xfId="26"/>
    <cellStyle name="TotRow - Style4" xfId="27"/>
    <cellStyle name="표준_Sheet5" xfId="28"/>
    <cellStyle name="標準_NSGVBudget2003" xfId="29"/>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externalLink" Target="externalLinks/externalLink2.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externalLink" Target="externalLinks/externalLink3.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4.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administrator\Local%20Settings\Temporary%20Internet%20Files\Content.IE5\7C88GHDK\march2002-tax%20accoun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ocuments%20and%20Settings\Praveen\Desktop\FINANCIALS%20-%20APR02-MAR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dministrator\Desktop\PP_Master%20Templ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ocuments%20and%20Settings\mhnh\My%20Documents\2001\Asia%20Pacific\Plan\5Y_v2.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2002-03%20AUDIT%20SCHE\FINANCIALS%20-%20APR02-MAR03INCL%20&amp;%20EX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admin\My%20Documents\Downloads\bs%20with%20cf.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backupkishnani/ka/310312/anisha/anisha_11a.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amp;l"/>
      <sheetName val="bs"/>
      <sheetName val="sch 5"/>
      <sheetName val=" BS-sch 1-4"/>
      <sheetName val="BS-sch 6 &amp; 7"/>
      <sheetName val="BS-sch 8 &amp; 9"/>
      <sheetName val="PL-sch 10, 11 &amp; 12"/>
      <sheetName val="PL-sch 13, 14 &amp; 15"/>
      <sheetName val="GP Margin"/>
      <sheetName val="TRIAL BALANCE"/>
      <sheetName val="Clause 12 (b)"/>
      <sheetName val="pl-excl"/>
      <sheetName val="pl-incl"/>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lated Parties"/>
      <sheetName val="P&amp;L"/>
      <sheetName val="BS"/>
      <sheetName val="VARIANCE ANALYSIS "/>
      <sheetName val="Sch 1-4"/>
      <sheetName val="Sch-5"/>
      <sheetName val="Sch-6-11"/>
      <sheetName val="Sch 12 &amp;13"/>
      <sheetName val="P&amp;L Sch 14-16"/>
      <sheetName val="P&amp;L Sch 17-19"/>
      <sheetName val="Data Entry"/>
      <sheetName val="TRIAL BALANCE (2)"/>
      <sheetName val="TRIAL BALANCE"/>
      <sheetName val="TB Download"/>
      <sheetName val="TBdownload-2002"/>
      <sheetName val="CC wise Download"/>
      <sheetName val="SIF P&amp;L BS"/>
      <sheetName val="SIF P&amp;L"/>
      <sheetName val="SIF Workings"/>
      <sheetName val="SIF Results Back up"/>
      <sheetName val="PROVISIONS"/>
      <sheetName val="Pl-Incl"/>
      <sheetName val="pl-Excl"/>
      <sheetName val="sch-I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ainPage"/>
      <sheetName val="DR"/>
      <sheetName val="DR-Anx"/>
      <sheetName val="AR"/>
      <sheetName val="CARO"/>
      <sheetName val="CAROApp"/>
      <sheetName val="BS"/>
      <sheetName val="PL"/>
      <sheetName val="FundFlow"/>
      <sheetName val="Instructions"/>
      <sheetName val="BSSch"/>
      <sheetName val="FASch"/>
      <sheetName val="PLSch"/>
      <sheetName val="Notes"/>
      <sheetName val="PartIV"/>
      <sheetName val="GR-BS"/>
      <sheetName val="GR-PL"/>
      <sheetName val="AS22"/>
      <sheetName val="115JB"/>
      <sheetName val="115JB-Anx"/>
      <sheetName val="3CA"/>
      <sheetName val="3CA-Anx"/>
      <sheetName val="3CD"/>
      <sheetName val="145A-Exclusive"/>
      <sheetName val="145-Incusive"/>
      <sheetName val="3CD-145A-Anx"/>
      <sheetName val="3CD-Dep-Anx"/>
      <sheetName val="3CD-40A(3)-Anx"/>
      <sheetName val="3CD-40A(2)(b)-Anx"/>
      <sheetName val="3CD-269SS-T-Anx"/>
      <sheetName val="3CD-CFLoss-Anx"/>
      <sheetName val="3CD-Ratios-Anx "/>
      <sheetName val="Names"/>
      <sheetName val="IT"/>
      <sheetName val="Mas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row r="3">
          <cell r="C3" t="str">
            <v>Portalplayer (India) Private Limited</v>
          </cell>
        </row>
        <row r="4">
          <cell r="C4" t="str">
            <v>Plot No:249, Prashasan Nagar,
Road No:72, Jubilee Hills,
Hyderabad-500 034.</v>
          </cell>
        </row>
        <row r="7">
          <cell r="C7" t="str">
            <v>Private Limited Company</v>
          </cell>
        </row>
        <row r="11">
          <cell r="C11" t="str">
            <v>AABCP7418F</v>
          </cell>
        </row>
        <row r="16">
          <cell r="C16" t="str">
            <v>Partner</v>
          </cell>
        </row>
        <row r="19">
          <cell r="C19" t="str">
            <v>Deloitte Haskins &amp; Sells</v>
          </cell>
        </row>
        <row r="20">
          <cell r="C20" t="str">
            <v>P.R. Ramesh</v>
          </cell>
        </row>
        <row r="23">
          <cell r="C23" t="str">
            <v>M.No: 70928</v>
          </cell>
        </row>
        <row r="24">
          <cell r="C24" t="str">
            <v>Chartered Accountants,
7th Floor, Amrutha Estates,
Lingapur House,
Himayathnagar,
Hyderabad-500 029.</v>
          </cell>
        </row>
        <row r="28">
          <cell r="C28" t="str">
            <v>31-03-2006</v>
          </cell>
        </row>
        <row r="34">
          <cell r="C34" t="str">
            <v>2006-07</v>
          </cell>
        </row>
        <row r="40">
          <cell r="C40" t="str">
            <v>August 5, 2006</v>
          </cell>
        </row>
        <row r="43">
          <cell r="C43" t="str">
            <v>Hyderabad</v>
          </cell>
        </row>
        <row r="45">
          <cell r="C45" t="str">
            <v>Software Development</v>
          </cell>
        </row>
        <row r="46">
          <cell r="C46" t="str">
            <v>Mercantile</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OW"/>
      <sheetName val="OPS_asia"/>
      <sheetName val="Production"/>
      <sheetName val="PRICE"/>
      <sheetName val="Data"/>
      <sheetName val="OPS_SIMPLIFIE"/>
      <sheetName val="CESSION"/>
      <sheetName val="ORDER"/>
      <sheetName val="income"/>
      <sheetName val="AP RA99-06"/>
      <sheetName val="HV RA99-06"/>
      <sheetName val="IN RA99-06"/>
      <sheetName val="CH RA99-06"/>
      <sheetName val="TH RA99-06"/>
      <sheetName val="HZ RA99-06"/>
    </sheetNames>
    <sheetDataSet>
      <sheetData sheetId="0" refreshError="1"/>
      <sheetData sheetId="1" refreshError="1"/>
      <sheetData sheetId="2" refreshError="1"/>
      <sheetData sheetId="3" refreshError="1"/>
      <sheetData sheetId="4" refreshError="1">
        <row r="10">
          <cell r="D10">
            <v>8.3000000000000007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Related Parties"/>
      <sheetName val="Pl-EXCL"/>
      <sheetName val="pL-iNCL"/>
      <sheetName val="Sheet3"/>
      <sheetName val="P&amp;L"/>
      <sheetName val="BS"/>
      <sheetName val="VARIANCE ANALYSIS "/>
      <sheetName val="cash flow"/>
      <sheetName val="Sch 1-4"/>
      <sheetName val="Sch-5"/>
      <sheetName val="Sch-6-11"/>
      <sheetName val="Sch 12 &amp;13"/>
      <sheetName val="P&amp;L Sch 14-16"/>
      <sheetName val="P&amp;L Sch 17-19"/>
      <sheetName val="Data Entry"/>
      <sheetName val="TRIAL BALANCE (2)"/>
      <sheetName val="TRIAL BALANCE"/>
      <sheetName val="TB Download"/>
      <sheetName val="TBdownload-2002"/>
      <sheetName val="CC wise Download"/>
      <sheetName val="SIFGROUPINGS"/>
      <sheetName val="SIF P&amp;L BS"/>
      <sheetName val="SIF P&amp;L"/>
      <sheetName val="SIF Workings"/>
      <sheetName val="SIF Results Back up"/>
      <sheetName val="PROVISIONS"/>
      <sheetName val="P &amp; L Approach(OB)"/>
      <sheetName val="P &amp; L Approach(CB) "/>
      <sheetName val="AS-22"/>
      <sheetName val="Nagar provisions"/>
      <sheetName val="CL PROVISION"/>
      <sheetName val="SIF R20&amp;R30 "/>
      <sheetName val="SIF-Sent to France"/>
      <sheetName val="sch-IV"/>
      <sheetName val="TBM ANALYSI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DEP IT Act "/>
      <sheetName val="DTA"/>
      <sheetName val="Comput"/>
      <sheetName val="Sale on FAssets "/>
      <sheetName val="Sheet5"/>
      <sheetName val="pl_"/>
      <sheetName val="bs_"/>
      <sheetName val="Trial "/>
      <sheetName val="BS"/>
      <sheetName val="PL"/>
      <sheetName val="Notes_1 &amp; 2"/>
      <sheetName val="Cash Flow - Operating"/>
      <sheetName val="3"/>
      <sheetName val="4, 5"/>
      <sheetName val="5.2"/>
      <sheetName val="6,7"/>
      <sheetName val="8, 9,10"/>
      <sheetName val="11"/>
      <sheetName val="12,13,14,15"/>
      <sheetName val="16,17"/>
      <sheetName val="18, 19, 20"/>
      <sheetName val="21,22,23"/>
      <sheetName val="24"/>
      <sheetName val="27 AS 18"/>
    </sheetNames>
    <sheetDataSet>
      <sheetData sheetId="0"/>
      <sheetData sheetId="1"/>
      <sheetData sheetId="2"/>
      <sheetData sheetId="3"/>
      <sheetData sheetId="4"/>
      <sheetData sheetId="5"/>
      <sheetData sheetId="6"/>
      <sheetData sheetId="7"/>
      <sheetData sheetId="8">
        <row r="14">
          <cell r="G14">
            <v>8709818.9499999993</v>
          </cell>
          <cell r="H14">
            <v>12595019.579999998</v>
          </cell>
          <cell r="J14">
            <v>-3885200.629999999</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master"/>
      <sheetName val="cont_sheet"/>
      <sheetName val="ANNX"/>
      <sheetName val="audr"/>
      <sheetName val="audr1"/>
      <sheetName val="notice"/>
      <sheetName val="dir"/>
      <sheetName val="BS"/>
      <sheetName val="SCH_BS"/>
      <sheetName val="dep(co)"/>
      <sheetName val="W.N.of dep"/>
      <sheetName val="NOTES"/>
      <sheetName val="ABST"/>
      <sheetName val="PL"/>
      <sheetName val="SCH_PL"/>
      <sheetName val="depit"/>
      <sheetName val="ar"/>
      <sheetName val="a (2)"/>
      <sheetName val="b (2)"/>
      <sheetName val="c (3)"/>
      <sheetName val="3ca"/>
      <sheetName val="3CD (3)"/>
      <sheetName val="loans"/>
      <sheetName val="tds"/>
      <sheetName val="Annexure I (2)"/>
      <sheetName val="NWTH (3)"/>
      <sheetName val="nw"/>
    </sheetNames>
    <sheetDataSet>
      <sheetData sheetId="0">
        <row r="1">
          <cell r="B1" t="str">
            <v>ANISHA IMPEX PRIVATE LIMITED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koteshwar.co.in/" TargetMode="Externa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1">
    <pageSetUpPr fitToPage="1"/>
  </sheetPr>
  <dimension ref="A1:D57"/>
  <sheetViews>
    <sheetView workbookViewId="0">
      <selection activeCell="C20" sqref="C20"/>
    </sheetView>
  </sheetViews>
  <sheetFormatPr defaultRowHeight="15"/>
  <cols>
    <col min="1" max="1" width="37.5703125" style="196" customWidth="1"/>
    <col min="2" max="2" width="11.5703125" style="237" customWidth="1"/>
    <col min="3" max="4" width="18.7109375" style="200" customWidth="1"/>
    <col min="5" max="16384" width="9.140625" style="195"/>
  </cols>
  <sheetData>
    <row r="1" spans="1:4">
      <c r="A1" s="897" t="str">
        <f>master!B2</f>
        <v>ABC LTD</v>
      </c>
      <c r="B1" s="897"/>
      <c r="C1" s="897"/>
      <c r="D1" s="897"/>
    </row>
    <row r="2" spans="1:4">
      <c r="A2" s="897" t="str">
        <f>CONCATENATE("BALANCE SHEET AS AT ",master!B18)</f>
        <v>BALANCE SHEET AS AT 31st MARCH, 2012</v>
      </c>
      <c r="B2" s="897"/>
      <c r="C2" s="897"/>
      <c r="D2" s="897"/>
    </row>
    <row r="4" spans="1:4">
      <c r="A4" s="247" t="s">
        <v>855</v>
      </c>
      <c r="B4" s="246" t="s">
        <v>854</v>
      </c>
      <c r="C4" s="245" t="s">
        <v>604</v>
      </c>
      <c r="D4" s="245" t="s">
        <v>603</v>
      </c>
    </row>
    <row r="5" spans="1:4">
      <c r="A5" s="221"/>
      <c r="B5" s="244"/>
      <c r="C5" s="243" t="str">
        <f>master!B16</f>
        <v>31/03/2012</v>
      </c>
      <c r="D5" s="243" t="str">
        <f>master!B17</f>
        <v>31/03/2011</v>
      </c>
    </row>
    <row r="6" spans="1:4">
      <c r="A6" s="198" t="s">
        <v>853</v>
      </c>
      <c r="C6" s="218"/>
    </row>
    <row r="7" spans="1:4">
      <c r="A7" s="198" t="s">
        <v>852</v>
      </c>
      <c r="C7" s="218"/>
    </row>
    <row r="8" spans="1:4">
      <c r="A8" s="242" t="s">
        <v>4</v>
      </c>
      <c r="B8" s="237">
        <v>1</v>
      </c>
      <c r="C8" s="218" t="e">
        <f>SCH_BS!C14</f>
        <v>#REF!</v>
      </c>
      <c r="D8" s="218" t="e">
        <f>SCH_BS!D14</f>
        <v>#REF!</v>
      </c>
    </row>
    <row r="9" spans="1:4">
      <c r="A9" s="196" t="s">
        <v>7</v>
      </c>
      <c r="B9" s="237" t="e">
        <f>IF(C9+D9&gt;0,1,"")</f>
        <v>#REF!</v>
      </c>
      <c r="C9" s="200" t="e">
        <f>SCH_BS!C19</f>
        <v>#REF!</v>
      </c>
      <c r="D9" s="200" t="e">
        <f>SCH_BS!D19</f>
        <v>#REF!</v>
      </c>
    </row>
    <row r="10" spans="1:4">
      <c r="A10" s="242" t="s">
        <v>851</v>
      </c>
      <c r="B10" s="237" t="e">
        <f>IF(C10+D10&gt;0,2,"")</f>
        <v>#REF!</v>
      </c>
      <c r="C10" s="218" t="e">
        <f>IF(SCH_BS!C34&gt;0,SCH_BS!C34,0)</f>
        <v>#REF!</v>
      </c>
      <c r="D10" s="218" t="e">
        <f>IF(SCH_BS!D34&gt;0,SCH_BS!D34,0)+0.01</f>
        <v>#REF!</v>
      </c>
    </row>
    <row r="11" spans="1:4">
      <c r="C11" s="218"/>
    </row>
    <row r="12" spans="1:4">
      <c r="A12" s="198" t="s">
        <v>850</v>
      </c>
      <c r="C12" s="218"/>
    </row>
    <row r="13" spans="1:4">
      <c r="A13" s="242" t="s">
        <v>849</v>
      </c>
      <c r="B13" s="237" t="e">
        <f>IF(C13&gt;0,MAX(B8:B12)+1,"")</f>
        <v>#REF!</v>
      </c>
      <c r="C13" s="218" t="e">
        <f>SCH_BS!C45</f>
        <v>#REF!</v>
      </c>
      <c r="D13" s="218" t="e">
        <f>SCH_BS!D45</f>
        <v>#REF!</v>
      </c>
    </row>
    <row r="14" spans="1:4">
      <c r="A14" s="242" t="s">
        <v>848</v>
      </c>
      <c r="B14" s="237" t="e">
        <f>IF(C14+D14&gt;0,MAX(B8:B13)+1,"")</f>
        <v>#REF!</v>
      </c>
      <c r="C14" s="218" t="e">
        <f>SCH_BS!C56</f>
        <v>#REF!</v>
      </c>
      <c r="D14" s="218" t="e">
        <f>SCH_BS!D56</f>
        <v>#REF!</v>
      </c>
    </row>
    <row r="15" spans="1:4">
      <c r="A15" s="196" t="s">
        <v>847</v>
      </c>
      <c r="B15" s="237" t="e">
        <f>IF(C15+D15&gt;0,MAX(B8:B14)+1,"")</f>
        <v>#REF!</v>
      </c>
      <c r="C15" s="195" t="e">
        <f>IF(SCH_BS!C63&gt;0,SCH_BS!C63,0)</f>
        <v>#REF!</v>
      </c>
      <c r="D15" s="195" t="e">
        <f>IF(SCH_BS!D63&gt;0,SCH_BS!D63,0)</f>
        <v>#REF!</v>
      </c>
    </row>
    <row r="16" spans="1:4">
      <c r="A16" s="205" t="s">
        <v>424</v>
      </c>
      <c r="C16" s="214" t="e">
        <f>SUM(C8:C15)</f>
        <v>#REF!</v>
      </c>
      <c r="D16" s="214" t="e">
        <f>SUM(D8:D15)</f>
        <v>#REF!</v>
      </c>
    </row>
    <row r="17" spans="1:4">
      <c r="C17" s="218"/>
    </row>
    <row r="18" spans="1:4">
      <c r="A18" s="198" t="s">
        <v>846</v>
      </c>
      <c r="C18" s="218"/>
    </row>
    <row r="19" spans="1:4">
      <c r="A19" s="198" t="s">
        <v>21</v>
      </c>
      <c r="B19" s="237" t="e">
        <f>IF(C20+D20&gt;0,MAX(B8:B18)+1,"")</f>
        <v>#REF!</v>
      </c>
      <c r="C19" s="218"/>
    </row>
    <row r="20" spans="1:4">
      <c r="A20" s="196" t="s">
        <v>291</v>
      </c>
      <c r="C20" s="218" t="e">
        <f>#REF!</f>
        <v>#REF!</v>
      </c>
      <c r="D20" s="195" t="e">
        <f>#REF!</f>
        <v>#REF!</v>
      </c>
    </row>
    <row r="21" spans="1:4">
      <c r="A21" s="196" t="s">
        <v>743</v>
      </c>
      <c r="C21" s="218" t="e">
        <f>-#REF!</f>
        <v>#REF!</v>
      </c>
      <c r="D21" s="195" t="e">
        <f>#REF!+0.005</f>
        <v>#REF!</v>
      </c>
    </row>
    <row r="22" spans="1:4">
      <c r="A22" s="196" t="s">
        <v>742</v>
      </c>
      <c r="C22" s="218" t="e">
        <f>SUM(C20:C21)</f>
        <v>#REF!</v>
      </c>
      <c r="D22" s="218" t="e">
        <f>SUM(D20:D21)</f>
        <v>#REF!</v>
      </c>
    </row>
    <row r="23" spans="1:4">
      <c r="A23" s="198" t="s">
        <v>845</v>
      </c>
      <c r="B23" s="237" t="e">
        <f>IF(C23+D23&gt;0,MAX(B8:B22)+1,"")</f>
        <v>#REF!</v>
      </c>
      <c r="C23" s="196" t="e">
        <f>SCH_BS!C71</f>
        <v>#REF!</v>
      </c>
      <c r="D23" s="196" t="e">
        <f>SCH_BS!D71</f>
        <v>#REF!</v>
      </c>
    </row>
    <row r="24" spans="1:4">
      <c r="A24" s="198" t="s">
        <v>844</v>
      </c>
      <c r="B24" s="237" t="e">
        <f>IF(C24+D24&gt;0,MAX(B8:B23)+1,"")</f>
        <v>#REF!</v>
      </c>
      <c r="C24" s="195" t="e">
        <f>SCH_BS!C85</f>
        <v>#REF!</v>
      </c>
      <c r="D24" s="195" t="e">
        <f>SCH_BS!D85</f>
        <v>#REF!</v>
      </c>
    </row>
    <row r="25" spans="1:4">
      <c r="A25" s="198" t="s">
        <v>843</v>
      </c>
      <c r="C25" s="218"/>
    </row>
    <row r="26" spans="1:4">
      <c r="A26" s="242" t="s">
        <v>842</v>
      </c>
      <c r="B26" s="237" t="e">
        <f>IF(C26+D26&gt;0,MAX(B8:B25)+1,"")</f>
        <v>#REF!</v>
      </c>
      <c r="C26" s="218" t="e">
        <f>SCH_BS!C96</f>
        <v>#REF!</v>
      </c>
      <c r="D26" s="218" t="e">
        <f>SCH_BS!D96</f>
        <v>#REF!</v>
      </c>
    </row>
    <row r="27" spans="1:4">
      <c r="A27" s="242" t="s">
        <v>841</v>
      </c>
      <c r="B27" s="237" t="e">
        <f>IF(C27+D27&gt;0,MAX(B8:B26)+1,"")</f>
        <v>#REF!</v>
      </c>
      <c r="C27" s="218" t="e">
        <f>SCH_BS!C104</f>
        <v>#REF!</v>
      </c>
      <c r="D27" s="218" t="e">
        <f>SCH_BS!D104</f>
        <v>#REF!</v>
      </c>
    </row>
    <row r="28" spans="1:4">
      <c r="A28" s="242" t="s">
        <v>840</v>
      </c>
      <c r="B28" s="237" t="e">
        <f>IF(C28+D28&gt;0,MAX(B8:B27)+1,"")</f>
        <v>#REF!</v>
      </c>
      <c r="C28" s="218" t="e">
        <f>SCH_BS!C114</f>
        <v>#REF!</v>
      </c>
      <c r="D28" s="218" t="e">
        <f>SCH_BS!D114</f>
        <v>#REF!</v>
      </c>
    </row>
    <row r="29" spans="1:4">
      <c r="A29" s="242" t="s">
        <v>839</v>
      </c>
      <c r="B29" s="237" t="e">
        <f>IF(C29+D29&gt;0,MAX(B8:B28)+1,"")</f>
        <v>#REF!</v>
      </c>
      <c r="C29" s="195" t="e">
        <f>SCH_BS!C121</f>
        <v>#REF!</v>
      </c>
      <c r="D29" s="195" t="e">
        <f>SCH_BS!D121</f>
        <v>#REF!</v>
      </c>
    </row>
    <row r="30" spans="1:4">
      <c r="A30" s="242" t="s">
        <v>838</v>
      </c>
      <c r="B30" s="237" t="e">
        <f>IF(C30+D30&gt;0,MAX(B14:B29)+1,"")</f>
        <v>#REF!</v>
      </c>
      <c r="C30" s="218" t="e">
        <f>SCH_BS!C134</f>
        <v>#REF!</v>
      </c>
      <c r="D30" s="218" t="e">
        <f>SCH_BS!D134</f>
        <v>#REF!</v>
      </c>
    </row>
    <row r="31" spans="1:4">
      <c r="B31" s="195"/>
      <c r="C31" s="195"/>
      <c r="D31" s="195"/>
    </row>
    <row r="32" spans="1:4">
      <c r="A32" s="205" t="s">
        <v>424</v>
      </c>
      <c r="C32" s="206" t="e">
        <f>SUM(C26:C31)</f>
        <v>#REF!</v>
      </c>
      <c r="D32" s="206" t="e">
        <f>SUM(D26:D31)</f>
        <v>#REF!</v>
      </c>
    </row>
    <row r="33" spans="1:4">
      <c r="A33" s="198" t="s">
        <v>837</v>
      </c>
      <c r="C33" s="218"/>
    </row>
    <row r="34" spans="1:4">
      <c r="A34" s="242" t="s">
        <v>836</v>
      </c>
      <c r="B34" s="237" t="e">
        <f>IF(C34+D34&lt;0,MAX(B8:B33)+1,"")</f>
        <v>#REF!</v>
      </c>
      <c r="C34" s="218" t="e">
        <f>-SCH_BS!C152</f>
        <v>#REF!</v>
      </c>
      <c r="D34" s="218" t="e">
        <f>-SCH_BS!D152</f>
        <v>#REF!</v>
      </c>
    </row>
    <row r="35" spans="1:4">
      <c r="A35" s="242" t="s">
        <v>835</v>
      </c>
      <c r="B35" s="237" t="e">
        <f>IF(C35+D35&lt;0,MAX(B8:B34)+1,"")</f>
        <v>#REF!</v>
      </c>
      <c r="C35" s="218" t="e">
        <f>-SCH_BS!C164</f>
        <v>#REF!</v>
      </c>
      <c r="D35" s="218" t="e">
        <f>-SCH_BS!D164</f>
        <v>#REF!</v>
      </c>
    </row>
    <row r="36" spans="1:4">
      <c r="A36" s="205" t="s">
        <v>834</v>
      </c>
      <c r="C36" s="198" t="e">
        <f>SUM(C32:C35)</f>
        <v>#REF!</v>
      </c>
      <c r="D36" s="198" t="e">
        <f>SUM(D32:D35)</f>
        <v>#REF!</v>
      </c>
    </row>
    <row r="37" spans="1:4">
      <c r="C37" s="218"/>
    </row>
    <row r="38" spans="1:4">
      <c r="A38" s="198" t="s">
        <v>833</v>
      </c>
      <c r="C38" s="218"/>
    </row>
    <row r="39" spans="1:4">
      <c r="A39" s="198" t="s">
        <v>832</v>
      </c>
      <c r="B39" s="237" t="e">
        <f>IF(C39+D39&gt;0,MAX(B8:B38)+1,"")</f>
        <v>#REF!</v>
      </c>
      <c r="C39" s="209" t="e">
        <f>SCH_BS!C173</f>
        <v>#REF!</v>
      </c>
      <c r="D39" s="209" t="e">
        <f>SCH_BS!D173</f>
        <v>#REF!</v>
      </c>
    </row>
    <row r="40" spans="1:4">
      <c r="A40" s="241" t="s">
        <v>253</v>
      </c>
      <c r="B40" s="237" t="e">
        <f>IF(C40+D40=0,"",IF(C15&gt;0,B15,IF(C40+D40&gt;0,MAX(B8:B39)+1,"")))</f>
        <v>#REF!</v>
      </c>
      <c r="C40" s="195" t="e">
        <f>IF(SCH_BS!C63&lt;0,SCH_BS!C63,0)</f>
        <v>#REF!</v>
      </c>
      <c r="D40" s="195" t="e">
        <f>IF(SCH_BS!D63&lt;0,SCH_BS!D63,0)</f>
        <v>#REF!</v>
      </c>
    </row>
    <row r="41" spans="1:4">
      <c r="A41" s="198" t="s">
        <v>831</v>
      </c>
      <c r="B41" s="237" t="e">
        <f>IF(C41+D41=0,"",IF(C10+D10&gt;0,B10,IF(C41+D41&gt;0,MAX(B8:B40)+1,"")))</f>
        <v>#REF!</v>
      </c>
      <c r="C41" s="195" t="e">
        <f>IF(SCH_BS!C34&lt;0,-SCH_BS!C34,0)</f>
        <v>#REF!</v>
      </c>
      <c r="D41" s="195" t="e">
        <f>IF(SCH_BS!D34&lt;0,-SCH_BS!D34,0)</f>
        <v>#REF!</v>
      </c>
    </row>
    <row r="42" spans="1:4">
      <c r="A42" s="198"/>
      <c r="C42" s="195"/>
      <c r="D42" s="218"/>
    </row>
    <row r="43" spans="1:4">
      <c r="C43" s="218"/>
      <c r="D43" s="195"/>
    </row>
    <row r="44" spans="1:4">
      <c r="A44" s="205" t="s">
        <v>424</v>
      </c>
      <c r="C44" s="214" t="e">
        <f>C22+C23+C27+C28+C29+C30+C34+C35+C39+C43+C24+C26+C40+C41</f>
        <v>#REF!</v>
      </c>
      <c r="D44" s="214" t="e">
        <f>D22+D23+D27+D28+D29+D30+D34+D35+D39+D43+D24+D26+D40+D41</f>
        <v>#REF!</v>
      </c>
    </row>
    <row r="45" spans="1:4">
      <c r="A45" s="198" t="s">
        <v>830</v>
      </c>
      <c r="B45" s="237" t="e">
        <f>(MAX(B16:B44)+1)</f>
        <v>#REF!</v>
      </c>
      <c r="C45" s="204" t="e">
        <f>C16-C44</f>
        <v>#REF!</v>
      </c>
      <c r="D45" s="200" t="e">
        <f>D16-D44</f>
        <v>#REF!</v>
      </c>
    </row>
    <row r="46" spans="1:4">
      <c r="A46" s="198"/>
      <c r="C46" s="200" t="s">
        <v>464</v>
      </c>
    </row>
    <row r="47" spans="1:4">
      <c r="A47" s="205"/>
      <c r="B47" s="240"/>
      <c r="C47" s="897" t="s">
        <v>829</v>
      </c>
      <c r="D47" s="897"/>
    </row>
    <row r="48" spans="1:4">
      <c r="A48" s="205"/>
      <c r="B48" s="240"/>
      <c r="C48" s="897" t="s">
        <v>828</v>
      </c>
      <c r="D48" s="897"/>
    </row>
    <row r="49" spans="1:4">
      <c r="A49" s="898" t="str">
        <f>CONCATENATE("For ",master!B2)</f>
        <v>For ABC LTD</v>
      </c>
      <c r="B49" s="898"/>
      <c r="C49" s="898" t="str">
        <f>CONCATENATE("For ",master!B36)</f>
        <v>For ABC &amp; CO</v>
      </c>
      <c r="D49" s="898"/>
    </row>
    <row r="50" spans="1:4">
      <c r="A50" s="205"/>
      <c r="B50" s="205"/>
      <c r="C50" s="898" t="s">
        <v>776</v>
      </c>
      <c r="D50" s="898"/>
    </row>
    <row r="51" spans="1:4">
      <c r="A51" s="205"/>
      <c r="B51" s="205"/>
      <c r="C51" s="205"/>
      <c r="D51" s="205"/>
    </row>
    <row r="52" spans="1:4">
      <c r="A52" s="224"/>
      <c r="B52" s="238"/>
      <c r="C52" s="224"/>
      <c r="D52" s="224"/>
    </row>
    <row r="53" spans="1:4">
      <c r="A53" s="899" t="str">
        <f>CONCATENATE("Sd-",master!B30,"            Sd-",master!B31)</f>
        <v>Sd-Subhash Gupta            Sd-Tarun Kumar</v>
      </c>
      <c r="B53" s="899"/>
      <c r="C53" s="898" t="e">
        <f>CONCATENATE("Sd-",master!B42,master!#REF!)</f>
        <v>#REF!</v>
      </c>
      <c r="D53" s="898"/>
    </row>
    <row r="54" spans="1:4">
      <c r="A54" s="208" t="s">
        <v>827</v>
      </c>
      <c r="B54" s="238"/>
      <c r="C54" s="208"/>
      <c r="D54" s="208"/>
    </row>
    <row r="55" spans="1:4">
      <c r="A55" s="185" t="str">
        <f>CONCATENATE("Place : ",master!B45)</f>
        <v>Place : DELHI</v>
      </c>
      <c r="B55" s="238"/>
      <c r="C55" s="208"/>
      <c r="D55" s="208"/>
    </row>
    <row r="56" spans="1:4">
      <c r="A56" s="185" t="str">
        <f>CONCATENATE("Place : ",master!B46)</f>
        <v>Place : 01/09/2012</v>
      </c>
      <c r="B56" s="238"/>
      <c r="C56" s="208"/>
      <c r="D56" s="208"/>
    </row>
    <row r="57" spans="1:4">
      <c r="A57" s="208"/>
      <c r="B57" s="238"/>
      <c r="C57" s="208"/>
      <c r="D57" s="208"/>
    </row>
  </sheetData>
  <sheetProtection formatCells="0" formatColumns="0" formatRows="0"/>
  <protectedRanges>
    <protectedRange sqref="A61:IV64" name="Range1"/>
  </protectedRanges>
  <mergeCells count="9">
    <mergeCell ref="A1:D1"/>
    <mergeCell ref="A2:D2"/>
    <mergeCell ref="C53:D53"/>
    <mergeCell ref="C49:D49"/>
    <mergeCell ref="C50:D50"/>
    <mergeCell ref="A49:B49"/>
    <mergeCell ref="C47:D47"/>
    <mergeCell ref="C48:D48"/>
    <mergeCell ref="A53:B53"/>
  </mergeCells>
  <hyperlinks>
    <hyperlink ref="A8" location="'1-6'!A1" display="Share Capital"/>
    <hyperlink ref="A10" location="PL!A1" display="Reserve &amp; Surplus"/>
    <hyperlink ref="A13" location="'1-6'!A1" display="Secured Loan"/>
    <hyperlink ref="A14" location="'1-6'!A1" display="Unsecured Loans"/>
    <hyperlink ref="A26" location="'1-6'!A1" display="(a) Inventories"/>
    <hyperlink ref="A27" location="'1-6'!A1" display="(b) Sundry Debtors"/>
    <hyperlink ref="A28" location="'1-6'!A1" display="(c)Cash &amp; bank Balances"/>
    <hyperlink ref="A29" location="'1-6'!A1" display="(d) Other Current Assets"/>
    <hyperlink ref="A30" location="'1-6'!A1" display="(e) Loans &amp; Advances"/>
    <hyperlink ref="A34" location="'1-6'!A1" display="(a) Liabilities"/>
    <hyperlink ref="A35" location="'1-6'!A1" display="(b) Provisions"/>
    <hyperlink ref="A40" location="'1-6'!A1" display="Deferred Tax Assets"/>
  </hyperlinks>
  <pageMargins left="0.75" right="0.75" top="1" bottom="1" header="0.5" footer="0.5"/>
  <pageSetup scale="91" orientation="portrait" r:id="rId1"/>
  <headerFooter alignWithMargins="0"/>
</worksheet>
</file>

<file path=xl/worksheets/sheet10.xml><?xml version="1.0" encoding="utf-8"?>
<worksheet xmlns="http://schemas.openxmlformats.org/spreadsheetml/2006/main" xmlns:r="http://schemas.openxmlformats.org/officeDocument/2006/relationships">
  <sheetPr codeName="Sheet16">
    <tabColor rgb="FFFFFF00"/>
    <pageSetUpPr fitToPage="1"/>
  </sheetPr>
  <dimension ref="A1:B46"/>
  <sheetViews>
    <sheetView topLeftCell="A18" workbookViewId="0">
      <selection activeCell="A29" sqref="A29"/>
    </sheetView>
  </sheetViews>
  <sheetFormatPr defaultRowHeight="12.75"/>
  <cols>
    <col min="1" max="1" width="91.85546875" style="183" customWidth="1"/>
    <col min="2" max="16384" width="9.140625" style="182"/>
  </cols>
  <sheetData>
    <row r="1" spans="1:1" ht="18">
      <c r="A1" s="229" t="str">
        <f>master!B36</f>
        <v>ABC &amp; CO</v>
      </c>
    </row>
    <row r="2" spans="1:1">
      <c r="A2" s="183" t="s">
        <v>787</v>
      </c>
    </row>
    <row r="3" spans="1:1">
      <c r="A3" s="193" t="str">
        <f>master!B38</f>
        <v>Ahmedabad</v>
      </c>
    </row>
    <row r="4" spans="1:1">
      <c r="A4" s="193" t="str">
        <f>master!B39</f>
        <v>Ahmedabad-380015</v>
      </c>
    </row>
    <row r="5" spans="1:1">
      <c r="A5" s="193" t="str">
        <f>master!B40</f>
        <v>TEL: 079-43124312, 9899999999</v>
      </c>
    </row>
    <row r="6" spans="1:1">
      <c r="A6" s="193" t="str">
        <f>master!B41</f>
        <v>Tarun Kumar</v>
      </c>
    </row>
    <row r="8" spans="1:1">
      <c r="A8" s="228" t="s">
        <v>786</v>
      </c>
    </row>
    <row r="9" spans="1:1">
      <c r="A9" s="185" t="s">
        <v>785</v>
      </c>
    </row>
    <row r="10" spans="1:1">
      <c r="A10" s="185" t="s">
        <v>784</v>
      </c>
    </row>
    <row r="11" spans="1:1">
      <c r="A11" s="185" t="str">
        <f>master!B2</f>
        <v>ABC LTD</v>
      </c>
    </row>
    <row r="13" spans="1:1" ht="63.75">
      <c r="A13" s="227" t="str">
        <f>CONCATENATE("We have audited the attached Balance Sheet  of ",master!B2," (the Company) as on ",master!B18,master!A92)</f>
        <v>We have audited the attached Balance Sheet  of ABC LTD (the Company) as on 31st MARCH, 2012 and the Profit &amp; Loss Account of the Company for the year ended on that date annexed thereto and the Cash Flow Statement for the period ended on that date. These financial statements are the responsibility of the Company's management. Our responsibility is to express an opinion on these financial statements based on our audit.</v>
      </c>
    </row>
    <row r="15" spans="1:1" ht="89.25">
      <c r="A15" s="183" t="s">
        <v>783</v>
      </c>
    </row>
    <row r="17" spans="1:2" ht="38.25">
      <c r="A17" s="226" t="str">
        <f>IF(master!B20="YES",master!A94,master!A95)</f>
        <v>As required by the Companies (Auditors' Report) Order, 2003 issued by the Central Government of India in terms of Section 227 (4A) of the Companies Act,  1956, we enclose in the Annexure hereto a statement on the matters specified in Paragraph 4 &amp; 5 of the said order.</v>
      </c>
      <c r="B17" s="182" t="s">
        <v>464</v>
      </c>
    </row>
    <row r="18" spans="1:2">
      <c r="A18" s="183" t="s">
        <v>464</v>
      </c>
    </row>
    <row r="19" spans="1:2">
      <c r="A19" s="183" t="s">
        <v>782</v>
      </c>
    </row>
    <row r="21" spans="1:2" ht="25.5">
      <c r="A21" s="183" t="s">
        <v>781</v>
      </c>
    </row>
    <row r="23" spans="1:2" ht="25.5">
      <c r="A23" s="183" t="s">
        <v>780</v>
      </c>
    </row>
    <row r="25" spans="1:2" ht="25.5">
      <c r="A25" s="183" t="s">
        <v>779</v>
      </c>
    </row>
    <row r="27" spans="1:2" ht="25.5">
      <c r="A27" s="183" t="s">
        <v>778</v>
      </c>
    </row>
    <row r="28" spans="1:2">
      <c r="A28" s="183" t="s">
        <v>464</v>
      </c>
    </row>
    <row r="30" spans="1:2" ht="51">
      <c r="A30" s="183" t="str">
        <f>CONCATENATE("(e)   On the basis of written representations received from the directors, as on ",master!B18," and taken on record by the Board of Directors, we report that none of the directors is disqualified as on ",master!B18," from being appointed as Directors in terms of clause (g) of sub section (1) of Section 274 of the Companies Act, 1956;")</f>
        <v>(e)   On the basis of written representations received from the directors, as on 31st MARCH, 2012 and taken on record by the Board of Directors, we report that none of the directors is disqualified as on 31st MARCH, 2012 from being appointed as Directors in terms of clause (g) of sub section (1) of Section 274 of the Companies Act, 1956;</v>
      </c>
    </row>
    <row r="32" spans="1:2" ht="51">
      <c r="A32" s="183" t="s">
        <v>777</v>
      </c>
    </row>
    <row r="34" spans="1:1" ht="17.25" customHeight="1">
      <c r="A34" s="183" t="str">
        <f>CONCATENATE("      (i) in the case of the Balance Sheet, of the state of affairs of the Company as at ",master!B18," ; and")</f>
        <v xml:space="preserve">      (i) in the case of the Balance Sheet, of the state of affairs of the Company as at 31st MARCH, 2012 ; and</v>
      </c>
    </row>
    <row r="35" spans="1:1">
      <c r="A35" s="183" t="s">
        <v>464</v>
      </c>
    </row>
    <row r="36" spans="1:1" ht="15" customHeight="1">
      <c r="A36" s="183" t="str">
        <f>CONCATENATE("     (ii) in the case of the Profit and Loss account, of the ",master!A101," of the Company for the year ended on that date.")</f>
        <v xml:space="preserve">     (ii) in the case of the Profit and Loss account, of the Loss of the Company for the year ended on that date.</v>
      </c>
    </row>
    <row r="38" spans="1:1">
      <c r="A38" s="183" t="str">
        <f>IF(master!B22="YES", "     (iii) in the case of the Cash Flow Statement, of the cash flows for the period ended on that date."," ")</f>
        <v xml:space="preserve">     (iii) in the case of the Cash Flow Statement, of the cash flows for the period ended on that date.</v>
      </c>
    </row>
    <row r="40" spans="1:1">
      <c r="A40" s="225" t="str">
        <f>CONCATENATE("For ", master!B36)</f>
        <v>For ABC &amp; CO</v>
      </c>
    </row>
    <row r="41" spans="1:1">
      <c r="A41" s="225" t="s">
        <v>776</v>
      </c>
    </row>
    <row r="42" spans="1:1">
      <c r="A42" s="185"/>
    </row>
    <row r="43" spans="1:1">
      <c r="A43" s="185" t="str">
        <f>CONCATENATE("Place : ",master!B45)</f>
        <v>Place : DELHI</v>
      </c>
    </row>
    <row r="44" spans="1:1">
      <c r="A44" s="185" t="str">
        <f>CONCATENATE("Dated : ",master!B46)</f>
        <v>Dated : 01/09/2012</v>
      </c>
    </row>
    <row r="45" spans="1:1">
      <c r="A45" s="225" t="str">
        <f>CONCATENATE("(Sd- ",master!B42,", ",master!B43,")")</f>
        <v>(Sd- , Prop.), 99999)</v>
      </c>
    </row>
    <row r="46" spans="1:1">
      <c r="A46" s="225" t="str">
        <f>CONCATENATE("M.N. ",master!B44)</f>
        <v>M.N. DELHI</v>
      </c>
    </row>
  </sheetData>
  <pageMargins left="0.5" right="0" top="0.25" bottom="0" header="0.5" footer="0.5"/>
  <pageSetup scale="91" orientation="portrait" r:id="rId1"/>
  <headerFooter alignWithMargins="0"/>
</worksheet>
</file>

<file path=xl/worksheets/sheet11.xml><?xml version="1.0" encoding="utf-8"?>
<worksheet xmlns="http://schemas.openxmlformats.org/spreadsheetml/2006/main" xmlns:r="http://schemas.openxmlformats.org/officeDocument/2006/relationships">
  <sheetPr>
    <tabColor rgb="FFFFFF00"/>
    <pageSetUpPr fitToPage="1"/>
  </sheetPr>
  <dimension ref="A1:D43"/>
  <sheetViews>
    <sheetView topLeftCell="A16" workbookViewId="0">
      <selection activeCell="A16" sqref="A16"/>
    </sheetView>
  </sheetViews>
  <sheetFormatPr defaultRowHeight="12.75"/>
  <cols>
    <col min="1" max="1" width="97" style="183" customWidth="1"/>
    <col min="2" max="16384" width="9.140625" style="182"/>
  </cols>
  <sheetData>
    <row r="1" spans="1:1" ht="25.5">
      <c r="A1" s="184" t="str">
        <f>CONCATENATE("ANNEXURE REFERRED TO IN THE AUDIT REPORT OF EVEN DATE TO THE MEMBERS OF ",master!B2," ON THE ACCOUNTS FOR THE YEAR ENDED ",master!B18)</f>
        <v>ANNEXURE REFERRED TO IN THE AUDIT REPORT OF EVEN DATE TO THE MEMBERS OF ABC LTD ON THE ACCOUNTS FOR THE YEAR ENDED 31st MARCH, 2012</v>
      </c>
    </row>
    <row r="3" spans="1:1" ht="39" customHeight="1">
      <c r="A3" s="183" t="s">
        <v>539</v>
      </c>
    </row>
    <row r="4" spans="1:1">
      <c r="A4" s="183" t="str">
        <f>IF('25'!F9+'26'!D26&gt;0,master!A113,master!A112)</f>
        <v>2.     Physical verification in respect of finished goods, stores, spares, raw materials : Not  Applicable</v>
      </c>
    </row>
    <row r="5" spans="1:1" ht="26.25" customHeight="1">
      <c r="A5" s="183" t="str">
        <f>IF('25'!F9+'26'!D26&gt;0,master!A115,master!A114)</f>
        <v>3.     The procedure adopted for physical verification of stock  reasonable and adequate in relation to the size of the Company and the nature of its business : Not Applicable</v>
      </c>
    </row>
    <row r="6" spans="1:1" ht="25.5" customHeight="1">
      <c r="A6" s="183" t="str">
        <f>IF('25'!F9+'26'!D26&gt;0,master!A117,master!A116)</f>
        <v>4.     The discrepancies noticed on physical verification between the physical stocks and the book records: Not Applicable</v>
      </c>
    </row>
    <row r="7" spans="1:1" ht="26.25" customHeight="1">
      <c r="A7" s="184" t="str">
        <f>IF(master!B108="NO",master!A118,master!A119)</f>
        <v>5.     The company has not taken any loans, secured or unsecured from companies, firms or other parties covered in the register maintained under section 301 of the Companies Act, 1956.</v>
      </c>
    </row>
    <row r="8" spans="1:1" ht="25.5">
      <c r="A8" s="184" t="s">
        <v>530</v>
      </c>
    </row>
    <row r="9" spans="1:1" ht="15" customHeight="1">
      <c r="A9" s="183" t="str">
        <f>IF('25'!F9+'26'!D26+'11'!D37&gt;0,master!A122,master!A121)</f>
        <v>7.     Internal Control Procedures for the purchase of stores, raw materials, asset, and sale of goods : Not Applicable</v>
      </c>
    </row>
    <row r="10" spans="1:1" ht="38.25">
      <c r="A10" s="183" t="str">
        <f>IF(master!B103="YES",master!A124,master!A123)</f>
        <v>8.     In our opinion and according to the information and explanation given to us, and accroding to the registers produced before us , we are of the opinion that the transactions that need to be entered into the register in pursuance of section 301 of the Act, have been so entered.</v>
      </c>
    </row>
    <row r="11" spans="1:1" ht="51">
      <c r="A11" s="183" t="str">
        <f>IF(master!B105="YES",master!A128,master!A127)</f>
        <v>9.    In our opinion and according to the information and explanation given to us , the transactions made in pursuance of contracts and arrangements entered in the register maintained under section 301 of the Companies Act, 1956 exceeding the value of Rs. 5,00,000/- in respect of any party during the year have been made at prices which are reasonable having regard to prevailing market prices, at the relevant time.</v>
      </c>
    </row>
    <row r="12" spans="1:1" ht="25.5">
      <c r="A12" s="183" t="s">
        <v>522</v>
      </c>
    </row>
    <row r="13" spans="1:1" ht="25.5">
      <c r="A13" s="183" t="s">
        <v>520</v>
      </c>
    </row>
    <row r="14" spans="1:1">
      <c r="A14" s="183" t="s">
        <v>519</v>
      </c>
    </row>
    <row r="15" spans="1:1">
      <c r="A15" s="183" t="s">
        <v>518</v>
      </c>
    </row>
    <row r="16" spans="1:1" ht="25.5">
      <c r="A16" s="183" t="str">
        <f>master!A136</f>
        <v>14.    There was no amount outstanding as on 31st MARCH, 2012 in respect of undisputed income tax, sales tax, custom duty, excise duty for a period of more than six months from the date, they became payable.</v>
      </c>
    </row>
    <row r="17" spans="1:1" ht="38.25">
      <c r="A17" s="184" t="s">
        <v>515</v>
      </c>
    </row>
    <row r="18" spans="1:1" ht="38.25">
      <c r="A18" s="183" t="s">
        <v>514</v>
      </c>
    </row>
    <row r="19" spans="1:1" ht="25.5">
      <c r="A19" s="183" t="s">
        <v>513</v>
      </c>
    </row>
    <row r="20" spans="1:1" ht="25.5">
      <c r="A20" s="183" t="s">
        <v>512</v>
      </c>
    </row>
    <row r="21" spans="1:1" ht="25.5">
      <c r="A21" s="183" t="s">
        <v>510</v>
      </c>
    </row>
    <row r="22" spans="1:1" ht="25.5">
      <c r="A22" s="183" t="s">
        <v>509</v>
      </c>
    </row>
    <row r="23" spans="1:1" ht="25.5">
      <c r="A23" s="183" t="s">
        <v>508</v>
      </c>
    </row>
    <row r="24" spans="1:1" ht="38.25">
      <c r="A24" s="183" t="s">
        <v>505</v>
      </c>
    </row>
    <row r="25" spans="1:1" ht="25.5">
      <c r="A25" s="183" t="s">
        <v>504</v>
      </c>
    </row>
    <row r="26" spans="1:1">
      <c r="A26" s="183" t="s">
        <v>503</v>
      </c>
    </row>
    <row r="27" spans="1:1">
      <c r="A27" s="183" t="s">
        <v>502</v>
      </c>
    </row>
    <row r="28" spans="1:1" ht="25.5">
      <c r="A28" s="183" t="s">
        <v>501</v>
      </c>
    </row>
    <row r="31" spans="1:1">
      <c r="A31" s="225" t="str">
        <f>audr!A40</f>
        <v>For ABC &amp; CO</v>
      </c>
    </row>
    <row r="32" spans="1:1">
      <c r="A32" s="225" t="str">
        <f>audr!A41</f>
        <v>(Chartered Accountants)</v>
      </c>
    </row>
    <row r="33" spans="1:4">
      <c r="A33" s="185"/>
    </row>
    <row r="34" spans="1:4">
      <c r="A34" s="185" t="str">
        <f>CONCATENATE("Place : ",master!B45)</f>
        <v>Place : DELHI</v>
      </c>
    </row>
    <row r="35" spans="1:4">
      <c r="A35" s="185" t="str">
        <f>CONCATENATE("Dated : ",master!B46)</f>
        <v>Dated : 01/09/2012</v>
      </c>
    </row>
    <row r="36" spans="1:4">
      <c r="A36" s="225" t="str">
        <f>audr!A45</f>
        <v>(Sd- , Prop.), 99999)</v>
      </c>
    </row>
    <row r="37" spans="1:4">
      <c r="A37" s="225" t="str">
        <f>audr!A46</f>
        <v>M.N. DELHI</v>
      </c>
    </row>
    <row r="43" spans="1:4">
      <c r="A43" s="231"/>
      <c r="B43" s="230"/>
      <c r="C43" s="230"/>
      <c r="D43" s="230"/>
    </row>
  </sheetData>
  <pageMargins left="0.75" right="0.25" top="0.5" bottom="0.5" header="0.5" footer="0.5"/>
  <pageSetup paperSize="9" orientation="portrait" horizontalDpi="300" verticalDpi="300" r:id="rId1"/>
  <headerFooter alignWithMargins="0"/>
  <legacyDrawing r:id="rId2"/>
</worksheet>
</file>

<file path=xl/worksheets/sheet12.xml><?xml version="1.0" encoding="utf-8"?>
<worksheet xmlns="http://schemas.openxmlformats.org/spreadsheetml/2006/main" xmlns:r="http://schemas.openxmlformats.org/officeDocument/2006/relationships">
  <sheetPr codeName="Sheet18">
    <tabColor rgb="FFFFFF00"/>
    <pageSetUpPr fitToPage="1"/>
  </sheetPr>
  <dimension ref="A1:A24"/>
  <sheetViews>
    <sheetView workbookViewId="0"/>
  </sheetViews>
  <sheetFormatPr defaultRowHeight="12.75"/>
  <cols>
    <col min="1" max="1" width="82.28515625" style="183" customWidth="1"/>
    <col min="2" max="16384" width="9.140625" style="182"/>
  </cols>
  <sheetData>
    <row r="1" spans="1:1" ht="18">
      <c r="A1" s="229" t="str">
        <f>master!B2</f>
        <v>ABC LTD</v>
      </c>
    </row>
    <row r="2" spans="1:1">
      <c r="A2" s="183" t="str">
        <f>CONCATENATE(master!B3,master!B4)</f>
        <v xml:space="preserve">18 Satteleite,  </v>
      </c>
    </row>
    <row r="3" spans="1:1">
      <c r="A3" s="194" t="str">
        <f>CONCATENATE(master!B5,"  - ",master!B6)</f>
        <v>Ahmedabad  - 380015</v>
      </c>
    </row>
    <row r="5" spans="1:1">
      <c r="A5" s="228" t="s">
        <v>793</v>
      </c>
    </row>
    <row r="7" spans="1:1" ht="38.25" customHeight="1">
      <c r="A7" s="183" t="str">
        <f>CONCATENATE("Notice is hereby given that the  ",master!B26,"Annual General Meeting of ",master!B2," will be held on ",master!B56," at the registered office of the company at ",master!B3," ",master!B4," ",master!B5," at ",master!B27," to transact the following business:")</f>
        <v>Notice is hereby given that the   Annual General Meeting of ABC LTD will be held on 30/09/2012 at the registered office of the company at 18 Satteleite,    Ahmedabad at 3.30 P.M.  to transact the following business:</v>
      </c>
    </row>
    <row r="9" spans="1:1">
      <c r="A9" s="185" t="s">
        <v>792</v>
      </c>
    </row>
    <row r="11" spans="1:1" ht="38.25">
      <c r="A11" s="183" t="str">
        <f>CONCATENATE("1.     To receive, consider and adopt the audited Balance Sheet as at ",master!B18," and the Profit &amp; Loss Account for the year ended on that date and reports of Directors and Auditors thereon.")</f>
        <v>1.     To receive, consider and adopt the audited Balance Sheet as at 31st MARCH, 2012 and the Profit &amp; Loss Account for the year ended on that date and reports of Directors and Auditors thereon.</v>
      </c>
    </row>
    <row r="13" spans="1:1" ht="25.5">
      <c r="A13" s="183" t="s">
        <v>791</v>
      </c>
    </row>
    <row r="16" spans="1:1">
      <c r="A16" s="225" t="s">
        <v>790</v>
      </c>
    </row>
    <row r="17" spans="1:1">
      <c r="A17" s="225" t="str">
        <f>CONCATENATE("For ",master!B2)</f>
        <v>For ABC LTD</v>
      </c>
    </row>
    <row r="18" spans="1:1">
      <c r="A18" s="185"/>
    </row>
    <row r="19" spans="1:1">
      <c r="A19" s="185" t="str">
        <f>CONCATENATE("Place : ",master!B45)</f>
        <v>Place : DELHI</v>
      </c>
    </row>
    <row r="20" spans="1:1">
      <c r="A20" s="185" t="str">
        <f>CONCATENATE("Place : ",master!B46)</f>
        <v>Place : 01/09/2012</v>
      </c>
    </row>
    <row r="21" spans="1:1">
      <c r="A21" s="225" t="str">
        <f>CONCATENATE("(Sd- ",master!B29,")")</f>
        <v>(Sd- Tarun Kumar)</v>
      </c>
    </row>
    <row r="23" spans="1:1">
      <c r="A23" s="185" t="s">
        <v>789</v>
      </c>
    </row>
    <row r="24" spans="1:1" ht="51">
      <c r="A24" s="183" t="s">
        <v>788</v>
      </c>
    </row>
  </sheetData>
  <pageMargins left="0.75" right="0.75" top="1" bottom="1" header="0.5" footer="0.5"/>
  <pageSetup orientation="portrait" r:id="rId1"/>
  <headerFooter alignWithMargins="0"/>
</worksheet>
</file>

<file path=xl/worksheets/sheet13.xml><?xml version="1.0" encoding="utf-8"?>
<worksheet xmlns="http://schemas.openxmlformats.org/spreadsheetml/2006/main" xmlns:r="http://schemas.openxmlformats.org/officeDocument/2006/relationships">
  <sheetPr codeName="Sheet19">
    <tabColor rgb="FFFFFF00"/>
  </sheetPr>
  <dimension ref="A1:E71"/>
  <sheetViews>
    <sheetView topLeftCell="A52" workbookViewId="0">
      <selection activeCell="A74" sqref="A74"/>
    </sheetView>
  </sheetViews>
  <sheetFormatPr defaultRowHeight="12.75"/>
  <cols>
    <col min="1" max="1" width="42.85546875" style="182" bestFit="1" customWidth="1"/>
    <col min="2" max="3" width="9.140625" style="182"/>
    <col min="4" max="4" width="15" style="182" bestFit="1" customWidth="1"/>
    <col min="5" max="5" width="16" style="182" bestFit="1" customWidth="1"/>
    <col min="6" max="16384" width="9.140625" style="182"/>
  </cols>
  <sheetData>
    <row r="1" spans="1:5">
      <c r="A1" s="905" t="str">
        <f>master!B2</f>
        <v>ABC LTD</v>
      </c>
      <c r="B1" s="905"/>
      <c r="C1" s="905"/>
      <c r="D1" s="905"/>
      <c r="E1" s="905"/>
    </row>
    <row r="2" spans="1:5">
      <c r="A2" s="905" t="str">
        <f>master!B3</f>
        <v xml:space="preserve">18 Satteleite, </v>
      </c>
      <c r="B2" s="905"/>
      <c r="C2" s="905"/>
      <c r="D2" s="905"/>
      <c r="E2" s="905"/>
    </row>
    <row r="3" spans="1:5">
      <c r="A3" s="905" t="str">
        <f>master!B4</f>
        <v xml:space="preserve"> </v>
      </c>
      <c r="B3" s="905"/>
      <c r="C3" s="905"/>
      <c r="D3" s="905"/>
      <c r="E3" s="905"/>
    </row>
    <row r="4" spans="1:5">
      <c r="A4" s="232"/>
      <c r="B4" s="232"/>
      <c r="C4" s="232"/>
      <c r="D4" s="232"/>
      <c r="E4" s="232"/>
    </row>
    <row r="5" spans="1:5">
      <c r="A5" s="909" t="s">
        <v>826</v>
      </c>
      <c r="B5" s="909"/>
      <c r="C5" s="909"/>
      <c r="D5" s="909"/>
      <c r="E5" s="909"/>
    </row>
    <row r="6" spans="1:5">
      <c r="A6" s="182" t="s">
        <v>825</v>
      </c>
    </row>
    <row r="7" spans="1:5">
      <c r="A7" s="182" t="s">
        <v>784</v>
      </c>
    </row>
    <row r="8" spans="1:5">
      <c r="A8" s="910" t="str">
        <f>master!B2</f>
        <v>ABC LTD</v>
      </c>
      <c r="B8" s="910"/>
      <c r="C8" s="910"/>
      <c r="D8" s="910"/>
    </row>
    <row r="10" spans="1:5" ht="26.25" customHeight="1">
      <c r="A10" s="902" t="str">
        <f>CONCATENATE("Your directors have pleasure in presenting the Annual Report of the Company along the audited accounts for the financial year ended on ",master!B18)</f>
        <v>Your directors have pleasure in presenting the Annual Report of the Company along the audited accounts for the financial year ended on 31st MARCH, 2012</v>
      </c>
      <c r="B10" s="902"/>
      <c r="C10" s="902"/>
      <c r="D10" s="902"/>
      <c r="E10" s="902"/>
    </row>
    <row r="12" spans="1:5">
      <c r="A12" s="234" t="s">
        <v>824</v>
      </c>
    </row>
    <row r="13" spans="1:5">
      <c r="A13" s="234"/>
      <c r="D13" s="232" t="s">
        <v>823</v>
      </c>
      <c r="E13" s="232" t="s">
        <v>822</v>
      </c>
    </row>
    <row r="14" spans="1:5">
      <c r="A14" s="234"/>
      <c r="D14" s="232" t="str">
        <f>CONCATENATE("ON ",master!B16)</f>
        <v>ON 31/03/2012</v>
      </c>
      <c r="E14" s="232" t="str">
        <f>CONCATENATE("ON ",master!B17)</f>
        <v>ON 31/03/2011</v>
      </c>
    </row>
    <row r="16" spans="1:5">
      <c r="A16" s="182" t="s">
        <v>821</v>
      </c>
      <c r="D16" s="200">
        <f>PL!F14</f>
        <v>0</v>
      </c>
      <c r="E16" s="200">
        <f>PL!H14</f>
        <v>0</v>
      </c>
    </row>
    <row r="17" spans="1:5">
      <c r="A17" s="182" t="s">
        <v>820</v>
      </c>
      <c r="D17" s="200">
        <f>PL!F24-PL!F22</f>
        <v>0</v>
      </c>
      <c r="E17" s="200">
        <f>PL!H24-PL!H22</f>
        <v>0</v>
      </c>
    </row>
    <row r="18" spans="1:5">
      <c r="A18" s="182" t="s">
        <v>819</v>
      </c>
      <c r="D18" s="200">
        <f>D16-D17</f>
        <v>0</v>
      </c>
      <c r="E18" s="200">
        <f>E16-E17</f>
        <v>0</v>
      </c>
    </row>
    <row r="19" spans="1:5">
      <c r="A19" s="182" t="s">
        <v>818</v>
      </c>
      <c r="D19" s="200">
        <f>PL!F22</f>
        <v>0</v>
      </c>
      <c r="E19" s="200">
        <f>PL!H22</f>
        <v>0</v>
      </c>
    </row>
    <row r="20" spans="1:5">
      <c r="A20" s="222" t="s">
        <v>1651</v>
      </c>
      <c r="D20" s="200">
        <f>PL!F27+PL!F30+PL!F31</f>
        <v>0</v>
      </c>
      <c r="E20" s="200">
        <f>PL!H27+PL!H30+PL!H31</f>
        <v>0</v>
      </c>
    </row>
    <row r="21" spans="1:5">
      <c r="A21" s="182" t="s">
        <v>817</v>
      </c>
      <c r="D21" s="200">
        <f>'31'!E7</f>
        <v>0</v>
      </c>
      <c r="E21" s="200">
        <f>'31'!F7</f>
        <v>0</v>
      </c>
    </row>
    <row r="22" spans="1:5">
      <c r="A22" s="182" t="s">
        <v>816</v>
      </c>
      <c r="D22" s="200">
        <f>'31'!E8</f>
        <v>0</v>
      </c>
      <c r="E22" s="200">
        <f>'31'!F8</f>
        <v>0</v>
      </c>
    </row>
    <row r="23" spans="1:5">
      <c r="A23" s="222" t="s">
        <v>1652</v>
      </c>
      <c r="D23" s="200">
        <f>PL!F40</f>
        <v>0</v>
      </c>
      <c r="E23" s="200">
        <f>PL!H40</f>
        <v>0</v>
      </c>
    </row>
    <row r="24" spans="1:5">
      <c r="A24" s="182" t="s">
        <v>815</v>
      </c>
      <c r="D24" s="200">
        <f>D18-D19+D20-D21-D22+D23</f>
        <v>0</v>
      </c>
      <c r="E24" s="200">
        <f>E18-E19+E20-E21-E22+E23</f>
        <v>0</v>
      </c>
    </row>
    <row r="25" spans="1:5">
      <c r="A25" s="182" t="s">
        <v>814</v>
      </c>
      <c r="D25" s="200">
        <f>'2'!F12</f>
        <v>0</v>
      </c>
      <c r="E25" s="200">
        <f>'2'!G12</f>
        <v>0</v>
      </c>
    </row>
    <row r="26" spans="1:5">
      <c r="A26" s="182" t="s">
        <v>813</v>
      </c>
      <c r="D26" s="200">
        <f>D24+D25</f>
        <v>0</v>
      </c>
      <c r="E26" s="200">
        <f>E24+E25</f>
        <v>0</v>
      </c>
    </row>
    <row r="27" spans="1:5">
      <c r="D27" s="200"/>
      <c r="E27" s="200"/>
    </row>
    <row r="28" spans="1:5">
      <c r="A28" s="234" t="s">
        <v>812</v>
      </c>
    </row>
    <row r="29" spans="1:5" ht="39" customHeight="1">
      <c r="A29" s="907" t="str">
        <f>CONCATENATE("The Company has a net ",master!A101," of Rs.",ABS(ROUND((D18-D19),2))," after providing depreciation amounting to Rs.",ROUND(D19,2)," during the year as compared to ", master!B101," amounting to Rs.",ROUND((E18-E19),2)," after providing depreciation Rs.",ROUND(E19,2)," during previous year.")</f>
        <v>The Company has a net Loss of Rs.0 after providing depreciation amounting to Rs.0 during the year as compared to Loss amounting to Rs.0 after providing depreciation Rs.0 during previous year.</v>
      </c>
      <c r="B29" s="908"/>
      <c r="C29" s="908"/>
      <c r="D29" s="908"/>
      <c r="E29" s="908"/>
    </row>
    <row r="31" spans="1:5">
      <c r="A31" s="234" t="s">
        <v>811</v>
      </c>
    </row>
    <row r="32" spans="1:5">
      <c r="A32" s="902" t="s">
        <v>810</v>
      </c>
      <c r="B32" s="902"/>
      <c r="C32" s="902"/>
      <c r="D32" s="902"/>
      <c r="E32" s="902"/>
    </row>
    <row r="33" spans="1:5">
      <c r="A33" s="233"/>
      <c r="B33" s="233"/>
      <c r="C33" s="233"/>
      <c r="D33" s="233"/>
      <c r="E33" s="233"/>
    </row>
    <row r="34" spans="1:5" ht="26.25" customHeight="1">
      <c r="A34" s="902" t="s">
        <v>809</v>
      </c>
      <c r="B34" s="902"/>
      <c r="C34" s="902"/>
      <c r="D34" s="902"/>
      <c r="E34" s="902"/>
    </row>
    <row r="35" spans="1:5">
      <c r="A35" s="233"/>
      <c r="B35" s="233"/>
      <c r="C35" s="233"/>
      <c r="D35" s="233"/>
      <c r="E35" s="233"/>
    </row>
    <row r="36" spans="1:5" ht="38.25" customHeight="1">
      <c r="A36" s="902" t="s">
        <v>808</v>
      </c>
      <c r="B36" s="902"/>
      <c r="C36" s="902"/>
      <c r="D36" s="902"/>
      <c r="E36" s="902"/>
    </row>
    <row r="37" spans="1:5">
      <c r="A37" s="233"/>
      <c r="B37" s="233"/>
      <c r="C37" s="233"/>
      <c r="D37" s="233"/>
      <c r="E37" s="233"/>
    </row>
    <row r="38" spans="1:5" ht="38.25" customHeight="1">
      <c r="A38" s="902" t="s">
        <v>807</v>
      </c>
      <c r="B38" s="902"/>
      <c r="C38" s="902"/>
      <c r="D38" s="902"/>
      <c r="E38" s="902"/>
    </row>
    <row r="39" spans="1:5">
      <c r="A39" s="233"/>
      <c r="B39" s="233"/>
      <c r="C39" s="233"/>
      <c r="D39" s="233"/>
      <c r="E39" s="233"/>
    </row>
    <row r="40" spans="1:5">
      <c r="A40" s="902" t="s">
        <v>806</v>
      </c>
      <c r="B40" s="902"/>
      <c r="C40" s="902"/>
      <c r="D40" s="902"/>
      <c r="E40" s="902"/>
    </row>
    <row r="41" spans="1:5">
      <c r="A41" s="236"/>
      <c r="B41" s="233"/>
      <c r="C41" s="233"/>
      <c r="D41" s="233"/>
      <c r="E41" s="233"/>
    </row>
    <row r="42" spans="1:5">
      <c r="A42" s="234" t="s">
        <v>805</v>
      </c>
    </row>
    <row r="43" spans="1:5" ht="37.5" customHeight="1">
      <c r="A43" s="902" t="str">
        <f>CONCATENATE("The company's Auditors M/S ",master!B36, " ,CHARTERED ACCOUNTANTS, The statutory auditors of the company retire from the conclusion of this Annual General Meeting and being eligible offer themselves for re-appointment.")</f>
        <v>The company's Auditors M/S ABC &amp; CO ,CHARTERED ACCOUNTANTS, The statutory auditors of the company retire from the conclusion of this Annual General Meeting and being eligible offer themselves for re-appointment.</v>
      </c>
      <c r="B43" s="902"/>
      <c r="C43" s="902"/>
      <c r="D43" s="902"/>
      <c r="E43" s="902"/>
    </row>
    <row r="51" spans="1:5">
      <c r="A51" s="233"/>
      <c r="B51" s="233"/>
      <c r="C51" s="233"/>
      <c r="D51" s="233"/>
      <c r="E51" s="233"/>
    </row>
    <row r="52" spans="1:5">
      <c r="A52" s="234" t="s">
        <v>804</v>
      </c>
    </row>
    <row r="53" spans="1:5" ht="38.25" customHeight="1">
      <c r="A53" s="902" t="s">
        <v>803</v>
      </c>
      <c r="B53" s="902"/>
      <c r="C53" s="902"/>
      <c r="D53" s="902"/>
      <c r="E53" s="902"/>
    </row>
    <row r="55" spans="1:5" ht="26.25" customHeight="1">
      <c r="A55" s="906" t="s">
        <v>802</v>
      </c>
      <c r="B55" s="906"/>
      <c r="C55" s="906"/>
      <c r="D55" s="906"/>
      <c r="E55" s="906"/>
    </row>
    <row r="56" spans="1:5" ht="38.25" customHeight="1">
      <c r="A56" s="902" t="s">
        <v>801</v>
      </c>
      <c r="B56" s="902"/>
      <c r="C56" s="902"/>
      <c r="D56" s="902"/>
      <c r="E56" s="902"/>
    </row>
    <row r="57" spans="1:5">
      <c r="A57" s="235" t="s">
        <v>800</v>
      </c>
      <c r="B57" s="903" t="s">
        <v>798</v>
      </c>
      <c r="C57" s="903"/>
      <c r="D57" s="903"/>
      <c r="E57" s="903"/>
    </row>
    <row r="58" spans="1:5">
      <c r="A58" s="235" t="s">
        <v>799</v>
      </c>
      <c r="B58" s="903" t="s">
        <v>798</v>
      </c>
      <c r="C58" s="903"/>
      <c r="D58" s="903"/>
      <c r="E58" s="903"/>
    </row>
    <row r="59" spans="1:5">
      <c r="A59" s="235" t="s">
        <v>797</v>
      </c>
      <c r="B59" s="904" t="s">
        <v>459</v>
      </c>
      <c r="C59" s="904"/>
      <c r="D59" s="904"/>
      <c r="E59" s="904"/>
    </row>
    <row r="60" spans="1:5">
      <c r="A60" s="235" t="s">
        <v>796</v>
      </c>
      <c r="B60" s="904" t="s">
        <v>459</v>
      </c>
      <c r="C60" s="904"/>
      <c r="D60" s="904"/>
      <c r="E60" s="904"/>
    </row>
    <row r="63" spans="1:5">
      <c r="A63" s="234" t="s">
        <v>795</v>
      </c>
    </row>
    <row r="64" spans="1:5" ht="37.5" customHeight="1">
      <c r="A64" s="902" t="s">
        <v>794</v>
      </c>
      <c r="B64" s="902"/>
      <c r="C64" s="902"/>
      <c r="D64" s="902"/>
      <c r="E64" s="902"/>
    </row>
    <row r="67" spans="1:5">
      <c r="A67" s="189"/>
      <c r="B67" s="905" t="s">
        <v>39</v>
      </c>
      <c r="C67" s="905"/>
      <c r="D67" s="905"/>
      <c r="E67" s="905"/>
    </row>
    <row r="68" spans="1:5">
      <c r="A68" s="189"/>
      <c r="B68" s="232"/>
      <c r="C68" s="232"/>
      <c r="D68" s="232"/>
      <c r="E68" s="232"/>
    </row>
    <row r="69" spans="1:5">
      <c r="A69" s="185" t="str">
        <f>CONCATENATE("Place : ",master!B45)</f>
        <v>Place : DELHI</v>
      </c>
    </row>
    <row r="70" spans="1:5">
      <c r="A70" s="185" t="str">
        <f>CONCATENATE("Place : ",master!B46)</f>
        <v>Place : 01/09/2012</v>
      </c>
    </row>
    <row r="71" spans="1:5">
      <c r="B71" s="899" t="str">
        <f>CONCATENATE("Sd-",master!B30,"            Sd-",master!B31)</f>
        <v>Sd-Subhash Gupta            Sd-Tarun Kumar</v>
      </c>
      <c r="C71" s="899"/>
      <c r="D71" s="899"/>
      <c r="E71" s="899"/>
    </row>
  </sheetData>
  <mergeCells count="23">
    <mergeCell ref="A1:E1"/>
    <mergeCell ref="A2:E2"/>
    <mergeCell ref="A3:E3"/>
    <mergeCell ref="A5:E5"/>
    <mergeCell ref="A8:D8"/>
    <mergeCell ref="A10:E10"/>
    <mergeCell ref="A32:E32"/>
    <mergeCell ref="A29:E29"/>
    <mergeCell ref="A43:E43"/>
    <mergeCell ref="A53:E53"/>
    <mergeCell ref="A55:E55"/>
    <mergeCell ref="A34:E34"/>
    <mergeCell ref="A36:E36"/>
    <mergeCell ref="A38:E38"/>
    <mergeCell ref="A40:E40"/>
    <mergeCell ref="A56:E56"/>
    <mergeCell ref="B57:E57"/>
    <mergeCell ref="B58:E58"/>
    <mergeCell ref="B59:E59"/>
    <mergeCell ref="B71:E71"/>
    <mergeCell ref="B67:E67"/>
    <mergeCell ref="B60:E60"/>
    <mergeCell ref="A64:E64"/>
  </mergeCells>
  <pageMargins left="0.5" right="0.5" top="1" bottom="1" header="0.5" footer="0.5"/>
  <pageSetup orientation="portrait" r:id="rId1"/>
  <headerFooter alignWithMargins="0"/>
</worksheet>
</file>

<file path=xl/worksheets/sheet14.xml><?xml version="1.0" encoding="utf-8"?>
<worksheet xmlns="http://schemas.openxmlformats.org/spreadsheetml/2006/main" xmlns:r="http://schemas.openxmlformats.org/officeDocument/2006/relationships">
  <sheetPr codeName="Sheet1">
    <tabColor rgb="FFFFC000"/>
    <pageSetUpPr fitToPage="1"/>
  </sheetPr>
  <dimension ref="B1:Q74"/>
  <sheetViews>
    <sheetView view="pageBreakPreview" topLeftCell="A29" zoomScaleSheetLayoutView="100" workbookViewId="0">
      <selection activeCell="D38" sqref="D38"/>
    </sheetView>
  </sheetViews>
  <sheetFormatPr defaultRowHeight="15"/>
  <cols>
    <col min="1" max="1" width="3.140625" customWidth="1"/>
    <col min="2" max="2" width="46" customWidth="1"/>
    <col min="3" max="3" width="0.85546875" customWidth="1"/>
    <col min="4" max="4" width="7.7109375" customWidth="1"/>
    <col min="5" max="5" width="0.85546875" customWidth="1"/>
    <col min="6" max="6" width="18.7109375" customWidth="1"/>
    <col min="7" max="7" width="0.85546875" customWidth="1"/>
    <col min="8" max="8" width="18.7109375" customWidth="1"/>
    <col min="9" max="9" width="9.140625" style="771"/>
    <col min="10" max="17" width="9.140625" style="745"/>
  </cols>
  <sheetData>
    <row r="1" spans="2:17" ht="18.75">
      <c r="B1" s="913" t="str">
        <f>master!B2</f>
        <v>ABC LTD</v>
      </c>
      <c r="C1" s="913"/>
      <c r="D1" s="913"/>
      <c r="E1" s="913"/>
      <c r="F1" s="913"/>
      <c r="G1" s="913"/>
      <c r="H1" s="913"/>
    </row>
    <row r="2" spans="2:17" s="1" customFormat="1" ht="15.75" thickBot="1">
      <c r="B2" s="914" t="str">
        <f>CONCATENATE("Balance Sheet as at ",F5)</f>
        <v>Balance Sheet as at 31/03/2012</v>
      </c>
      <c r="C2" s="914"/>
      <c r="D2" s="914"/>
      <c r="E2" s="914"/>
      <c r="F2" s="914"/>
      <c r="G2" s="914"/>
      <c r="H2" s="914"/>
      <c r="I2" s="772"/>
      <c r="J2" s="747"/>
      <c r="K2" s="747"/>
      <c r="L2" s="747"/>
      <c r="M2" s="747"/>
      <c r="N2" s="747"/>
      <c r="O2" s="747"/>
      <c r="P2" s="747"/>
      <c r="Q2" s="747"/>
    </row>
    <row r="3" spans="2:17" s="1" customFormat="1" ht="12.75">
      <c r="B3" s="2"/>
      <c r="C3" s="2"/>
      <c r="D3" s="2"/>
      <c r="E3" s="2"/>
      <c r="F3" s="2"/>
      <c r="G3" s="2"/>
      <c r="H3" s="3"/>
      <c r="I3" s="772"/>
      <c r="J3" s="747"/>
      <c r="K3" s="747"/>
      <c r="L3" s="747"/>
      <c r="M3" s="747"/>
      <c r="N3" s="747"/>
      <c r="O3" s="747"/>
      <c r="P3" s="747"/>
      <c r="Q3" s="747"/>
    </row>
    <row r="4" spans="2:17" s="1" customFormat="1" ht="7.5" customHeight="1">
      <c r="B4" s="2"/>
      <c r="C4" s="2"/>
      <c r="D4" s="2"/>
      <c r="E4" s="2"/>
      <c r="F4" s="2"/>
      <c r="G4" s="2"/>
      <c r="H4" s="3"/>
      <c r="I4" s="772"/>
      <c r="J4" s="747"/>
      <c r="K4" s="747"/>
      <c r="L4" s="747"/>
      <c r="M4" s="747"/>
      <c r="N4" s="747"/>
      <c r="O4" s="747"/>
      <c r="P4" s="747"/>
      <c r="Q4" s="747"/>
    </row>
    <row r="5" spans="2:17" s="1" customFormat="1" ht="12.75">
      <c r="B5" s="915"/>
      <c r="C5" s="4"/>
      <c r="D5" s="916" t="s">
        <v>0</v>
      </c>
      <c r="E5" s="5"/>
      <c r="F5" s="6" t="str">
        <f>master!B16</f>
        <v>31/03/2012</v>
      </c>
      <c r="G5" s="6"/>
      <c r="H5" s="6" t="str">
        <f>master!B17</f>
        <v>31/03/2011</v>
      </c>
      <c r="I5" s="911" t="s">
        <v>1685</v>
      </c>
      <c r="J5" s="747"/>
      <c r="K5" s="747"/>
      <c r="L5" s="747"/>
      <c r="M5" s="747"/>
      <c r="N5" s="747"/>
      <c r="O5" s="747"/>
      <c r="P5" s="747"/>
      <c r="Q5" s="747"/>
    </row>
    <row r="6" spans="2:17" s="1" customFormat="1" ht="12.75">
      <c r="B6" s="915"/>
      <c r="C6" s="4"/>
      <c r="D6" s="916"/>
      <c r="E6" s="5"/>
      <c r="F6" s="6" t="s">
        <v>1</v>
      </c>
      <c r="G6" s="6"/>
      <c r="H6" s="6" t="s">
        <v>1</v>
      </c>
      <c r="I6" s="911"/>
      <c r="J6" s="747"/>
      <c r="K6" s="747"/>
      <c r="L6" s="747"/>
      <c r="M6" s="747"/>
      <c r="N6" s="747"/>
      <c r="O6" s="747"/>
      <c r="P6" s="747"/>
      <c r="Q6" s="747"/>
    </row>
    <row r="7" spans="2:17" s="1" customFormat="1" ht="15.75">
      <c r="B7" s="168" t="s">
        <v>2</v>
      </c>
      <c r="C7" s="166"/>
      <c r="D7" s="167"/>
      <c r="E7" s="167"/>
      <c r="F7" s="167"/>
      <c r="G7" s="167"/>
      <c r="H7" s="167"/>
      <c r="I7" s="773"/>
      <c r="J7" s="747"/>
      <c r="K7" s="747"/>
      <c r="L7" s="747"/>
      <c r="M7" s="747"/>
      <c r="N7" s="747"/>
      <c r="O7" s="747"/>
      <c r="P7" s="747"/>
      <c r="Q7" s="747"/>
    </row>
    <row r="8" spans="2:17" s="1" customFormat="1" ht="12.75">
      <c r="B8" s="7" t="s">
        <v>3</v>
      </c>
      <c r="C8" s="8"/>
      <c r="E8" s="2"/>
      <c r="F8" s="9"/>
      <c r="G8" s="2"/>
      <c r="I8" s="773"/>
      <c r="J8" s="747"/>
      <c r="K8" s="747"/>
      <c r="L8" s="747"/>
      <c r="M8" s="747"/>
      <c r="N8" s="747"/>
      <c r="O8" s="747"/>
      <c r="P8" s="747"/>
      <c r="Q8" s="747"/>
    </row>
    <row r="9" spans="2:17" s="1" customFormat="1" ht="12.75">
      <c r="B9" s="1" t="s">
        <v>4</v>
      </c>
      <c r="C9" s="2"/>
      <c r="D9" s="10">
        <v>1</v>
      </c>
      <c r="E9" s="2"/>
      <c r="F9" s="11">
        <f>'1'!F29</f>
        <v>100000</v>
      </c>
      <c r="G9" s="2"/>
      <c r="H9" s="11">
        <f>'1'!G29</f>
        <v>100000</v>
      </c>
      <c r="I9" s="770">
        <v>1</v>
      </c>
      <c r="J9" s="747"/>
      <c r="K9" s="747"/>
      <c r="L9" s="747"/>
      <c r="M9" s="747"/>
      <c r="N9" s="747"/>
      <c r="O9" s="747"/>
      <c r="P9" s="747"/>
      <c r="Q9" s="747"/>
    </row>
    <row r="10" spans="2:17" s="1" customFormat="1" ht="12.75">
      <c r="B10" s="1" t="s">
        <v>5</v>
      </c>
      <c r="C10" s="2"/>
      <c r="D10" s="10">
        <v>2</v>
      </c>
      <c r="E10" s="2"/>
      <c r="F10" s="12">
        <f>'2'!F35</f>
        <v>0</v>
      </c>
      <c r="G10" s="2"/>
      <c r="H10" s="12">
        <f>'2'!G35</f>
        <v>0</v>
      </c>
      <c r="I10" s="770">
        <v>2</v>
      </c>
      <c r="J10" s="747"/>
      <c r="K10" s="747"/>
      <c r="L10" s="747"/>
      <c r="M10" s="747"/>
      <c r="N10" s="747"/>
      <c r="O10" s="747"/>
      <c r="P10" s="747"/>
      <c r="Q10" s="747"/>
    </row>
    <row r="11" spans="2:17" s="1" customFormat="1" ht="12.75">
      <c r="B11" s="1" t="s">
        <v>6</v>
      </c>
      <c r="C11" s="2"/>
      <c r="D11" s="10"/>
      <c r="E11" s="2"/>
      <c r="F11" s="12">
        <f>TB!C34</f>
        <v>0</v>
      </c>
      <c r="G11" s="2"/>
      <c r="H11" s="12">
        <f>TB!E34</f>
        <v>0</v>
      </c>
      <c r="I11" s="769" t="s">
        <v>464</v>
      </c>
      <c r="J11" s="747"/>
      <c r="K11" s="747"/>
      <c r="L11" s="747"/>
      <c r="M11" s="747"/>
      <c r="N11" s="747"/>
      <c r="O11" s="747"/>
      <c r="P11" s="747"/>
      <c r="Q11" s="747"/>
    </row>
    <row r="12" spans="2:17" s="1" customFormat="1" ht="12.75">
      <c r="B12" s="13"/>
      <c r="C12" s="2"/>
      <c r="D12" s="14"/>
      <c r="E12" s="2"/>
      <c r="F12" s="15">
        <f>SUM(F9:F11)</f>
        <v>100000</v>
      </c>
      <c r="G12" s="2"/>
      <c r="H12" s="15">
        <f>SUM(H9:H11)</f>
        <v>100000</v>
      </c>
      <c r="I12" s="769"/>
      <c r="J12" s="747"/>
      <c r="K12" s="747"/>
      <c r="L12" s="747"/>
      <c r="M12" s="747"/>
      <c r="N12" s="747"/>
      <c r="O12" s="747"/>
      <c r="P12" s="747"/>
      <c r="Q12" s="747"/>
    </row>
    <row r="13" spans="2:17" s="1" customFormat="1" ht="12.75">
      <c r="B13" s="8"/>
      <c r="C13" s="2"/>
      <c r="D13" s="16"/>
      <c r="E13" s="2"/>
      <c r="F13" s="17"/>
      <c r="G13" s="2"/>
      <c r="H13" s="17"/>
      <c r="I13" s="769"/>
      <c r="J13" s="747"/>
      <c r="K13" s="747"/>
      <c r="L13" s="747"/>
      <c r="M13" s="747"/>
      <c r="N13" s="747"/>
      <c r="O13" s="747"/>
      <c r="P13" s="747"/>
      <c r="Q13" s="747"/>
    </row>
    <row r="14" spans="2:17" s="1" customFormat="1" ht="12.75">
      <c r="B14" s="8" t="s">
        <v>7</v>
      </c>
      <c r="C14" s="2"/>
      <c r="D14" s="16" t="str">
        <f>IF((F14+H14)&gt;0,D$10+1," ")</f>
        <v xml:space="preserve"> </v>
      </c>
      <c r="E14" s="2"/>
      <c r="F14" s="17">
        <f>'3'!E9</f>
        <v>0</v>
      </c>
      <c r="G14" s="2"/>
      <c r="H14" s="17">
        <f>'3'!F9</f>
        <v>0</v>
      </c>
      <c r="I14" s="770">
        <v>3</v>
      </c>
      <c r="J14" s="747"/>
      <c r="K14" s="747"/>
      <c r="L14" s="747"/>
      <c r="M14" s="747"/>
      <c r="N14" s="747"/>
      <c r="O14" s="747"/>
      <c r="P14" s="747"/>
      <c r="Q14" s="747"/>
    </row>
    <row r="15" spans="2:17" s="1" customFormat="1" ht="12.75">
      <c r="B15" s="13"/>
      <c r="C15" s="2"/>
      <c r="D15" s="14"/>
      <c r="E15" s="2"/>
      <c r="F15" s="18"/>
      <c r="G15" s="2"/>
      <c r="H15" s="18"/>
      <c r="I15" s="769"/>
      <c r="J15" s="747"/>
      <c r="K15" s="747"/>
      <c r="L15" s="747"/>
      <c r="M15" s="747"/>
      <c r="N15" s="747"/>
      <c r="O15" s="747"/>
      <c r="P15" s="747"/>
      <c r="Q15" s="747"/>
    </row>
    <row r="16" spans="2:17" s="1" customFormat="1" ht="12.75">
      <c r="B16" s="7" t="s">
        <v>8</v>
      </c>
      <c r="C16" s="8"/>
      <c r="D16" s="10"/>
      <c r="E16" s="2"/>
      <c r="F16" s="11"/>
      <c r="G16" s="2"/>
      <c r="H16" s="11"/>
      <c r="I16" s="769"/>
      <c r="J16" s="747"/>
      <c r="K16" s="747"/>
      <c r="L16" s="747"/>
      <c r="M16" s="747"/>
      <c r="N16" s="747"/>
      <c r="O16" s="747"/>
      <c r="P16" s="747"/>
      <c r="Q16" s="747"/>
    </row>
    <row r="17" spans="2:17" s="1" customFormat="1" ht="12.75">
      <c r="B17" s="1" t="s">
        <v>9</v>
      </c>
      <c r="C17" s="8"/>
      <c r="D17" s="16" t="str">
        <f>IF((F17+H17)&gt;0,MAX(D$14,D$10)+1," ")</f>
        <v xml:space="preserve"> </v>
      </c>
      <c r="E17" s="2"/>
      <c r="F17" s="11">
        <f>'4'!F64</f>
        <v>0</v>
      </c>
      <c r="G17" s="2"/>
      <c r="H17" s="11">
        <f>'4'!G64</f>
        <v>0</v>
      </c>
      <c r="I17" s="770">
        <v>4</v>
      </c>
      <c r="J17" s="747"/>
      <c r="K17" s="747"/>
      <c r="L17" s="747"/>
      <c r="M17" s="747"/>
      <c r="N17" s="747"/>
      <c r="O17" s="747"/>
      <c r="P17" s="747"/>
      <c r="Q17" s="747"/>
    </row>
    <row r="18" spans="2:17" s="1" customFormat="1" ht="12.75">
      <c r="B18" s="1" t="s">
        <v>10</v>
      </c>
      <c r="C18" s="8"/>
      <c r="D18" s="16" t="str">
        <f>IF((F18+H18+F39+H39)&gt;0,MAX(D$17,D$14,D$10)+1," ")</f>
        <v xml:space="preserve"> </v>
      </c>
      <c r="E18" s="2"/>
      <c r="F18" s="11">
        <f>'5'!E15</f>
        <v>0</v>
      </c>
      <c r="G18" s="2"/>
      <c r="H18" s="11">
        <f>'5'!F15</f>
        <v>0</v>
      </c>
      <c r="I18" s="770">
        <v>5</v>
      </c>
      <c r="J18" s="747"/>
      <c r="K18" s="747"/>
      <c r="L18" s="747"/>
      <c r="M18" s="747"/>
      <c r="N18" s="747"/>
      <c r="O18" s="747"/>
      <c r="P18" s="747"/>
      <c r="Q18" s="747"/>
    </row>
    <row r="19" spans="2:17" s="1" customFormat="1" ht="12.75">
      <c r="B19" s="1" t="s">
        <v>11</v>
      </c>
      <c r="C19" s="2"/>
      <c r="D19" s="16" t="str">
        <f>IF((F19+H19)&gt;0,MAX(D$18,D$17,D$14,D$10)+1," ")</f>
        <v xml:space="preserve"> </v>
      </c>
      <c r="E19" s="2"/>
      <c r="F19" s="11">
        <f>'6'!E8</f>
        <v>0</v>
      </c>
      <c r="G19" s="2"/>
      <c r="H19" s="11">
        <f>'6'!F8</f>
        <v>0</v>
      </c>
      <c r="I19" s="770">
        <v>6</v>
      </c>
      <c r="J19" s="747"/>
      <c r="K19" s="747"/>
      <c r="L19" s="747"/>
      <c r="M19" s="747"/>
      <c r="N19" s="747"/>
      <c r="O19" s="747"/>
      <c r="P19" s="747"/>
      <c r="Q19" s="747"/>
    </row>
    <row r="20" spans="2:17" s="1" customFormat="1" ht="12.75">
      <c r="B20" s="1" t="s">
        <v>12</v>
      </c>
      <c r="C20" s="2"/>
      <c r="D20" s="16" t="str">
        <f>IF((F20+H20)&gt;0,MAX(D$19,D$18,D$17,D$14,D$10)+1," ")</f>
        <v xml:space="preserve"> </v>
      </c>
      <c r="E20" s="2"/>
      <c r="F20" s="19">
        <f>'7'!E13</f>
        <v>0</v>
      </c>
      <c r="G20" s="2"/>
      <c r="H20" s="19">
        <f>'7'!F13</f>
        <v>0</v>
      </c>
      <c r="I20" s="770">
        <v>7</v>
      </c>
      <c r="J20" s="747"/>
      <c r="K20" s="747"/>
      <c r="L20" s="747"/>
      <c r="M20" s="747"/>
      <c r="N20" s="747"/>
      <c r="O20" s="747"/>
      <c r="P20" s="747"/>
      <c r="Q20" s="747"/>
    </row>
    <row r="21" spans="2:17" s="1" customFormat="1" ht="12.75">
      <c r="B21" s="13"/>
      <c r="C21" s="2"/>
      <c r="D21" s="14"/>
      <c r="E21" s="2"/>
      <c r="F21" s="18">
        <f>SUM(F17:F20)</f>
        <v>0</v>
      </c>
      <c r="G21" s="2"/>
      <c r="H21" s="18">
        <f>SUM(H17:H20)</f>
        <v>0</v>
      </c>
      <c r="I21" s="769"/>
      <c r="J21" s="747"/>
      <c r="K21" s="747"/>
      <c r="L21" s="747"/>
      <c r="M21" s="747"/>
      <c r="N21" s="747"/>
      <c r="O21" s="747"/>
      <c r="P21" s="747"/>
      <c r="Q21" s="747"/>
    </row>
    <row r="22" spans="2:17" s="1" customFormat="1" ht="12.75">
      <c r="B22" s="7" t="s">
        <v>13</v>
      </c>
      <c r="C22" s="8"/>
      <c r="D22" s="10"/>
      <c r="E22" s="2"/>
      <c r="F22" s="11"/>
      <c r="G22" s="2"/>
      <c r="H22" s="11"/>
      <c r="I22" s="769"/>
      <c r="J22" s="747"/>
      <c r="K22" s="747"/>
      <c r="L22" s="747"/>
      <c r="M22" s="747"/>
      <c r="N22" s="747"/>
      <c r="O22" s="747"/>
      <c r="P22" s="747"/>
      <c r="Q22" s="747"/>
    </row>
    <row r="23" spans="2:17" s="1" customFormat="1" ht="12.75">
      <c r="B23" s="1" t="s">
        <v>14</v>
      </c>
      <c r="C23" s="8"/>
      <c r="D23" s="16" t="str">
        <f>IF((F23+H23)&gt;0,MAX(D$20,D$19,D$18,D$17,D$14,D$10)+1," ")</f>
        <v xml:space="preserve"> </v>
      </c>
      <c r="E23" s="2"/>
      <c r="F23" s="11">
        <f>'8'!E37</f>
        <v>0</v>
      </c>
      <c r="G23" s="2"/>
      <c r="H23" s="11">
        <f>'8'!F37</f>
        <v>0</v>
      </c>
      <c r="I23" s="770">
        <v>8</v>
      </c>
      <c r="J23" s="747"/>
      <c r="K23" s="747"/>
      <c r="L23" s="747"/>
      <c r="M23" s="747"/>
      <c r="N23" s="747"/>
      <c r="O23" s="747"/>
      <c r="P23" s="747"/>
      <c r="Q23" s="747"/>
    </row>
    <row r="24" spans="2:17" s="1" customFormat="1" ht="12.75">
      <c r="B24" s="1" t="s">
        <v>15</v>
      </c>
      <c r="C24" s="8"/>
      <c r="D24" s="10"/>
      <c r="E24" s="2"/>
      <c r="F24" s="11">
        <f>TB!C134</f>
        <v>0</v>
      </c>
      <c r="G24" s="2"/>
      <c r="H24" s="149">
        <f>TB!E134</f>
        <v>0</v>
      </c>
      <c r="I24" s="769"/>
      <c r="J24" s="747"/>
      <c r="K24" s="747"/>
      <c r="L24" s="747"/>
      <c r="M24" s="747"/>
      <c r="N24" s="747"/>
      <c r="O24" s="747"/>
      <c r="P24" s="747"/>
      <c r="Q24" s="747"/>
    </row>
    <row r="25" spans="2:17" s="1" customFormat="1" ht="12.75">
      <c r="B25" s="1" t="s">
        <v>16</v>
      </c>
      <c r="C25" s="8"/>
      <c r="D25" s="16" t="str">
        <f>IF((F25+H25)&gt;0,MAX(D$23,D$20,D$19,D$18,D$17,D$14,D$10)+1," ")</f>
        <v xml:space="preserve"> </v>
      </c>
      <c r="E25" s="2"/>
      <c r="F25" s="11">
        <f>'9'!F15</f>
        <v>0</v>
      </c>
      <c r="G25" s="2"/>
      <c r="H25" s="11">
        <f>'9'!G15</f>
        <v>0</v>
      </c>
      <c r="I25" s="770">
        <v>9</v>
      </c>
      <c r="J25" s="747"/>
      <c r="K25" s="747"/>
      <c r="L25" s="747"/>
      <c r="M25" s="747"/>
      <c r="N25" s="747"/>
      <c r="O25" s="747"/>
      <c r="P25" s="747"/>
      <c r="Q25" s="747"/>
    </row>
    <row r="26" spans="2:17" s="1" customFormat="1" ht="12.75">
      <c r="B26" s="1" t="s">
        <v>17</v>
      </c>
      <c r="C26" s="8"/>
      <c r="D26" s="16" t="str">
        <f>IF((F26+H26)&gt;0,MAX(D$25,D$23,D$20,D$19,D$18,D$17,D$14,D$10)+1," ")</f>
        <v xml:space="preserve"> </v>
      </c>
      <c r="E26" s="2"/>
      <c r="F26" s="11">
        <f>'10'!F26</f>
        <v>0</v>
      </c>
      <c r="G26" s="2"/>
      <c r="H26" s="11">
        <f>'10'!G26</f>
        <v>0</v>
      </c>
      <c r="I26" s="770">
        <v>10</v>
      </c>
      <c r="J26" s="747"/>
      <c r="K26" s="747"/>
      <c r="L26" s="747"/>
      <c r="M26" s="747"/>
      <c r="N26" s="747"/>
      <c r="O26" s="747"/>
      <c r="P26" s="747"/>
      <c r="Q26" s="747"/>
    </row>
    <row r="27" spans="2:17" s="1" customFormat="1" ht="12.75">
      <c r="C27" s="2"/>
      <c r="D27" s="10"/>
      <c r="E27" s="2"/>
      <c r="F27" s="15">
        <f>SUM(F23:F26)</f>
        <v>0</v>
      </c>
      <c r="G27" s="2"/>
      <c r="H27" s="15">
        <f>SUM(H23:H26)</f>
        <v>0</v>
      </c>
      <c r="I27" s="769"/>
      <c r="J27" s="747"/>
      <c r="K27" s="747"/>
      <c r="L27" s="747"/>
      <c r="M27" s="747"/>
      <c r="N27" s="747"/>
      <c r="O27" s="747"/>
      <c r="P27" s="747"/>
      <c r="Q27" s="747"/>
    </row>
    <row r="28" spans="2:17" s="1" customFormat="1" ht="12.75">
      <c r="B28" s="13"/>
      <c r="C28" s="2"/>
      <c r="D28" s="14"/>
      <c r="E28" s="2"/>
      <c r="F28" s="19"/>
      <c r="G28" s="2"/>
      <c r="H28" s="19"/>
      <c r="I28" s="769"/>
      <c r="J28" s="747"/>
      <c r="K28" s="747"/>
      <c r="L28" s="747"/>
      <c r="M28" s="747"/>
      <c r="N28" s="747"/>
      <c r="O28" s="747"/>
      <c r="P28" s="747"/>
      <c r="Q28" s="747"/>
    </row>
    <row r="29" spans="2:17" s="1" customFormat="1" ht="13.5" thickBot="1">
      <c r="B29" s="20" t="s">
        <v>18</v>
      </c>
      <c r="C29" s="2"/>
      <c r="D29" s="21"/>
      <c r="E29" s="2"/>
      <c r="F29" s="22">
        <f>F27+F21+F14+F12</f>
        <v>100000</v>
      </c>
      <c r="G29" s="22">
        <f>G27+G21+G14+G12</f>
        <v>0</v>
      </c>
      <c r="H29" s="22">
        <f>H27+H21+H14+H12</f>
        <v>100000</v>
      </c>
      <c r="I29" s="769"/>
      <c r="J29" s="747"/>
      <c r="K29" s="747"/>
      <c r="L29" s="747"/>
      <c r="M29" s="747"/>
      <c r="N29" s="747"/>
      <c r="O29" s="747"/>
      <c r="P29" s="747"/>
      <c r="Q29" s="747"/>
    </row>
    <row r="30" spans="2:17" s="1" customFormat="1" ht="13.5" thickTop="1">
      <c r="D30" s="10"/>
      <c r="F30" s="11"/>
      <c r="H30" s="11"/>
      <c r="I30" s="769"/>
      <c r="J30" s="747"/>
      <c r="K30" s="747"/>
      <c r="L30" s="747"/>
      <c r="M30" s="747"/>
      <c r="N30" s="747"/>
      <c r="O30" s="747"/>
      <c r="P30" s="747"/>
      <c r="Q30" s="747"/>
    </row>
    <row r="31" spans="2:17" s="1" customFormat="1" ht="15.75">
      <c r="B31" s="169" t="s">
        <v>19</v>
      </c>
      <c r="C31" s="170"/>
      <c r="D31" s="171"/>
      <c r="E31" s="170"/>
      <c r="F31" s="172"/>
      <c r="G31" s="170"/>
      <c r="H31" s="172"/>
      <c r="I31" s="769"/>
      <c r="J31" s="747"/>
      <c r="K31" s="747"/>
      <c r="L31" s="747"/>
      <c r="M31" s="747"/>
      <c r="N31" s="747"/>
      <c r="O31" s="747"/>
      <c r="P31" s="747"/>
      <c r="Q31" s="747"/>
    </row>
    <row r="32" spans="2:17" s="1" customFormat="1" ht="12.75">
      <c r="B32" s="7" t="s">
        <v>20</v>
      </c>
      <c r="D32" s="10"/>
      <c r="F32" s="11"/>
      <c r="H32" s="11"/>
      <c r="I32" s="769"/>
      <c r="J32" s="747"/>
      <c r="K32" s="747"/>
      <c r="L32" s="747"/>
      <c r="M32" s="747"/>
      <c r="N32" s="747"/>
      <c r="O32" s="747"/>
      <c r="P32" s="747"/>
      <c r="Q32" s="747"/>
    </row>
    <row r="33" spans="2:17" s="1" customFormat="1" ht="12.75">
      <c r="B33" s="1" t="s">
        <v>21</v>
      </c>
      <c r="C33" s="2"/>
      <c r="D33" s="10"/>
      <c r="E33" s="2"/>
      <c r="F33" s="11"/>
      <c r="G33" s="2"/>
      <c r="H33" s="11"/>
      <c r="I33" s="769"/>
      <c r="J33" s="747"/>
      <c r="K33" s="747"/>
      <c r="L33" s="747"/>
      <c r="M33" s="747"/>
      <c r="N33" s="747"/>
      <c r="O33" s="747"/>
      <c r="P33" s="747"/>
      <c r="Q33" s="747"/>
    </row>
    <row r="34" spans="2:17" s="1" customFormat="1" ht="12.75">
      <c r="B34" s="23" t="s">
        <v>22</v>
      </c>
      <c r="C34" s="2"/>
      <c r="D34" s="16" t="str">
        <f>IF((F34+H34)&gt;0,MAX(D$26,D$25,D$23,D$20,D$19,D$18,D$17,D$14,D$10)+1," ")</f>
        <v xml:space="preserve"> </v>
      </c>
      <c r="E34" s="2"/>
      <c r="F34" s="725">
        <f>'11'!K44</f>
        <v>0</v>
      </c>
      <c r="G34" s="2"/>
      <c r="H34" s="725">
        <f>'11'!L44</f>
        <v>0</v>
      </c>
      <c r="I34" s="770">
        <v>11</v>
      </c>
      <c r="J34" s="747"/>
      <c r="K34" s="747"/>
      <c r="L34" s="747"/>
      <c r="M34" s="747"/>
      <c r="N34" s="747"/>
      <c r="O34" s="747"/>
      <c r="P34" s="747"/>
      <c r="Q34" s="747"/>
    </row>
    <row r="35" spans="2:17" s="1" customFormat="1" ht="12.75">
      <c r="B35" s="23" t="s">
        <v>23</v>
      </c>
      <c r="C35" s="2"/>
      <c r="D35" s="16" t="str">
        <f>IF((F35+H35)&gt;0,MAX(D$34,D$26,D$25,D$23,D$20,D$19,D$18,D$17,D$14,D$10)+1," ")</f>
        <v xml:space="preserve"> </v>
      </c>
      <c r="E35" s="2"/>
      <c r="F35" s="11">
        <f>'12'!O17</f>
        <v>0</v>
      </c>
      <c r="G35" s="2"/>
      <c r="H35" s="11">
        <f>'12'!P17</f>
        <v>0</v>
      </c>
      <c r="I35" s="770">
        <v>12</v>
      </c>
      <c r="J35" s="747"/>
      <c r="K35" s="747"/>
      <c r="L35" s="747"/>
      <c r="M35" s="747"/>
      <c r="N35" s="747"/>
      <c r="O35" s="747"/>
      <c r="P35" s="747"/>
      <c r="Q35" s="747"/>
    </row>
    <row r="36" spans="2:17" s="1" customFormat="1" ht="12.75">
      <c r="B36" s="23" t="s">
        <v>24</v>
      </c>
      <c r="C36" s="2"/>
      <c r="D36" s="10"/>
      <c r="E36" s="2"/>
      <c r="F36" s="11">
        <f>TB!B161</f>
        <v>0</v>
      </c>
      <c r="G36" s="2"/>
      <c r="H36" s="149">
        <f>TB!D161</f>
        <v>0</v>
      </c>
      <c r="I36" s="769"/>
      <c r="J36" s="747"/>
      <c r="K36" s="747"/>
      <c r="L36" s="747"/>
      <c r="M36" s="747"/>
      <c r="N36" s="747"/>
      <c r="O36" s="747"/>
      <c r="P36" s="747"/>
      <c r="Q36" s="747"/>
    </row>
    <row r="37" spans="2:17" s="1" customFormat="1" ht="12.75">
      <c r="B37" s="23" t="s">
        <v>25</v>
      </c>
      <c r="C37" s="2"/>
      <c r="D37" s="10"/>
      <c r="E37" s="2"/>
      <c r="F37" s="149">
        <f>TB!B163</f>
        <v>0</v>
      </c>
      <c r="G37" s="2"/>
      <c r="H37" s="149">
        <f>TB!D163</f>
        <v>0</v>
      </c>
      <c r="I37" s="769"/>
      <c r="J37" s="747"/>
      <c r="K37" s="747"/>
      <c r="L37" s="747"/>
      <c r="M37" s="747"/>
      <c r="N37" s="747"/>
      <c r="O37" s="747"/>
      <c r="P37" s="747"/>
      <c r="Q37" s="747"/>
    </row>
    <row r="38" spans="2:17" s="1" customFormat="1" ht="12.75">
      <c r="B38" s="1" t="s">
        <v>26</v>
      </c>
      <c r="C38" s="2"/>
      <c r="D38" s="16" t="str">
        <f>IF((F38+H38)&gt;0,MAX(D$35,D$34,D$26,D$25,D$23,D$20,D$19,D$18,D$17,D$14,D$10)+1," ")</f>
        <v xml:space="preserve"> </v>
      </c>
      <c r="E38" s="2"/>
      <c r="F38" s="11">
        <f>'13'!F122</f>
        <v>0</v>
      </c>
      <c r="G38" s="2"/>
      <c r="H38" s="11">
        <f>'13'!G122</f>
        <v>0</v>
      </c>
      <c r="I38" s="770">
        <v>13</v>
      </c>
      <c r="J38" s="747"/>
      <c r="K38" s="747"/>
      <c r="L38" s="747"/>
      <c r="M38" s="747"/>
      <c r="N38" s="747"/>
      <c r="O38" s="747"/>
      <c r="P38" s="747"/>
      <c r="Q38" s="747"/>
    </row>
    <row r="39" spans="2:17" s="1" customFormat="1" ht="12.75">
      <c r="B39" s="1" t="s">
        <v>27</v>
      </c>
      <c r="C39" s="2"/>
      <c r="D39" s="10" t="str">
        <f>D18</f>
        <v xml:space="preserve"> </v>
      </c>
      <c r="E39" s="2"/>
      <c r="F39" s="11">
        <v>0</v>
      </c>
      <c r="G39" s="2"/>
      <c r="H39" s="11">
        <v>0</v>
      </c>
      <c r="I39" s="773"/>
      <c r="J39" s="747"/>
      <c r="K39" s="747"/>
      <c r="L39" s="747"/>
      <c r="M39" s="747"/>
      <c r="N39" s="747"/>
      <c r="O39" s="747"/>
      <c r="P39" s="747"/>
      <c r="Q39" s="747"/>
    </row>
    <row r="40" spans="2:17" s="1" customFormat="1" ht="12.75">
      <c r="B40" s="1" t="s">
        <v>28</v>
      </c>
      <c r="C40" s="2"/>
      <c r="D40" s="16" t="str">
        <f>IF((F40+H40)&gt;0,MAX(D$38,D$35,D$34,D$26,D$25,D$23,D$20,D$19,D$18,D$17,D$14,D$10)+1," ")</f>
        <v xml:space="preserve"> </v>
      </c>
      <c r="E40" s="2"/>
      <c r="F40" s="11">
        <f>'14'!F72</f>
        <v>0</v>
      </c>
      <c r="G40" s="2"/>
      <c r="H40" s="11">
        <f>'14'!G72</f>
        <v>0</v>
      </c>
      <c r="I40" s="770">
        <v>14</v>
      </c>
      <c r="J40" s="747"/>
      <c r="K40" s="747"/>
      <c r="L40" s="747"/>
      <c r="M40" s="747"/>
      <c r="N40" s="747"/>
      <c r="O40" s="747"/>
      <c r="P40" s="747"/>
      <c r="Q40" s="747"/>
    </row>
    <row r="41" spans="2:17" s="1" customFormat="1" ht="12.75">
      <c r="B41" s="1" t="s">
        <v>29</v>
      </c>
      <c r="C41" s="2"/>
      <c r="D41" s="16" t="str">
        <f>IF((F41+H41)&gt;0,MAX(D$40,D$38,D$35,D$34,D$26,D$25,D$23,D$20,D$19,D$18,D$17,D$14,D$10)+1," ")</f>
        <v xml:space="preserve"> </v>
      </c>
      <c r="E41" s="2"/>
      <c r="F41" s="11">
        <f>'15'!G15</f>
        <v>0</v>
      </c>
      <c r="G41" s="2"/>
      <c r="H41" s="11">
        <f>'15'!H15</f>
        <v>0</v>
      </c>
      <c r="I41" s="770">
        <v>15</v>
      </c>
      <c r="J41" s="747"/>
      <c r="K41" s="747"/>
      <c r="L41" s="747"/>
      <c r="M41" s="747"/>
      <c r="N41" s="747"/>
      <c r="O41" s="747"/>
      <c r="P41" s="747"/>
      <c r="Q41" s="747"/>
    </row>
    <row r="42" spans="2:17" s="1" customFormat="1" ht="12.75">
      <c r="B42" s="13"/>
      <c r="C42" s="2"/>
      <c r="D42" s="14"/>
      <c r="E42" s="2"/>
      <c r="F42" s="15">
        <f>SUM(F34:F41)</f>
        <v>0</v>
      </c>
      <c r="G42" s="41">
        <f>SUM(G34:G41)</f>
        <v>0</v>
      </c>
      <c r="H42" s="41">
        <f>SUM(H34:H41)</f>
        <v>0</v>
      </c>
      <c r="I42" s="773"/>
      <c r="J42" s="747"/>
      <c r="K42" s="747"/>
      <c r="L42" s="747"/>
      <c r="M42" s="747"/>
      <c r="N42" s="747"/>
      <c r="O42" s="747"/>
      <c r="P42" s="747"/>
      <c r="Q42" s="747"/>
    </row>
    <row r="43" spans="2:17" s="1" customFormat="1" ht="12.75">
      <c r="B43" s="7" t="s">
        <v>30</v>
      </c>
      <c r="C43" s="2"/>
      <c r="D43" s="10"/>
      <c r="E43" s="2"/>
      <c r="F43" s="24"/>
      <c r="G43" s="2"/>
      <c r="H43" s="24"/>
      <c r="I43" s="773"/>
      <c r="J43" s="747"/>
      <c r="K43" s="747"/>
      <c r="L43" s="747"/>
      <c r="M43" s="747"/>
      <c r="N43" s="747"/>
      <c r="O43" s="747"/>
      <c r="P43" s="747"/>
      <c r="Q43" s="747"/>
    </row>
    <row r="44" spans="2:17" s="1" customFormat="1" ht="12.75">
      <c r="B44" s="1" t="s">
        <v>31</v>
      </c>
      <c r="C44" s="2"/>
      <c r="D44" s="16" t="str">
        <f>IF((F44+H44)&gt;0,MAX(D$41,D$40,D$38,D$35,D$34,D$26,D$25,D$23,D$20,D$19,D$18,D$17,D$14,D$10)+1," ")</f>
        <v xml:space="preserve"> </v>
      </c>
      <c r="E44" s="2"/>
      <c r="F44" s="11">
        <f>'16'!E75</f>
        <v>0</v>
      </c>
      <c r="G44" s="2"/>
      <c r="H44" s="39">
        <f>'16'!F75</f>
        <v>0</v>
      </c>
      <c r="I44" s="770">
        <v>16</v>
      </c>
      <c r="J44" s="747"/>
      <c r="K44" s="747"/>
      <c r="L44" s="747"/>
      <c r="M44" s="747"/>
      <c r="N44" s="747"/>
      <c r="O44" s="747"/>
      <c r="P44" s="747"/>
      <c r="Q44" s="747"/>
    </row>
    <row r="45" spans="2:17" s="1" customFormat="1" ht="12.75">
      <c r="B45" s="1" t="s">
        <v>32</v>
      </c>
      <c r="C45" s="2"/>
      <c r="D45" s="16" t="str">
        <f>IF((F45+H45)&gt;0,MAX(D$44,D$41,D$40,D$38,D$35,D$34,D$26,D$25,D$23,D$20,D$19,D$18,D$17,D$14,D$10)+1," ")</f>
        <v xml:space="preserve"> </v>
      </c>
      <c r="E45" s="2"/>
      <c r="F45" s="11">
        <f>'17'!D17</f>
        <v>0</v>
      </c>
      <c r="G45" s="2"/>
      <c r="H45" s="39">
        <f>'17'!E17</f>
        <v>0</v>
      </c>
      <c r="I45" s="770">
        <v>17</v>
      </c>
      <c r="J45" s="747"/>
      <c r="K45" s="747"/>
      <c r="L45" s="747"/>
      <c r="M45" s="747"/>
      <c r="N45" s="747"/>
      <c r="O45" s="747"/>
      <c r="P45" s="747"/>
      <c r="Q45" s="747"/>
    </row>
    <row r="46" spans="2:17" s="1" customFormat="1" ht="12.75">
      <c r="B46" s="1" t="s">
        <v>33</v>
      </c>
      <c r="C46" s="2"/>
      <c r="D46" s="16" t="str">
        <f>IF((F46+H46)&gt;0,MAX(D$45,D$44,D$41,D$40,D$38,D$35,D$34,D$26,D$25,D$23,D$20,D$19,D$18,D$17,D$14,D$10)+1," ")</f>
        <v xml:space="preserve"> </v>
      </c>
      <c r="E46" s="2"/>
      <c r="F46" s="11">
        <f>'18'!E24</f>
        <v>0</v>
      </c>
      <c r="G46" s="2"/>
      <c r="H46" s="39">
        <f>'18'!F24</f>
        <v>0</v>
      </c>
      <c r="I46" s="770">
        <v>18</v>
      </c>
      <c r="J46" s="747"/>
      <c r="K46" s="747"/>
      <c r="L46" s="747"/>
      <c r="M46" s="747"/>
      <c r="N46" s="747"/>
      <c r="O46" s="747"/>
      <c r="P46" s="747"/>
      <c r="Q46" s="747"/>
    </row>
    <row r="47" spans="2:17" s="1" customFormat="1" ht="12.75">
      <c r="B47" s="1" t="s">
        <v>34</v>
      </c>
      <c r="C47" s="2"/>
      <c r="D47" s="16" t="str">
        <f>IF((F47+H47)&gt;0,MAX(D$46,D$45,D$44,D$41,D$40,D$38,D$35,D$34,D$26,D$25,D$23,D$20,D$19,D$18,D$17,D$14,D$10)+1," ")</f>
        <v xml:space="preserve"> </v>
      </c>
      <c r="E47" s="2"/>
      <c r="F47" s="11">
        <f>'19'!F32</f>
        <v>0</v>
      </c>
      <c r="G47" s="2"/>
      <c r="H47" s="39">
        <f>'19'!G32</f>
        <v>0</v>
      </c>
      <c r="I47" s="770">
        <v>19</v>
      </c>
      <c r="J47" s="747"/>
      <c r="K47" s="747"/>
      <c r="L47" s="747"/>
      <c r="M47" s="747"/>
      <c r="N47" s="747"/>
      <c r="O47" s="747"/>
      <c r="P47" s="747"/>
      <c r="Q47" s="747"/>
    </row>
    <row r="48" spans="2:17" s="1" customFormat="1" ht="12.75">
      <c r="B48" s="1" t="s">
        <v>35</v>
      </c>
      <c r="C48" s="2"/>
      <c r="D48" s="16" t="str">
        <f>IF((F48+H48)&gt;0,MAX(D$47,D$46,D$45,D$44,D$41,D$40,D$38,D$35,D$34,D$26,D$25,D$23,D$20,D$19,D$18,D$17,D$14,D$10)+1," ")</f>
        <v xml:space="preserve"> </v>
      </c>
      <c r="E48" s="2"/>
      <c r="F48" s="11">
        <f>'20'!G41</f>
        <v>0</v>
      </c>
      <c r="G48" s="2"/>
      <c r="H48" s="39">
        <f>'20'!H41</f>
        <v>0</v>
      </c>
      <c r="I48" s="770">
        <v>20</v>
      </c>
      <c r="J48" s="747"/>
      <c r="K48" s="747"/>
      <c r="L48" s="747"/>
      <c r="M48" s="747"/>
      <c r="N48" s="747"/>
      <c r="O48" s="747"/>
      <c r="P48" s="747"/>
      <c r="Q48" s="747"/>
    </row>
    <row r="49" spans="2:17" s="1" customFormat="1" ht="12.75">
      <c r="B49" s="1" t="s">
        <v>36</v>
      </c>
      <c r="C49" s="2"/>
      <c r="D49" s="16" t="str">
        <f>IF((F49+H49)&gt;0,MAX(D$48,D$47,D$46,D$45,D$44,D$41,D$40,D$38,D$35,D$34,D$26,D$25,D$23,D$20,D$19,D$18,D$17,D$14,D$10)+1," ")</f>
        <v xml:space="preserve"> </v>
      </c>
      <c r="E49" s="2"/>
      <c r="F49" s="11">
        <f>'21'!D20</f>
        <v>0</v>
      </c>
      <c r="G49" s="2"/>
      <c r="H49" s="39">
        <f>'21'!E20</f>
        <v>0</v>
      </c>
      <c r="I49" s="770">
        <v>21</v>
      </c>
      <c r="J49" s="747"/>
      <c r="K49" s="747"/>
      <c r="L49" s="747"/>
      <c r="M49" s="747"/>
      <c r="N49" s="747"/>
      <c r="O49" s="747"/>
      <c r="P49" s="747"/>
      <c r="Q49" s="747"/>
    </row>
    <row r="50" spans="2:17" s="1" customFormat="1" ht="12.75">
      <c r="C50" s="2"/>
      <c r="D50" s="10"/>
      <c r="E50" s="2"/>
      <c r="F50" s="15">
        <f>SUM(F44:F49)</f>
        <v>0</v>
      </c>
      <c r="G50" s="41">
        <f>SUM(G44:G49)</f>
        <v>0</v>
      </c>
      <c r="H50" s="41">
        <f>SUM(H44:H49)</f>
        <v>0</v>
      </c>
      <c r="I50" s="773"/>
      <c r="J50" s="747"/>
      <c r="K50" s="747"/>
      <c r="L50" s="747"/>
      <c r="M50" s="747"/>
      <c r="N50" s="747"/>
      <c r="O50" s="747"/>
      <c r="P50" s="747"/>
      <c r="Q50" s="747"/>
    </row>
    <row r="51" spans="2:17" s="1" customFormat="1" ht="12.75">
      <c r="C51" s="2"/>
      <c r="D51" s="10"/>
      <c r="E51" s="2"/>
      <c r="F51" s="11"/>
      <c r="G51" s="2"/>
      <c r="H51" s="11"/>
      <c r="I51" s="769"/>
      <c r="J51" s="747"/>
      <c r="K51" s="747"/>
      <c r="L51" s="747"/>
      <c r="M51" s="747"/>
      <c r="N51" s="747"/>
      <c r="O51" s="747"/>
      <c r="P51" s="747"/>
      <c r="Q51" s="747"/>
    </row>
    <row r="52" spans="2:17" s="1" customFormat="1" ht="13.5" thickBot="1">
      <c r="B52" s="20" t="s">
        <v>18</v>
      </c>
      <c r="C52" s="2"/>
      <c r="D52" s="21"/>
      <c r="E52" s="2"/>
      <c r="F52" s="22">
        <f>F50+F42</f>
        <v>0</v>
      </c>
      <c r="G52" s="22">
        <f>G50+G42</f>
        <v>0</v>
      </c>
      <c r="H52" s="22">
        <f>H50+H42</f>
        <v>0</v>
      </c>
      <c r="I52" s="769"/>
      <c r="J52" s="747"/>
      <c r="K52" s="747"/>
      <c r="L52" s="747"/>
      <c r="M52" s="747"/>
      <c r="N52" s="747"/>
      <c r="O52" s="747"/>
      <c r="P52" s="747"/>
      <c r="Q52" s="747"/>
    </row>
    <row r="53" spans="2:17" s="1" customFormat="1" ht="13.5" thickTop="1">
      <c r="C53" s="2"/>
      <c r="D53" s="10"/>
      <c r="E53" s="2"/>
      <c r="F53" s="9"/>
      <c r="G53" s="2"/>
      <c r="I53" s="769"/>
      <c r="J53" s="747"/>
      <c r="K53" s="747"/>
      <c r="L53" s="747"/>
      <c r="M53" s="747"/>
      <c r="N53" s="747"/>
      <c r="O53" s="747"/>
      <c r="P53" s="747"/>
      <c r="Q53" s="747"/>
    </row>
    <row r="54" spans="2:17" s="1" customFormat="1" ht="12.75">
      <c r="B54" s="1" t="s">
        <v>37</v>
      </c>
      <c r="C54" s="2"/>
      <c r="D54" s="10">
        <f>PL!D46+1</f>
        <v>4</v>
      </c>
      <c r="E54" s="2"/>
      <c r="F54" s="9">
        <f>F52-F29</f>
        <v>-100000</v>
      </c>
      <c r="G54" s="2"/>
      <c r="H54" s="1">
        <f>H52-H29</f>
        <v>-100000</v>
      </c>
      <c r="I54" s="770">
        <v>34</v>
      </c>
      <c r="J54" s="747"/>
      <c r="K54" s="747"/>
      <c r="L54" s="747"/>
      <c r="M54" s="747"/>
      <c r="N54" s="747"/>
      <c r="O54" s="747"/>
      <c r="P54" s="747"/>
      <c r="Q54" s="747"/>
    </row>
    <row r="55" spans="2:17" s="1" customFormat="1" ht="12.75">
      <c r="B55" s="1" t="s">
        <v>38</v>
      </c>
      <c r="D55" s="10"/>
      <c r="E55" s="2"/>
      <c r="F55" s="9"/>
      <c r="G55" s="2"/>
      <c r="I55" s="769"/>
      <c r="J55" s="747"/>
      <c r="K55" s="747"/>
      <c r="L55" s="747"/>
      <c r="M55" s="747"/>
      <c r="N55" s="747"/>
      <c r="O55" s="747"/>
      <c r="P55" s="747"/>
      <c r="Q55" s="747"/>
    </row>
    <row r="56" spans="2:17" s="1" customFormat="1" ht="13.5" thickBot="1">
      <c r="B56" s="25"/>
      <c r="C56" s="25"/>
      <c r="D56" s="26"/>
      <c r="E56" s="25"/>
      <c r="F56" s="27"/>
      <c r="G56" s="25"/>
      <c r="H56" s="25"/>
      <c r="I56" s="769"/>
      <c r="J56" s="747"/>
      <c r="K56" s="747"/>
      <c r="L56" s="747"/>
      <c r="M56" s="747"/>
      <c r="N56" s="747"/>
      <c r="O56" s="747"/>
      <c r="P56" s="747"/>
      <c r="Q56" s="747"/>
    </row>
    <row r="57" spans="2:17" s="1" customFormat="1" ht="12.75">
      <c r="I57" s="772"/>
      <c r="J57" s="747"/>
      <c r="K57" s="747"/>
      <c r="L57" s="747"/>
      <c r="M57" s="747"/>
      <c r="N57" s="747"/>
      <c r="O57" s="747"/>
      <c r="P57" s="747"/>
      <c r="Q57" s="747"/>
    </row>
    <row r="58" spans="2:17" s="1" customFormat="1" ht="12.75">
      <c r="B58" s="912" t="s">
        <v>829</v>
      </c>
      <c r="C58" s="912"/>
      <c r="I58" s="772"/>
      <c r="J58" s="747"/>
      <c r="K58" s="747"/>
      <c r="L58" s="747"/>
      <c r="M58" s="747"/>
      <c r="N58" s="747"/>
      <c r="O58" s="747"/>
      <c r="P58" s="747"/>
      <c r="Q58" s="747"/>
    </row>
    <row r="59" spans="2:17" s="1" customFormat="1" ht="12.75">
      <c r="B59" s="912" t="s">
        <v>828</v>
      </c>
      <c r="C59" s="912"/>
      <c r="I59" s="772"/>
      <c r="J59" s="747"/>
      <c r="K59" s="747"/>
      <c r="L59" s="747"/>
      <c r="M59" s="747"/>
      <c r="N59" s="747"/>
      <c r="O59" s="747"/>
      <c r="P59" s="747"/>
      <c r="Q59" s="747"/>
    </row>
    <row r="60" spans="2:17" s="1" customFormat="1" ht="12.75">
      <c r="B60" s="7" t="str">
        <f>CONCATENATE("For ",master!B36)</f>
        <v>For ABC &amp; CO</v>
      </c>
      <c r="F60" s="7" t="s">
        <v>39</v>
      </c>
      <c r="I60" s="772"/>
      <c r="J60" s="747"/>
      <c r="K60" s="747"/>
      <c r="L60" s="747"/>
      <c r="M60" s="747"/>
      <c r="N60" s="747"/>
      <c r="O60" s="747"/>
      <c r="P60" s="747"/>
      <c r="Q60" s="747"/>
    </row>
    <row r="61" spans="2:17" s="1" customFormat="1" ht="12.75">
      <c r="B61" s="7" t="str">
        <f>CONCATENATE("Firm Registration No ",master!B37)</f>
        <v>Firm Registration No 18, Satellite,</v>
      </c>
      <c r="I61" s="772"/>
      <c r="J61" s="747"/>
      <c r="K61" s="747"/>
      <c r="L61" s="747"/>
      <c r="M61" s="747"/>
      <c r="N61" s="747"/>
      <c r="O61" s="747"/>
      <c r="P61" s="747"/>
      <c r="Q61" s="747"/>
    </row>
    <row r="62" spans="2:17" s="1" customFormat="1" ht="12.75">
      <c r="B62" s="7" t="s">
        <v>776</v>
      </c>
      <c r="I62" s="772"/>
      <c r="J62" s="747"/>
      <c r="K62" s="747"/>
      <c r="L62" s="747"/>
      <c r="M62" s="747"/>
      <c r="N62" s="747"/>
      <c r="O62" s="747"/>
      <c r="P62" s="747"/>
      <c r="Q62" s="747"/>
    </row>
    <row r="63" spans="2:17" s="1" customFormat="1" ht="12.75">
      <c r="F63" s="7" t="str">
        <f>master!B30</f>
        <v>Subhash Gupta</v>
      </c>
      <c r="H63" s="7" t="str">
        <f>master!B31</f>
        <v>Tarun Kumar</v>
      </c>
      <c r="I63" s="772"/>
      <c r="J63" s="747"/>
      <c r="K63" s="747"/>
      <c r="L63" s="747"/>
      <c r="M63" s="747"/>
      <c r="N63" s="747"/>
      <c r="O63" s="747"/>
      <c r="P63" s="747"/>
      <c r="Q63" s="747"/>
    </row>
    <row r="64" spans="2:17" s="1" customFormat="1" ht="12.75">
      <c r="F64" s="7" t="str">
        <f>master!C30</f>
        <v>Director</v>
      </c>
      <c r="H64" s="7" t="str">
        <f>master!C31</f>
        <v>Director</v>
      </c>
      <c r="I64" s="772"/>
      <c r="J64" s="747"/>
      <c r="K64" s="747"/>
      <c r="L64" s="747"/>
      <c r="M64" s="747"/>
      <c r="N64" s="747"/>
      <c r="O64" s="747"/>
      <c r="P64" s="747"/>
      <c r="Q64" s="747"/>
    </row>
    <row r="65" spans="2:17" s="1" customFormat="1" ht="12.75">
      <c r="B65" s="7" t="str">
        <f>master!B42</f>
        <v>, Prop.)</v>
      </c>
      <c r="I65" s="772"/>
      <c r="J65" s="747"/>
      <c r="K65" s="747"/>
      <c r="L65" s="747"/>
      <c r="M65" s="747"/>
      <c r="N65" s="747"/>
      <c r="O65" s="747"/>
      <c r="P65" s="747"/>
      <c r="Q65" s="747"/>
    </row>
    <row r="66" spans="2:17" s="1" customFormat="1" ht="12.75">
      <c r="B66" s="7" t="str">
        <f>master!B43</f>
        <v>99999</v>
      </c>
      <c r="I66" s="772"/>
      <c r="J66" s="747"/>
      <c r="K66" s="747"/>
      <c r="L66" s="747"/>
      <c r="M66" s="747"/>
      <c r="N66" s="747"/>
      <c r="O66" s="747"/>
      <c r="P66" s="747"/>
      <c r="Q66" s="747"/>
    </row>
    <row r="67" spans="2:17" s="1" customFormat="1" ht="12.75">
      <c r="B67" s="7" t="str">
        <f>master!B44</f>
        <v>DELHI</v>
      </c>
      <c r="F67" s="1" t="str">
        <f>master!B32</f>
        <v/>
      </c>
      <c r="H67" s="1" t="str">
        <f>master!B33</f>
        <v/>
      </c>
      <c r="I67" s="772"/>
      <c r="J67" s="747"/>
      <c r="K67" s="747"/>
      <c r="L67" s="747"/>
      <c r="M67" s="747"/>
      <c r="N67" s="747"/>
      <c r="O67" s="747"/>
      <c r="P67" s="747"/>
      <c r="Q67" s="747"/>
    </row>
    <row r="68" spans="2:17" s="1" customFormat="1" ht="12.75">
      <c r="F68" s="1" t="str">
        <f>master!C32</f>
        <v/>
      </c>
      <c r="H68" s="1" t="str">
        <f>master!C33</f>
        <v/>
      </c>
      <c r="I68" s="772"/>
      <c r="J68" s="747"/>
      <c r="K68" s="747"/>
      <c r="L68" s="747"/>
      <c r="M68" s="747"/>
      <c r="N68" s="747"/>
      <c r="O68" s="747"/>
      <c r="P68" s="747"/>
      <c r="Q68" s="747"/>
    </row>
    <row r="69" spans="2:17" s="1" customFormat="1" ht="12.75">
      <c r="B69" s="7" t="str">
        <f>CONCATENATE("Place :",master!B45)</f>
        <v>Place :DELHI</v>
      </c>
      <c r="I69" s="772"/>
      <c r="J69" s="747"/>
      <c r="K69" s="747"/>
      <c r="L69" s="747"/>
      <c r="M69" s="747"/>
      <c r="N69" s="747"/>
      <c r="O69" s="747"/>
      <c r="P69" s="747"/>
      <c r="Q69" s="747"/>
    </row>
    <row r="70" spans="2:17" s="1" customFormat="1" ht="12.75">
      <c r="B70" s="7" t="str">
        <f>CONCATENATE("Date :",master!B46)</f>
        <v>Date :01/09/2012</v>
      </c>
      <c r="I70" s="772"/>
      <c r="J70" s="747"/>
      <c r="K70" s="747"/>
      <c r="L70" s="747"/>
      <c r="M70" s="747"/>
      <c r="N70" s="747"/>
      <c r="O70" s="747"/>
      <c r="P70" s="747"/>
      <c r="Q70" s="747"/>
    </row>
    <row r="71" spans="2:17" s="1" customFormat="1" ht="12.75">
      <c r="I71" s="772"/>
      <c r="J71" s="747"/>
      <c r="K71" s="747"/>
      <c r="L71" s="747"/>
      <c r="M71" s="747"/>
      <c r="N71" s="747"/>
      <c r="O71" s="747"/>
      <c r="P71" s="747"/>
      <c r="Q71" s="747"/>
    </row>
    <row r="72" spans="2:17" s="1" customFormat="1" ht="12.75">
      <c r="I72" s="772"/>
      <c r="J72" s="747"/>
      <c r="K72" s="747"/>
      <c r="L72" s="747"/>
      <c r="M72" s="747"/>
      <c r="N72" s="747"/>
      <c r="O72" s="747"/>
      <c r="P72" s="747"/>
      <c r="Q72" s="747"/>
    </row>
    <row r="73" spans="2:17" s="1" customFormat="1" ht="12.75">
      <c r="I73" s="772"/>
      <c r="J73" s="747"/>
      <c r="K73" s="747"/>
      <c r="L73" s="747"/>
      <c r="M73" s="747"/>
      <c r="N73" s="747"/>
      <c r="O73" s="747"/>
      <c r="P73" s="747"/>
      <c r="Q73" s="747"/>
    </row>
    <row r="74" spans="2:17" s="1" customFormat="1" ht="12.75">
      <c r="I74" s="772"/>
      <c r="J74" s="747"/>
      <c r="K74" s="747"/>
      <c r="L74" s="747"/>
      <c r="M74" s="747"/>
      <c r="N74" s="747"/>
      <c r="O74" s="747"/>
      <c r="P74" s="747"/>
      <c r="Q74" s="747"/>
    </row>
  </sheetData>
  <sheetProtection selectLockedCells="1"/>
  <mergeCells count="7">
    <mergeCell ref="I5:I6"/>
    <mergeCell ref="B59:C59"/>
    <mergeCell ref="B1:H1"/>
    <mergeCell ref="B2:H2"/>
    <mergeCell ref="B5:B6"/>
    <mergeCell ref="D5:D6"/>
    <mergeCell ref="B58:C58"/>
  </mergeCells>
  <hyperlinks>
    <hyperlink ref="I9" location="'1'!A1" display="'1'!A1"/>
    <hyperlink ref="I10" location="'2'!A1" display="'2'!A1"/>
    <hyperlink ref="I14" location="'3'!A1" display="'3'!A1"/>
    <hyperlink ref="I17" location="'4'!A1" display="'4'!A1"/>
    <hyperlink ref="I18" location="'5'!A1" display="'5'!A1"/>
    <hyperlink ref="I19" location="'6'!A1" display="'6'!A1"/>
    <hyperlink ref="I20" location="'7'!A1" display="'7'!A1"/>
    <hyperlink ref="I23" location="'8'!A1" display="'8'!A1"/>
    <hyperlink ref="I25" location="'9'!A1" display="'9'!A1"/>
    <hyperlink ref="I26" location="'10'!A1" display="'10'!A1"/>
    <hyperlink ref="I34" location="'11'!A1" display="'11'!A1"/>
    <hyperlink ref="I35" location="'12'!A1" display="'12'!A1"/>
    <hyperlink ref="I38" location="'13'!A1" display="'13'!A1"/>
    <hyperlink ref="I40" location="'14'!A1" display="'14'!A1"/>
    <hyperlink ref="I41" location="'15'!A1" display="'15'!A1"/>
    <hyperlink ref="I44" location="'16'!A1" display="'16'!A1"/>
    <hyperlink ref="I45" location="'17'!A1" display="'17'!A1"/>
    <hyperlink ref="I46" location="'18'!A1" display="'18'!A1"/>
    <hyperlink ref="I47" location="'19'!A1" display="'19'!A1"/>
    <hyperlink ref="I48" location="'20'!A1" display="'20'!A1"/>
    <hyperlink ref="I49" location="'21'!A1" display="'21'!A1"/>
    <hyperlink ref="I54" location="'34'!A1" display="'34'!A1"/>
  </hyperlinks>
  <pageMargins left="0.95" right="0.7" top="0.5" bottom="0.25" header="0.3" footer="0.3"/>
  <pageSetup scale="85" orientation="portrait" r:id="rId1"/>
</worksheet>
</file>

<file path=xl/worksheets/sheet15.xml><?xml version="1.0" encoding="utf-8"?>
<worksheet xmlns="http://schemas.openxmlformats.org/spreadsheetml/2006/main" xmlns:r="http://schemas.openxmlformats.org/officeDocument/2006/relationships">
  <sheetPr codeName="Sheet2">
    <tabColor rgb="FFFFC000"/>
    <pageSetUpPr fitToPage="1"/>
  </sheetPr>
  <dimension ref="B1:Q71"/>
  <sheetViews>
    <sheetView view="pageBreakPreview" topLeftCell="A31" zoomScaleSheetLayoutView="100" workbookViewId="0">
      <selection activeCell="F59" sqref="F59"/>
    </sheetView>
  </sheetViews>
  <sheetFormatPr defaultRowHeight="15"/>
  <cols>
    <col min="1" max="1" width="2.42578125" customWidth="1"/>
    <col min="2" max="2" width="46" customWidth="1"/>
    <col min="3" max="3" width="0.85546875" customWidth="1"/>
    <col min="4" max="4" width="7.7109375" customWidth="1"/>
    <col min="5" max="5" width="0.85546875" customWidth="1"/>
    <col min="6" max="6" width="18.7109375" customWidth="1"/>
    <col min="7" max="7" width="0.85546875" customWidth="1"/>
    <col min="8" max="8" width="18.7109375" customWidth="1"/>
    <col min="9" max="9" width="9.140625" style="768"/>
    <col min="10" max="17" width="9.140625" style="745"/>
    <col min="238" max="238" width="46" customWidth="1"/>
    <col min="239" max="239" width="0.85546875" customWidth="1"/>
    <col min="240" max="240" width="7.7109375" customWidth="1"/>
    <col min="241" max="241" width="0.85546875" customWidth="1"/>
    <col min="242" max="242" width="18.7109375" customWidth="1"/>
    <col min="243" max="243" width="0.85546875" customWidth="1"/>
    <col min="244" max="244" width="18.7109375" customWidth="1"/>
  </cols>
  <sheetData>
    <row r="1" spans="2:17" ht="18.75">
      <c r="B1" s="913" t="str">
        <f>master!B2</f>
        <v>ABC LTD</v>
      </c>
      <c r="C1" s="913"/>
      <c r="D1" s="913"/>
      <c r="E1" s="913"/>
      <c r="F1" s="913"/>
      <c r="G1" s="913"/>
      <c r="H1" s="913"/>
    </row>
    <row r="2" spans="2:17" s="1" customFormat="1" ht="15.75" thickBot="1">
      <c r="B2" s="914" t="str">
        <f>CONCATENATE("Profit /Loss for the period ending ",F4)</f>
        <v>Profit /Loss for the period ending 31/03/2012</v>
      </c>
      <c r="C2" s="914"/>
      <c r="D2" s="914"/>
      <c r="E2" s="914"/>
      <c r="F2" s="914"/>
      <c r="G2" s="914"/>
      <c r="H2" s="914"/>
      <c r="I2" s="769"/>
      <c r="J2" s="747"/>
      <c r="K2" s="747"/>
      <c r="L2" s="747"/>
      <c r="M2" s="747"/>
      <c r="N2" s="747"/>
      <c r="O2" s="747"/>
      <c r="P2" s="747"/>
      <c r="Q2" s="747"/>
    </row>
    <row r="3" spans="2:17" s="1" customFormat="1" ht="12.75">
      <c r="H3" s="28"/>
      <c r="I3" s="769"/>
      <c r="J3" s="747"/>
      <c r="K3" s="747"/>
      <c r="L3" s="747"/>
      <c r="M3" s="747"/>
      <c r="N3" s="747"/>
      <c r="O3" s="747"/>
      <c r="P3" s="747"/>
      <c r="Q3" s="747"/>
    </row>
    <row r="4" spans="2:17" s="1" customFormat="1" ht="12.75">
      <c r="B4" s="916"/>
      <c r="C4" s="5"/>
      <c r="D4" s="916" t="s">
        <v>0</v>
      </c>
      <c r="E4" s="5"/>
      <c r="F4" s="29" t="str">
        <f>BS!F5</f>
        <v>31/03/2012</v>
      </c>
      <c r="G4" s="6"/>
      <c r="H4" s="29" t="str">
        <f>BS!H5</f>
        <v>31/03/2011</v>
      </c>
      <c r="I4" s="769" t="s">
        <v>1685</v>
      </c>
      <c r="J4" s="747"/>
      <c r="K4" s="747"/>
      <c r="L4" s="747"/>
      <c r="M4" s="747"/>
      <c r="N4" s="747"/>
      <c r="O4" s="747"/>
      <c r="P4" s="747"/>
      <c r="Q4" s="747"/>
    </row>
    <row r="5" spans="2:17" s="1" customFormat="1" ht="13.5" thickBot="1">
      <c r="B5" s="917"/>
      <c r="C5" s="30"/>
      <c r="D5" s="917"/>
      <c r="E5" s="30"/>
      <c r="F5" s="31" t="s">
        <v>1</v>
      </c>
      <c r="G5" s="31"/>
      <c r="H5" s="31" t="s">
        <v>1</v>
      </c>
      <c r="I5" s="769"/>
      <c r="J5" s="747"/>
      <c r="K5" s="747"/>
      <c r="L5" s="747"/>
      <c r="M5" s="747"/>
      <c r="N5" s="747"/>
      <c r="O5" s="747"/>
      <c r="P5" s="747"/>
      <c r="Q5" s="747"/>
    </row>
    <row r="6" spans="2:17" s="1" customFormat="1" ht="15.75">
      <c r="B6" s="180" t="s">
        <v>42</v>
      </c>
      <c r="C6" s="173"/>
      <c r="D6" s="174"/>
      <c r="E6" s="173"/>
      <c r="F6" s="175"/>
      <c r="G6" s="175"/>
      <c r="H6" s="175"/>
      <c r="I6" s="769"/>
      <c r="J6" s="747"/>
      <c r="K6" s="747"/>
      <c r="L6" s="747"/>
      <c r="M6" s="747"/>
      <c r="N6" s="747"/>
      <c r="O6" s="747"/>
      <c r="P6" s="747"/>
      <c r="Q6" s="747"/>
    </row>
    <row r="7" spans="2:17" s="1" customFormat="1" ht="3" customHeight="1">
      <c r="B7" s="180"/>
      <c r="C7" s="173"/>
      <c r="D7" s="174"/>
      <c r="E7" s="173"/>
      <c r="F7" s="175"/>
      <c r="G7" s="175"/>
      <c r="H7" s="175"/>
      <c r="I7" s="769"/>
      <c r="J7" s="747"/>
      <c r="K7" s="747"/>
      <c r="L7" s="747"/>
      <c r="M7" s="747"/>
      <c r="N7" s="747"/>
      <c r="O7" s="747"/>
      <c r="P7" s="747"/>
      <c r="Q7" s="747"/>
    </row>
    <row r="8" spans="2:17" s="1" customFormat="1" ht="12.75">
      <c r="B8" s="8" t="s">
        <v>43</v>
      </c>
      <c r="C8" s="8"/>
      <c r="D8" s="181">
        <f>MAX(BS!D$10,BS!D$14,BS!D$17,BS!D$18,BS!D$19,BS!D$20,BS!D$23,BS!D$25,BS!D$26,BS!D$34,BS!D$35,BS!D$38,BS!D$40,BS!D$41,BS!D$44,BS!D$45,BS!D$46,BS!D$47,BS!D$48,BS!D$49)</f>
        <v>2</v>
      </c>
      <c r="E8" s="2"/>
      <c r="F8" s="4"/>
      <c r="G8" s="2"/>
      <c r="H8" s="2"/>
      <c r="I8" s="769"/>
      <c r="J8" s="747"/>
      <c r="K8" s="747"/>
      <c r="L8" s="747"/>
      <c r="M8" s="747"/>
      <c r="N8" s="747"/>
      <c r="O8" s="747"/>
      <c r="P8" s="747"/>
      <c r="Q8" s="747"/>
    </row>
    <row r="9" spans="2:17" s="1" customFormat="1" ht="12.75">
      <c r="B9" s="2" t="s">
        <v>44</v>
      </c>
      <c r="C9" s="8"/>
      <c r="D9" s="16" t="str">
        <f>IF((F9+H9)&gt;0,D8+1," ")</f>
        <v xml:space="preserve"> </v>
      </c>
      <c r="E9" s="2"/>
      <c r="F9" s="11">
        <f>'22'!E38:E38</f>
        <v>0</v>
      </c>
      <c r="G9" s="2"/>
      <c r="H9" s="11">
        <f>'22'!F38</f>
        <v>0</v>
      </c>
      <c r="I9" s="770">
        <v>22</v>
      </c>
      <c r="J9" s="747"/>
      <c r="K9" s="747"/>
      <c r="L9" s="747"/>
      <c r="M9" s="747"/>
      <c r="N9" s="747"/>
      <c r="O9" s="747"/>
      <c r="P9" s="747"/>
      <c r="Q9" s="747"/>
    </row>
    <row r="10" spans="2:17" s="1" customFormat="1" ht="12.75">
      <c r="B10" s="2" t="s">
        <v>45</v>
      </c>
      <c r="C10" s="8"/>
      <c r="D10" s="16"/>
      <c r="E10" s="2"/>
      <c r="F10" s="19">
        <f>TB!B546</f>
        <v>0</v>
      </c>
      <c r="G10" s="2"/>
      <c r="H10" s="144">
        <f>TB!D546</f>
        <v>0</v>
      </c>
      <c r="I10" s="769"/>
      <c r="J10" s="747"/>
      <c r="K10" s="747"/>
      <c r="L10" s="747"/>
      <c r="M10" s="747"/>
      <c r="N10" s="747"/>
      <c r="O10" s="747"/>
      <c r="P10" s="747"/>
      <c r="Q10" s="747"/>
    </row>
    <row r="11" spans="2:17" s="1" customFormat="1" ht="12.75">
      <c r="B11" s="2" t="s">
        <v>46</v>
      </c>
      <c r="C11" s="8"/>
      <c r="D11" s="16"/>
      <c r="E11" s="2"/>
      <c r="F11" s="11">
        <f>F9-F10</f>
        <v>0</v>
      </c>
      <c r="G11" s="2"/>
      <c r="H11" s="11">
        <f>H9-H10</f>
        <v>0</v>
      </c>
      <c r="I11" s="769"/>
      <c r="J11" s="747"/>
      <c r="K11" s="747"/>
      <c r="L11" s="747"/>
      <c r="M11" s="747"/>
      <c r="N11" s="747"/>
      <c r="O11" s="747"/>
      <c r="P11" s="747"/>
      <c r="Q11" s="747"/>
    </row>
    <row r="12" spans="2:17" s="1" customFormat="1" ht="12.75">
      <c r="B12" s="2" t="s">
        <v>1669</v>
      </c>
      <c r="C12" s="8"/>
      <c r="D12" s="16" t="str">
        <f>IF((F12+H12)&gt;0,MAX(D$9,D$8)+1," ")</f>
        <v xml:space="preserve"> </v>
      </c>
      <c r="E12" s="2"/>
      <c r="F12" s="149">
        <f>'26'!D28</f>
        <v>0</v>
      </c>
      <c r="G12" s="2"/>
      <c r="H12" s="149">
        <f>'26'!E28</f>
        <v>0</v>
      </c>
      <c r="I12" s="770">
        <v>26</v>
      </c>
      <c r="J12" s="747"/>
      <c r="K12" s="747"/>
      <c r="L12" s="747"/>
      <c r="M12" s="747"/>
      <c r="N12" s="747"/>
      <c r="O12" s="747"/>
      <c r="P12" s="747"/>
      <c r="Q12" s="747"/>
    </row>
    <row r="13" spans="2:17" s="1" customFormat="1" ht="12.75">
      <c r="B13" s="13" t="s">
        <v>47</v>
      </c>
      <c r="C13" s="2"/>
      <c r="D13" s="16" t="str">
        <f>IF((F13+H13)&gt;0,MAX(D$12,D$9,D$8)+1," ")</f>
        <v xml:space="preserve"> </v>
      </c>
      <c r="E13" s="2"/>
      <c r="F13" s="19">
        <f>'23'!C19</f>
        <v>0</v>
      </c>
      <c r="G13" s="2"/>
      <c r="H13" s="19">
        <f>'23'!D19</f>
        <v>0</v>
      </c>
      <c r="I13" s="770">
        <v>23</v>
      </c>
      <c r="J13" s="747"/>
      <c r="K13" s="747"/>
      <c r="L13" s="747"/>
      <c r="M13" s="747"/>
      <c r="N13" s="747"/>
      <c r="O13" s="747"/>
      <c r="P13" s="747"/>
      <c r="Q13" s="747"/>
    </row>
    <row r="14" spans="2:17" s="1" customFormat="1" ht="13.5" thickBot="1">
      <c r="B14" s="20" t="s">
        <v>48</v>
      </c>
      <c r="C14" s="8"/>
      <c r="D14" s="21"/>
      <c r="E14" s="8"/>
      <c r="F14" s="22">
        <f>F11+F13+F12</f>
        <v>0</v>
      </c>
      <c r="G14" s="8"/>
      <c r="H14" s="22">
        <f>H11+H13+H12</f>
        <v>0</v>
      </c>
      <c r="I14" s="769"/>
      <c r="J14" s="747"/>
      <c r="K14" s="747"/>
      <c r="L14" s="747"/>
      <c r="M14" s="747"/>
      <c r="N14" s="747"/>
      <c r="O14" s="747"/>
      <c r="P14" s="747"/>
      <c r="Q14" s="747"/>
    </row>
    <row r="15" spans="2:17" s="1" customFormat="1" ht="13.5" thickTop="1">
      <c r="B15" s="8"/>
      <c r="C15" s="8"/>
      <c r="D15" s="16"/>
      <c r="E15" s="2"/>
      <c r="F15" s="12"/>
      <c r="G15" s="2"/>
      <c r="H15" s="12"/>
      <c r="I15" s="769"/>
      <c r="J15" s="747"/>
      <c r="K15" s="747"/>
      <c r="L15" s="747"/>
      <c r="M15" s="747"/>
      <c r="N15" s="747"/>
      <c r="O15" s="747"/>
      <c r="P15" s="747"/>
      <c r="Q15" s="747"/>
    </row>
    <row r="16" spans="2:17" s="1" customFormat="1" ht="12.75">
      <c r="B16" s="8" t="s">
        <v>49</v>
      </c>
      <c r="C16" s="2"/>
      <c r="D16" s="16"/>
      <c r="E16" s="2"/>
      <c r="F16" s="17"/>
      <c r="G16" s="2"/>
      <c r="H16" s="17"/>
      <c r="I16" s="769"/>
      <c r="J16" s="747"/>
      <c r="K16" s="747"/>
      <c r="L16" s="747"/>
      <c r="M16" s="747"/>
      <c r="N16" s="747"/>
      <c r="O16" s="747"/>
      <c r="P16" s="747"/>
      <c r="Q16" s="747"/>
    </row>
    <row r="17" spans="2:17" s="1" customFormat="1" ht="12.75">
      <c r="B17" s="2" t="s">
        <v>50</v>
      </c>
      <c r="C17" s="2"/>
      <c r="D17" s="16" t="str">
        <f>IF((F17+H17)&gt;0,MAX(D$13,D$9,D$8)+1," ")</f>
        <v xml:space="preserve"> </v>
      </c>
      <c r="E17" s="2"/>
      <c r="F17" s="12">
        <f>'24'!E34:E34</f>
        <v>0</v>
      </c>
      <c r="G17" s="2"/>
      <c r="H17" s="12">
        <f>'24'!F34</f>
        <v>0</v>
      </c>
      <c r="I17" s="770">
        <v>24</v>
      </c>
      <c r="J17" s="747"/>
      <c r="K17" s="747"/>
      <c r="L17" s="747"/>
      <c r="M17" s="747"/>
      <c r="N17" s="747"/>
      <c r="O17" s="747"/>
      <c r="P17" s="747"/>
      <c r="Q17" s="747"/>
    </row>
    <row r="18" spans="2:17" s="1" customFormat="1" ht="12.75">
      <c r="B18" s="2" t="s">
        <v>51</v>
      </c>
      <c r="C18" s="2"/>
      <c r="D18" s="16" t="str">
        <f>IF((F18+H18)&gt;0,MAX(D$17,D$13,D$9,D$8)+1," ")</f>
        <v xml:space="preserve"> </v>
      </c>
      <c r="E18" s="2"/>
      <c r="F18" s="12">
        <f>'25'!F9</f>
        <v>0</v>
      </c>
      <c r="G18" s="2"/>
      <c r="H18" s="89">
        <f>'25'!G9</f>
        <v>0</v>
      </c>
      <c r="I18" s="770">
        <v>25</v>
      </c>
      <c r="J18" s="747"/>
      <c r="K18" s="747"/>
      <c r="L18" s="747"/>
      <c r="M18" s="747"/>
      <c r="N18" s="747"/>
      <c r="O18" s="747"/>
      <c r="P18" s="747"/>
      <c r="Q18" s="747"/>
    </row>
    <row r="19" spans="2:17" s="1" customFormat="1" ht="12.75">
      <c r="B19" s="2" t="s">
        <v>1670</v>
      </c>
      <c r="C19" s="2"/>
      <c r="D19" s="16" t="str">
        <f>IF(D12&gt;0,D12,IF((F19+H19)&gt;0,MAX(D$18,D$17,D$13,D$9,D$8)+1," "))</f>
        <v xml:space="preserve"> </v>
      </c>
      <c r="E19" s="2"/>
      <c r="F19" s="12">
        <f>'26'!D29</f>
        <v>0</v>
      </c>
      <c r="G19" s="2"/>
      <c r="H19" s="89">
        <f>'26'!E29</f>
        <v>0</v>
      </c>
      <c r="I19" s="770">
        <v>26</v>
      </c>
      <c r="J19" s="747"/>
      <c r="K19" s="747"/>
      <c r="L19" s="747"/>
      <c r="M19" s="747"/>
      <c r="N19" s="747"/>
      <c r="O19" s="747"/>
      <c r="P19" s="747"/>
      <c r="Q19" s="747"/>
    </row>
    <row r="20" spans="2:17" s="1" customFormat="1" ht="12.75">
      <c r="B20" s="2" t="s">
        <v>52</v>
      </c>
      <c r="C20" s="2"/>
      <c r="D20" s="16" t="str">
        <f>IF((F20+H20)&gt;0,MAX(D$19,D$18,D$17,D$13,D$9,D$8)+1," ")</f>
        <v xml:space="preserve"> </v>
      </c>
      <c r="E20" s="2"/>
      <c r="F20" s="12">
        <f>'27'!D23</f>
        <v>0</v>
      </c>
      <c r="G20" s="2"/>
      <c r="H20" s="12">
        <f>'27'!E23</f>
        <v>0</v>
      </c>
      <c r="I20" s="770">
        <v>27</v>
      </c>
      <c r="J20" s="747"/>
      <c r="K20" s="747"/>
      <c r="L20" s="747"/>
      <c r="M20" s="747"/>
      <c r="N20" s="747"/>
      <c r="O20" s="747"/>
      <c r="P20" s="747"/>
      <c r="Q20" s="747"/>
    </row>
    <row r="21" spans="2:17" s="1" customFormat="1" ht="12.75">
      <c r="B21" s="2" t="s">
        <v>53</v>
      </c>
      <c r="C21" s="2"/>
      <c r="D21" s="16" t="str">
        <f>IF((F21+H21)&gt;0,MAX(D$20,D$19,D$18,D$17,D$13,D$9,D$8)+1," ")</f>
        <v xml:space="preserve"> </v>
      </c>
      <c r="E21" s="2"/>
      <c r="F21" s="12">
        <f>'28'!E13</f>
        <v>0</v>
      </c>
      <c r="G21" s="2"/>
      <c r="H21" s="12">
        <f>'28'!F13</f>
        <v>0</v>
      </c>
      <c r="I21" s="770">
        <v>28</v>
      </c>
      <c r="J21" s="747"/>
      <c r="K21" s="747"/>
      <c r="L21" s="747"/>
      <c r="M21" s="747"/>
      <c r="N21" s="747"/>
      <c r="O21" s="747"/>
      <c r="P21" s="747"/>
      <c r="Q21" s="747"/>
    </row>
    <row r="22" spans="2:17" s="1" customFormat="1" ht="12.75">
      <c r="B22" s="2" t="s">
        <v>54</v>
      </c>
      <c r="C22" s="2"/>
      <c r="D22" s="16" t="str">
        <f>IF((F22+H22)&gt;0,MAX(D$21,D$20,D$19,D$18,D$17,D$13,D$9,D$8)+1," ")</f>
        <v xml:space="preserve"> </v>
      </c>
      <c r="E22" s="2"/>
      <c r="F22" s="12">
        <f>'29'!F10</f>
        <v>0</v>
      </c>
      <c r="G22" s="2"/>
      <c r="H22" s="12">
        <f>'29'!G10</f>
        <v>0</v>
      </c>
      <c r="I22" s="770">
        <v>29</v>
      </c>
      <c r="J22" s="747"/>
      <c r="K22" s="747"/>
      <c r="L22" s="747"/>
      <c r="M22" s="747"/>
      <c r="N22" s="747"/>
      <c r="O22" s="747"/>
      <c r="P22" s="747"/>
      <c r="Q22" s="747"/>
    </row>
    <row r="23" spans="2:17" s="1" customFormat="1" ht="12.75">
      <c r="B23" s="2" t="s">
        <v>55</v>
      </c>
      <c r="C23" s="2"/>
      <c r="D23" s="16" t="str">
        <f>IF((F23+H23)&gt;0,MAX(D$22,D$21,D$20,D$19,D$18,D$17,D$13,D$9,D$8)+1," ")</f>
        <v xml:space="preserve"> </v>
      </c>
      <c r="E23" s="2"/>
      <c r="F23" s="12">
        <f>'30'!C81</f>
        <v>0</v>
      </c>
      <c r="G23" s="2"/>
      <c r="H23" s="12">
        <f>'30'!D81</f>
        <v>0</v>
      </c>
      <c r="I23" s="770">
        <v>30</v>
      </c>
      <c r="J23" s="747"/>
      <c r="K23" s="747"/>
      <c r="L23" s="747"/>
      <c r="M23" s="747"/>
      <c r="N23" s="747"/>
      <c r="O23" s="747"/>
      <c r="P23" s="747"/>
      <c r="Q23" s="747"/>
    </row>
    <row r="24" spans="2:17" s="1" customFormat="1" ht="13.5" thickBot="1">
      <c r="B24" s="20" t="s">
        <v>56</v>
      </c>
      <c r="C24" s="8"/>
      <c r="D24" s="21"/>
      <c r="E24" s="8"/>
      <c r="F24" s="22">
        <f>SUM(F17:F23)</f>
        <v>0</v>
      </c>
      <c r="G24" s="8"/>
      <c r="H24" s="22">
        <f>SUM(H17:H23)</f>
        <v>0</v>
      </c>
      <c r="I24" s="769"/>
      <c r="J24" s="747"/>
      <c r="K24" s="747"/>
      <c r="L24" s="747"/>
      <c r="M24" s="747"/>
      <c r="N24" s="747"/>
      <c r="O24" s="747"/>
      <c r="P24" s="747"/>
      <c r="Q24" s="747"/>
    </row>
    <row r="25" spans="2:17" s="1" customFormat="1" ht="13.5" thickTop="1">
      <c r="B25" s="2"/>
      <c r="C25" s="2"/>
      <c r="D25" s="16"/>
      <c r="E25" s="2"/>
      <c r="F25" s="17"/>
      <c r="G25" s="2"/>
      <c r="H25" s="17"/>
      <c r="I25" s="769"/>
      <c r="J25" s="747"/>
      <c r="K25" s="747"/>
      <c r="L25" s="747"/>
      <c r="M25" s="747"/>
      <c r="N25" s="747"/>
      <c r="O25" s="747"/>
      <c r="P25" s="747"/>
      <c r="Q25" s="747"/>
    </row>
    <row r="26" spans="2:17" s="1" customFormat="1" ht="12.75">
      <c r="B26" s="8" t="s">
        <v>57</v>
      </c>
      <c r="C26" s="2"/>
      <c r="D26" s="16"/>
      <c r="E26" s="2"/>
      <c r="F26" s="17">
        <f>F14-F24</f>
        <v>0</v>
      </c>
      <c r="G26" s="2"/>
      <c r="H26" s="17">
        <f>H14-H24</f>
        <v>0</v>
      </c>
      <c r="I26" s="769"/>
      <c r="J26" s="747"/>
      <c r="K26" s="747"/>
      <c r="L26" s="747"/>
      <c r="M26" s="747"/>
      <c r="N26" s="747"/>
      <c r="O26" s="747"/>
      <c r="P26" s="747"/>
      <c r="Q26" s="747"/>
    </row>
    <row r="27" spans="2:17" s="1" customFormat="1" ht="12.75">
      <c r="B27" s="2" t="s">
        <v>58</v>
      </c>
      <c r="C27" s="2"/>
      <c r="D27" s="16"/>
      <c r="E27" s="2"/>
      <c r="F27" s="12">
        <f>TB!C758</f>
        <v>0</v>
      </c>
      <c r="G27" s="2"/>
      <c r="H27" s="89">
        <f>TB!E758</f>
        <v>0</v>
      </c>
      <c r="I27" s="769"/>
      <c r="J27" s="747"/>
      <c r="K27" s="747"/>
      <c r="L27" s="747"/>
      <c r="M27" s="747"/>
      <c r="N27" s="747"/>
      <c r="O27" s="747"/>
      <c r="P27" s="747"/>
      <c r="Q27" s="747"/>
    </row>
    <row r="28" spans="2:17" s="1" customFormat="1" ht="12.75">
      <c r="B28" s="13"/>
      <c r="C28" s="2"/>
      <c r="D28" s="14"/>
      <c r="E28" s="2"/>
      <c r="F28" s="19"/>
      <c r="G28" s="2"/>
      <c r="H28" s="19"/>
      <c r="I28" s="769"/>
      <c r="J28" s="747"/>
      <c r="K28" s="747"/>
      <c r="L28" s="747"/>
      <c r="M28" s="747"/>
      <c r="N28" s="747"/>
      <c r="O28" s="747"/>
      <c r="P28" s="747"/>
      <c r="Q28" s="747"/>
    </row>
    <row r="29" spans="2:17" s="1" customFormat="1" ht="12.75">
      <c r="B29" s="8" t="s">
        <v>59</v>
      </c>
      <c r="C29" s="2"/>
      <c r="D29" s="16"/>
      <c r="E29" s="2"/>
      <c r="F29" s="17">
        <f>F26+F27</f>
        <v>0</v>
      </c>
      <c r="G29" s="2"/>
      <c r="H29" s="17">
        <f>H26+H27</f>
        <v>0</v>
      </c>
      <c r="I29" s="769"/>
      <c r="J29" s="747"/>
      <c r="K29" s="747"/>
      <c r="L29" s="747"/>
      <c r="M29" s="747"/>
      <c r="N29" s="747"/>
      <c r="O29" s="747"/>
      <c r="P29" s="747"/>
      <c r="Q29" s="747"/>
    </row>
    <row r="30" spans="2:17" s="1" customFormat="1" ht="12.75">
      <c r="B30" s="2" t="s">
        <v>60</v>
      </c>
      <c r="C30" s="2"/>
      <c r="D30" s="16"/>
      <c r="E30" s="2"/>
      <c r="F30" s="89">
        <f>TB!C759</f>
        <v>0</v>
      </c>
      <c r="G30" s="2"/>
      <c r="H30" s="89">
        <f>TB!E759</f>
        <v>0</v>
      </c>
      <c r="I30" s="769"/>
      <c r="J30" s="747"/>
      <c r="K30" s="747"/>
      <c r="L30" s="747"/>
      <c r="M30" s="747"/>
      <c r="N30" s="747"/>
      <c r="O30" s="747"/>
      <c r="P30" s="747"/>
      <c r="Q30" s="747"/>
    </row>
    <row r="31" spans="2:17" s="1" customFormat="1" ht="12.75">
      <c r="B31" s="2" t="s">
        <v>61</v>
      </c>
      <c r="C31" s="2"/>
      <c r="D31" s="16"/>
      <c r="E31" s="2"/>
      <c r="F31" s="89">
        <f>TB!C760</f>
        <v>0</v>
      </c>
      <c r="G31" s="2"/>
      <c r="H31" s="89">
        <f>TB!E760</f>
        <v>0</v>
      </c>
      <c r="I31" s="769"/>
      <c r="J31" s="747"/>
      <c r="K31" s="747"/>
      <c r="L31" s="747"/>
      <c r="M31" s="747"/>
      <c r="N31" s="747"/>
      <c r="O31" s="747"/>
      <c r="P31" s="747"/>
      <c r="Q31" s="747"/>
    </row>
    <row r="32" spans="2:17" s="1" customFormat="1" ht="12.75">
      <c r="B32" s="13"/>
      <c r="C32" s="2"/>
      <c r="D32" s="14"/>
      <c r="E32" s="2"/>
      <c r="F32" s="19"/>
      <c r="G32" s="2"/>
      <c r="H32" s="19"/>
      <c r="I32" s="769"/>
      <c r="J32" s="747"/>
      <c r="K32" s="747"/>
      <c r="L32" s="747"/>
      <c r="M32" s="747"/>
      <c r="N32" s="747"/>
      <c r="O32" s="747"/>
      <c r="P32" s="747"/>
      <c r="Q32" s="747"/>
    </row>
    <row r="33" spans="2:17" s="1" customFormat="1" ht="12.75">
      <c r="B33" s="8" t="s">
        <v>62</v>
      </c>
      <c r="C33" s="2"/>
      <c r="D33" s="16"/>
      <c r="E33" s="2"/>
      <c r="F33" s="17">
        <f>F29+F30+F31</f>
        <v>0</v>
      </c>
      <c r="G33" s="17">
        <f>G29+G30+G31</f>
        <v>0</v>
      </c>
      <c r="H33" s="17">
        <f>H29+H30+H31</f>
        <v>0</v>
      </c>
      <c r="I33" s="769"/>
      <c r="J33" s="747"/>
      <c r="K33" s="747"/>
      <c r="L33" s="747"/>
      <c r="M33" s="747"/>
      <c r="N33" s="747"/>
      <c r="O33" s="747"/>
      <c r="P33" s="747"/>
      <c r="Q33" s="747"/>
    </row>
    <row r="34" spans="2:17" s="1" customFormat="1" ht="12.75">
      <c r="B34" s="2" t="s">
        <v>63</v>
      </c>
      <c r="C34" s="2"/>
      <c r="D34" s="16" t="str">
        <f>IF((F34+H34)&gt;0,MAX(D$23,D$22,D$21,D$20,D$19,D$18,D$17,D$13,D$9,D$8)+1," ")</f>
        <v xml:space="preserve"> </v>
      </c>
      <c r="E34" s="2"/>
      <c r="F34" s="17">
        <f>'31'!E10</f>
        <v>0</v>
      </c>
      <c r="G34" s="2"/>
      <c r="H34" s="17">
        <f>'31'!F10</f>
        <v>0</v>
      </c>
      <c r="I34" s="770">
        <v>31</v>
      </c>
      <c r="J34" s="747"/>
      <c r="K34" s="747"/>
      <c r="L34" s="747"/>
      <c r="M34" s="747"/>
      <c r="N34" s="747"/>
      <c r="O34" s="747"/>
      <c r="P34" s="747"/>
      <c r="Q34" s="747"/>
    </row>
    <row r="35" spans="2:17" s="1" customFormat="1" ht="12.75">
      <c r="B35" s="13"/>
      <c r="C35" s="2"/>
      <c r="D35" s="14"/>
      <c r="E35" s="2"/>
      <c r="F35" s="19"/>
      <c r="G35" s="2"/>
      <c r="H35" s="19"/>
      <c r="I35" s="769"/>
      <c r="J35" s="747"/>
      <c r="K35" s="747"/>
      <c r="L35" s="747"/>
      <c r="M35" s="747"/>
      <c r="N35" s="747"/>
      <c r="O35" s="747"/>
      <c r="P35" s="747"/>
      <c r="Q35" s="747"/>
    </row>
    <row r="36" spans="2:17" s="1" customFormat="1" ht="12.75">
      <c r="B36" s="32" t="s">
        <v>64</v>
      </c>
      <c r="C36" s="2"/>
      <c r="D36" s="33"/>
      <c r="E36" s="2"/>
      <c r="F36" s="15">
        <f>F33-F34</f>
        <v>0</v>
      </c>
      <c r="G36" s="2"/>
      <c r="H36" s="15">
        <f>H33-H34</f>
        <v>0</v>
      </c>
      <c r="I36" s="769"/>
      <c r="J36" s="747"/>
      <c r="K36" s="747"/>
      <c r="L36" s="747"/>
      <c r="M36" s="747"/>
      <c r="N36" s="747"/>
      <c r="O36" s="747"/>
      <c r="P36" s="747"/>
      <c r="Q36" s="747"/>
    </row>
    <row r="37" spans="2:17" s="1" customFormat="1" ht="12.75">
      <c r="B37" s="8"/>
      <c r="C37" s="2"/>
      <c r="D37" s="16"/>
      <c r="E37" s="2"/>
      <c r="F37" s="17"/>
      <c r="G37" s="2"/>
      <c r="H37" s="17"/>
      <c r="I37" s="769"/>
      <c r="J37" s="747"/>
      <c r="K37" s="747"/>
      <c r="L37" s="747"/>
      <c r="M37" s="747"/>
      <c r="N37" s="747"/>
      <c r="O37" s="747"/>
      <c r="P37" s="747"/>
      <c r="Q37" s="747"/>
    </row>
    <row r="38" spans="2:17" s="1" customFormat="1" ht="15.75">
      <c r="B38" s="176" t="s">
        <v>65</v>
      </c>
      <c r="C38" s="177"/>
      <c r="D38" s="178"/>
      <c r="E38" s="177"/>
      <c r="F38" s="179"/>
      <c r="G38" s="177"/>
      <c r="H38" s="179"/>
      <c r="I38" s="769"/>
      <c r="J38" s="747"/>
      <c r="K38" s="747"/>
      <c r="L38" s="747"/>
      <c r="M38" s="747"/>
      <c r="N38" s="747"/>
      <c r="O38" s="747"/>
      <c r="P38" s="747"/>
      <c r="Q38" s="747"/>
    </row>
    <row r="39" spans="2:17" s="1" customFormat="1" ht="2.25" customHeight="1">
      <c r="B39" s="176"/>
      <c r="C39" s="177"/>
      <c r="D39" s="178"/>
      <c r="E39" s="177"/>
      <c r="F39" s="179"/>
      <c r="G39" s="177"/>
      <c r="H39" s="179"/>
      <c r="I39" s="769"/>
      <c r="J39" s="747"/>
      <c r="K39" s="747"/>
      <c r="L39" s="747"/>
      <c r="M39" s="747"/>
      <c r="N39" s="747"/>
      <c r="O39" s="747"/>
      <c r="P39" s="747"/>
      <c r="Q39" s="747"/>
    </row>
    <row r="40" spans="2:17" s="1" customFormat="1" ht="12.75">
      <c r="B40" s="2" t="s">
        <v>66</v>
      </c>
      <c r="C40" s="2"/>
      <c r="D40" s="16" t="str">
        <f>IF((F40+H40)&gt;0,MAX(D$34,D$23,D$22,D$21,D$20,D$19,D$18,D$17,D$13,D$9,D$8)+1," ")</f>
        <v xml:space="preserve"> </v>
      </c>
      <c r="E40" s="2"/>
      <c r="F40" s="12">
        <f>'32'!E9</f>
        <v>0</v>
      </c>
      <c r="G40" s="2"/>
      <c r="H40" s="12">
        <f>'32'!F9</f>
        <v>0</v>
      </c>
      <c r="I40" s="770">
        <v>32</v>
      </c>
      <c r="J40" s="747"/>
      <c r="K40" s="747"/>
      <c r="L40" s="747"/>
      <c r="M40" s="747"/>
      <c r="N40" s="747"/>
      <c r="O40" s="747"/>
      <c r="P40" s="747"/>
      <c r="Q40" s="747"/>
    </row>
    <row r="41" spans="2:17" s="1" customFormat="1" ht="12.75">
      <c r="B41" s="2" t="s">
        <v>67</v>
      </c>
      <c r="C41" s="2"/>
      <c r="D41" s="16"/>
      <c r="E41" s="2"/>
      <c r="F41" s="12"/>
      <c r="G41" s="2"/>
      <c r="H41" s="12"/>
      <c r="I41" s="769"/>
      <c r="J41" s="747"/>
      <c r="K41" s="747"/>
      <c r="L41" s="747"/>
      <c r="M41" s="747"/>
      <c r="N41" s="747"/>
      <c r="O41" s="747"/>
      <c r="P41" s="747"/>
      <c r="Q41" s="747"/>
    </row>
    <row r="42" spans="2:17" s="1" customFormat="1" ht="12.75">
      <c r="B42" s="32" t="s">
        <v>68</v>
      </c>
      <c r="C42" s="2"/>
      <c r="D42" s="33"/>
      <c r="E42" s="2"/>
      <c r="F42" s="15">
        <f>F40-F41</f>
        <v>0</v>
      </c>
      <c r="G42" s="2"/>
      <c r="H42" s="137">
        <f>H40-H41</f>
        <v>0</v>
      </c>
      <c r="I42" s="769"/>
      <c r="J42" s="747"/>
      <c r="K42" s="747"/>
      <c r="L42" s="747"/>
      <c r="M42" s="747"/>
      <c r="N42" s="747"/>
      <c r="O42" s="747"/>
      <c r="P42" s="747"/>
      <c r="Q42" s="747"/>
    </row>
    <row r="43" spans="2:17" s="1" customFormat="1" ht="12.75">
      <c r="B43" s="8"/>
      <c r="C43" s="2"/>
      <c r="D43" s="16"/>
      <c r="E43" s="2"/>
      <c r="F43" s="12"/>
      <c r="G43" s="2"/>
      <c r="H43" s="12"/>
      <c r="I43" s="769"/>
      <c r="J43" s="747"/>
      <c r="K43" s="747"/>
      <c r="L43" s="747"/>
      <c r="M43" s="747"/>
      <c r="N43" s="747"/>
      <c r="O43" s="747"/>
      <c r="P43" s="747"/>
      <c r="Q43" s="747"/>
    </row>
    <row r="44" spans="2:17" s="1" customFormat="1" ht="13.5" thickBot="1">
      <c r="B44" s="20" t="s">
        <v>69</v>
      </c>
      <c r="C44" s="8"/>
      <c r="D44" s="21"/>
      <c r="E44" s="8"/>
      <c r="F44" s="22">
        <f>F42+F36</f>
        <v>0</v>
      </c>
      <c r="G44" s="8"/>
      <c r="H44" s="22">
        <f>H42+H36</f>
        <v>0</v>
      </c>
      <c r="I44" s="769"/>
      <c r="J44" s="747"/>
      <c r="K44" s="747"/>
      <c r="L44" s="747"/>
      <c r="M44" s="747"/>
      <c r="N44" s="747"/>
      <c r="O44" s="747"/>
      <c r="P44" s="747"/>
      <c r="Q44" s="747"/>
    </row>
    <row r="45" spans="2:17" s="1" customFormat="1" ht="13.5" thickTop="1">
      <c r="B45" s="2"/>
      <c r="C45" s="2"/>
      <c r="D45" s="16"/>
      <c r="E45" s="2"/>
      <c r="F45" s="12"/>
      <c r="G45" s="2"/>
      <c r="H45" s="12"/>
      <c r="I45" s="769"/>
      <c r="J45" s="747"/>
      <c r="K45" s="747"/>
      <c r="L45" s="747"/>
      <c r="M45" s="747"/>
      <c r="N45" s="747"/>
      <c r="O45" s="747"/>
      <c r="P45" s="747"/>
      <c r="Q45" s="747"/>
    </row>
    <row r="46" spans="2:17" s="1" customFormat="1" ht="12.75">
      <c r="B46" s="8" t="s">
        <v>70</v>
      </c>
      <c r="C46" s="2"/>
      <c r="D46" s="16">
        <f>MAX(D$40,D$34,D$23,D$22,D$21,D$20,D$19,D$18,D$17,D$13,D$9,D$8)+1</f>
        <v>3</v>
      </c>
      <c r="E46" s="2"/>
      <c r="F46" s="17"/>
      <c r="G46" s="2"/>
      <c r="H46" s="17"/>
      <c r="I46" s="770">
        <v>33</v>
      </c>
      <c r="J46" s="747"/>
      <c r="K46" s="747"/>
      <c r="L46" s="747"/>
      <c r="M46" s="747"/>
      <c r="N46" s="747"/>
      <c r="O46" s="747"/>
      <c r="P46" s="747"/>
      <c r="Q46" s="747"/>
    </row>
    <row r="47" spans="2:17" s="1" customFormat="1" ht="12.75">
      <c r="B47" s="2" t="s">
        <v>71</v>
      </c>
      <c r="C47" s="2"/>
      <c r="D47" s="16"/>
      <c r="E47" s="2"/>
      <c r="F47" s="114">
        <f>F44/100000</f>
        <v>0</v>
      </c>
      <c r="G47" s="115"/>
      <c r="H47" s="114">
        <f>H44/100000</f>
        <v>0</v>
      </c>
      <c r="I47" s="769"/>
      <c r="J47" s="747"/>
      <c r="K47" s="747"/>
      <c r="L47" s="747"/>
      <c r="M47" s="747"/>
      <c r="N47" s="747"/>
      <c r="O47" s="747"/>
      <c r="P47" s="747"/>
      <c r="Q47" s="747"/>
    </row>
    <row r="48" spans="2:17" s="1" customFormat="1" ht="12.75">
      <c r="B48" s="2" t="s">
        <v>72</v>
      </c>
      <c r="C48" s="2"/>
      <c r="D48" s="16"/>
      <c r="E48" s="2"/>
      <c r="F48" s="114">
        <f>F44/105000</f>
        <v>0</v>
      </c>
      <c r="G48" s="115"/>
      <c r="H48" s="114">
        <f>H44/105000</f>
        <v>0</v>
      </c>
      <c r="I48" s="769"/>
      <c r="J48" s="747"/>
      <c r="K48" s="747"/>
      <c r="L48" s="747"/>
      <c r="M48" s="747"/>
      <c r="N48" s="747"/>
      <c r="O48" s="747"/>
      <c r="P48" s="747"/>
      <c r="Q48" s="747"/>
    </row>
    <row r="49" spans="2:17" s="1" customFormat="1" ht="12.75">
      <c r="B49" s="2" t="s">
        <v>73</v>
      </c>
      <c r="C49" s="2"/>
      <c r="D49" s="16"/>
      <c r="E49" s="2"/>
      <c r="F49" s="12">
        <v>10</v>
      </c>
      <c r="G49" s="2"/>
      <c r="H49" s="12">
        <v>10</v>
      </c>
      <c r="I49" s="769"/>
      <c r="J49" s="747"/>
      <c r="K49" s="747"/>
      <c r="L49" s="747"/>
      <c r="M49" s="747"/>
      <c r="N49" s="747"/>
      <c r="O49" s="747"/>
      <c r="P49" s="747"/>
      <c r="Q49" s="747"/>
    </row>
    <row r="50" spans="2:17" s="1" customFormat="1" ht="12.75">
      <c r="B50" s="2" t="s">
        <v>74</v>
      </c>
      <c r="C50" s="2"/>
      <c r="D50" s="16"/>
      <c r="E50" s="2"/>
      <c r="F50" s="12">
        <v>100000</v>
      </c>
      <c r="G50" s="2"/>
      <c r="H50" s="12">
        <v>100000</v>
      </c>
      <c r="I50" s="769"/>
      <c r="J50" s="747"/>
      <c r="K50" s="747"/>
      <c r="L50" s="747"/>
      <c r="M50" s="747"/>
      <c r="N50" s="747"/>
      <c r="O50" s="747"/>
      <c r="P50" s="747"/>
      <c r="Q50" s="747"/>
    </row>
    <row r="51" spans="2:17" s="1" customFormat="1" ht="12.75">
      <c r="B51" s="2" t="s">
        <v>75</v>
      </c>
      <c r="C51" s="2"/>
      <c r="D51" s="16"/>
      <c r="E51" s="2"/>
      <c r="F51" s="12">
        <v>5000</v>
      </c>
      <c r="G51" s="2"/>
      <c r="H51" s="12">
        <v>5000</v>
      </c>
      <c r="I51" s="769"/>
      <c r="J51" s="747"/>
      <c r="K51" s="747"/>
      <c r="L51" s="747"/>
      <c r="M51" s="747"/>
      <c r="N51" s="747"/>
      <c r="O51" s="747"/>
      <c r="P51" s="747"/>
      <c r="Q51" s="747"/>
    </row>
    <row r="52" spans="2:17" s="1" customFormat="1" ht="12.75">
      <c r="B52" s="2" t="s">
        <v>76</v>
      </c>
      <c r="C52" s="2"/>
      <c r="D52" s="16"/>
      <c r="E52" s="2"/>
      <c r="F52" s="12">
        <v>105000</v>
      </c>
      <c r="G52" s="2"/>
      <c r="H52" s="12">
        <v>105000</v>
      </c>
      <c r="I52" s="769"/>
      <c r="J52" s="747"/>
      <c r="K52" s="747"/>
      <c r="L52" s="747"/>
      <c r="M52" s="747"/>
      <c r="N52" s="747"/>
      <c r="O52" s="747"/>
      <c r="P52" s="747"/>
      <c r="Q52" s="747"/>
    </row>
    <row r="53" spans="2:17" s="1" customFormat="1" ht="13.5" thickBot="1">
      <c r="B53" s="25"/>
      <c r="C53" s="25"/>
      <c r="D53" s="35"/>
      <c r="E53" s="25"/>
      <c r="F53" s="27"/>
      <c r="G53" s="25"/>
      <c r="H53" s="25"/>
      <c r="I53" s="769"/>
      <c r="J53" s="747"/>
      <c r="K53" s="747"/>
      <c r="L53" s="747"/>
      <c r="M53" s="747"/>
      <c r="N53" s="747"/>
      <c r="O53" s="747"/>
      <c r="P53" s="747"/>
      <c r="Q53" s="747"/>
    </row>
    <row r="54" spans="2:17" s="1" customFormat="1" ht="12.75">
      <c r="I54" s="769"/>
      <c r="J54" s="747"/>
      <c r="K54" s="747"/>
      <c r="L54" s="747"/>
      <c r="M54" s="747"/>
      <c r="N54" s="747"/>
      <c r="O54" s="747"/>
      <c r="P54" s="747"/>
      <c r="Q54" s="747"/>
    </row>
    <row r="55" spans="2:17" s="1" customFormat="1" ht="12.75">
      <c r="B55" s="7" t="str">
        <f>BS!B58</f>
        <v>Auditors' Report</v>
      </c>
      <c r="I55" s="769"/>
      <c r="J55" s="747"/>
      <c r="K55" s="747"/>
      <c r="L55" s="747"/>
      <c r="M55" s="747"/>
      <c r="N55" s="747"/>
      <c r="O55" s="747"/>
      <c r="P55" s="747"/>
      <c r="Q55" s="747"/>
    </row>
    <row r="56" spans="2:17" s="1" customFormat="1" ht="12.75">
      <c r="B56" s="7" t="str">
        <f>BS!B59</f>
        <v>As per our report of even date attahed</v>
      </c>
      <c r="I56" s="769"/>
      <c r="J56" s="747"/>
      <c r="K56" s="747"/>
      <c r="L56" s="747"/>
      <c r="M56" s="747"/>
      <c r="N56" s="747"/>
      <c r="O56" s="747"/>
      <c r="P56" s="747"/>
      <c r="Q56" s="747"/>
    </row>
    <row r="57" spans="2:17" s="1" customFormat="1" ht="12.75">
      <c r="B57" s="7" t="str">
        <f>BS!B60</f>
        <v>For ABC &amp; CO</v>
      </c>
      <c r="F57" s="7" t="str">
        <f>BS!F60</f>
        <v>For and on behalf of the Board</v>
      </c>
      <c r="I57" s="769"/>
      <c r="J57" s="747"/>
      <c r="K57" s="747"/>
      <c r="L57" s="747"/>
      <c r="M57" s="747"/>
      <c r="N57" s="747"/>
      <c r="O57" s="747"/>
      <c r="P57" s="747"/>
      <c r="Q57" s="747"/>
    </row>
    <row r="58" spans="2:17" s="1" customFormat="1" ht="12.75">
      <c r="B58" s="7" t="str">
        <f>BS!B61</f>
        <v>Firm Registration No 18, Satellite,</v>
      </c>
      <c r="I58" s="769"/>
      <c r="J58" s="747"/>
      <c r="K58" s="747"/>
      <c r="L58" s="747"/>
      <c r="M58" s="747"/>
      <c r="N58" s="747"/>
      <c r="O58" s="747"/>
      <c r="P58" s="747"/>
      <c r="Q58" s="747"/>
    </row>
    <row r="59" spans="2:17" s="1" customFormat="1" ht="12.75">
      <c r="B59" s="7" t="str">
        <f>BS!B62</f>
        <v>(Chartered Accountants)</v>
      </c>
      <c r="I59" s="769"/>
      <c r="J59" s="747"/>
      <c r="K59" s="747"/>
      <c r="L59" s="747"/>
      <c r="M59" s="747"/>
      <c r="N59" s="747"/>
      <c r="O59" s="747"/>
      <c r="P59" s="747"/>
      <c r="Q59" s="747"/>
    </row>
    <row r="60" spans="2:17" s="1" customFormat="1" ht="12.75">
      <c r="F60" s="7" t="str">
        <f>BS!F63</f>
        <v>Subhash Gupta</v>
      </c>
      <c r="H60" s="7" t="str">
        <f>BS!H63</f>
        <v>Tarun Kumar</v>
      </c>
      <c r="I60" s="769"/>
      <c r="J60" s="747"/>
      <c r="K60" s="747"/>
      <c r="L60" s="747"/>
      <c r="M60" s="747"/>
      <c r="N60" s="747"/>
      <c r="O60" s="747"/>
      <c r="P60" s="747"/>
      <c r="Q60" s="747"/>
    </row>
    <row r="61" spans="2:17" s="1" customFormat="1" ht="12.75">
      <c r="F61" s="7" t="str">
        <f>BS!F64</f>
        <v>Director</v>
      </c>
      <c r="H61" s="7" t="str">
        <f>BS!H64</f>
        <v>Director</v>
      </c>
      <c r="I61" s="769"/>
      <c r="J61" s="747"/>
      <c r="K61" s="747"/>
      <c r="L61" s="747"/>
      <c r="M61" s="747"/>
      <c r="N61" s="747"/>
      <c r="O61" s="747"/>
      <c r="P61" s="747"/>
      <c r="Q61" s="747"/>
    </row>
    <row r="62" spans="2:17" s="1" customFormat="1" ht="12.75">
      <c r="B62" s="7" t="str">
        <f>BS!B65</f>
        <v>, Prop.)</v>
      </c>
      <c r="I62" s="769"/>
      <c r="J62" s="747"/>
      <c r="K62" s="747"/>
      <c r="L62" s="747"/>
      <c r="M62" s="747"/>
      <c r="N62" s="747"/>
      <c r="O62" s="747"/>
      <c r="P62" s="747"/>
      <c r="Q62" s="747"/>
    </row>
    <row r="63" spans="2:17" s="1" customFormat="1" ht="12.75">
      <c r="B63" s="7" t="str">
        <f>BS!B66</f>
        <v>99999</v>
      </c>
      <c r="I63" s="769"/>
      <c r="J63" s="747"/>
      <c r="K63" s="747"/>
      <c r="L63" s="747"/>
      <c r="M63" s="747"/>
      <c r="N63" s="747"/>
      <c r="O63" s="747"/>
      <c r="P63" s="747"/>
      <c r="Q63" s="747"/>
    </row>
    <row r="64" spans="2:17" s="1" customFormat="1" ht="12.75">
      <c r="B64" s="7" t="str">
        <f>BS!B67</f>
        <v>DELHI</v>
      </c>
      <c r="F64" s="7" t="str">
        <f>BS!F67</f>
        <v/>
      </c>
      <c r="H64" s="7" t="str">
        <f>BS!H67</f>
        <v/>
      </c>
      <c r="I64" s="769"/>
      <c r="J64" s="747"/>
      <c r="K64" s="747"/>
      <c r="L64" s="747"/>
      <c r="M64" s="747"/>
      <c r="N64" s="747"/>
      <c r="O64" s="747"/>
      <c r="P64" s="747"/>
      <c r="Q64" s="747"/>
    </row>
    <row r="65" spans="2:17" s="1" customFormat="1" ht="12.75">
      <c r="F65" s="7" t="str">
        <f>BS!F68</f>
        <v/>
      </c>
      <c r="H65" s="7" t="str">
        <f>BS!H68</f>
        <v/>
      </c>
      <c r="I65" s="769"/>
      <c r="J65" s="747"/>
      <c r="K65" s="747"/>
      <c r="L65" s="747"/>
      <c r="M65" s="747"/>
      <c r="N65" s="747"/>
      <c r="O65" s="747"/>
      <c r="P65" s="747"/>
      <c r="Q65" s="747"/>
    </row>
    <row r="66" spans="2:17" s="1" customFormat="1" ht="12.75">
      <c r="B66" s="7" t="str">
        <f>BS!B69</f>
        <v>Place :DELHI</v>
      </c>
      <c r="I66" s="769"/>
      <c r="J66" s="747"/>
      <c r="K66" s="747"/>
      <c r="L66" s="747"/>
      <c r="M66" s="747"/>
      <c r="N66" s="747"/>
      <c r="O66" s="747"/>
      <c r="P66" s="747"/>
      <c r="Q66" s="747"/>
    </row>
    <row r="67" spans="2:17" s="1" customFormat="1" ht="12.75">
      <c r="B67" s="7" t="str">
        <f>BS!B70</f>
        <v>Date :01/09/2012</v>
      </c>
      <c r="I67" s="769"/>
      <c r="J67" s="747"/>
      <c r="K67" s="747"/>
      <c r="L67" s="747"/>
      <c r="M67" s="747"/>
      <c r="N67" s="747"/>
      <c r="O67" s="747"/>
      <c r="P67" s="747"/>
      <c r="Q67" s="747"/>
    </row>
    <row r="68" spans="2:17" s="1" customFormat="1" ht="12.75">
      <c r="I68" s="769"/>
      <c r="J68" s="747"/>
      <c r="K68" s="747"/>
      <c r="L68" s="747"/>
      <c r="M68" s="747"/>
      <c r="N68" s="747"/>
      <c r="O68" s="747"/>
      <c r="P68" s="747"/>
      <c r="Q68" s="747"/>
    </row>
    <row r="69" spans="2:17" s="1" customFormat="1" ht="12.75">
      <c r="I69" s="769"/>
      <c r="J69" s="747"/>
      <c r="K69" s="747"/>
      <c r="L69" s="747"/>
      <c r="M69" s="747"/>
      <c r="N69" s="747"/>
      <c r="O69" s="747"/>
      <c r="P69" s="747"/>
      <c r="Q69" s="747"/>
    </row>
    <row r="70" spans="2:17" s="1" customFormat="1" ht="12.75">
      <c r="I70" s="769"/>
      <c r="J70" s="747"/>
      <c r="K70" s="747"/>
      <c r="L70" s="747"/>
      <c r="M70" s="747"/>
      <c r="N70" s="747"/>
      <c r="O70" s="747"/>
      <c r="P70" s="747"/>
      <c r="Q70" s="747"/>
    </row>
    <row r="71" spans="2:17" s="1" customFormat="1" ht="12.75">
      <c r="I71" s="769"/>
      <c r="J71" s="747"/>
      <c r="K71" s="747"/>
      <c r="L71" s="747"/>
      <c r="M71" s="747"/>
      <c r="N71" s="747"/>
      <c r="O71" s="747"/>
      <c r="P71" s="747"/>
      <c r="Q71" s="747"/>
    </row>
  </sheetData>
  <mergeCells count="4">
    <mergeCell ref="B1:H1"/>
    <mergeCell ref="B2:H2"/>
    <mergeCell ref="B4:B5"/>
    <mergeCell ref="D4:D5"/>
  </mergeCells>
  <hyperlinks>
    <hyperlink ref="I9" location="'22'!A1" display="'22'!A1"/>
    <hyperlink ref="I13" location="'23'!A1" display="'23'!A1"/>
    <hyperlink ref="I12" location="'26'!A1" display="'26'!A1"/>
    <hyperlink ref="I17" location="'24'!A1" display="'24'!A1"/>
    <hyperlink ref="I18" location="'25'!A1" display="'25'!A1"/>
    <hyperlink ref="I19" location="'26'!A1" display="'26'!A1"/>
    <hyperlink ref="I20" location="'27'!A1" display="'27'!A1"/>
    <hyperlink ref="I21" location="'28'!A1" display="'28'!A1"/>
    <hyperlink ref="I22" location="'29'!A1" display="'29'!A1"/>
    <hyperlink ref="I23" location="'30'!A1" display="'30'!A1"/>
    <hyperlink ref="I34" location="'31'!A1" display="'31'!A1"/>
    <hyperlink ref="I40" location="'32'!A1" display="'32'!A1"/>
    <hyperlink ref="I46" location="'33'!A1" display="'33'!A1"/>
  </hyperlinks>
  <pageMargins left="0.95" right="0.2" top="0.25" bottom="0.25" header="0.3" footer="0.3"/>
  <pageSetup scale="92" orientation="portrait" r:id="rId1"/>
</worksheet>
</file>

<file path=xl/worksheets/sheet16.xml><?xml version="1.0" encoding="utf-8"?>
<worksheet xmlns="http://schemas.openxmlformats.org/spreadsheetml/2006/main" xmlns:r="http://schemas.openxmlformats.org/officeDocument/2006/relationships">
  <sheetPr>
    <tabColor rgb="FFFF0000"/>
    <pageSetUpPr fitToPage="1"/>
  </sheetPr>
  <dimension ref="B2:L120"/>
  <sheetViews>
    <sheetView showGridLines="0" view="pageBreakPreview" topLeftCell="A83" zoomScaleSheetLayoutView="100" workbookViewId="0">
      <selection activeCell="A94" sqref="A94"/>
    </sheetView>
  </sheetViews>
  <sheetFormatPr defaultColWidth="8.85546875" defaultRowHeight="13.5"/>
  <cols>
    <col min="1" max="1" width="2.7109375" style="774" customWidth="1"/>
    <col min="2" max="2" width="8.85546875" style="774"/>
    <col min="3" max="3" width="46.7109375" style="774" customWidth="1"/>
    <col min="4" max="6" width="12.42578125" style="774" customWidth="1"/>
    <col min="7" max="7" width="13.28515625" style="774" bestFit="1" customWidth="1"/>
    <col min="8" max="8" width="9.7109375" style="774" bestFit="1" customWidth="1"/>
    <col min="9" max="10" width="12.7109375" style="774" bestFit="1" customWidth="1"/>
    <col min="11" max="11" width="12.140625" style="774" bestFit="1" customWidth="1"/>
    <col min="12" max="12" width="9" style="774" bestFit="1" customWidth="1"/>
    <col min="13" max="16384" width="8.85546875" style="774"/>
  </cols>
  <sheetData>
    <row r="2" spans="2:12" ht="23.25">
      <c r="B2" s="926" t="str">
        <f>PL!B1</f>
        <v>ABC LTD</v>
      </c>
      <c r="C2" s="926"/>
      <c r="D2" s="926"/>
      <c r="E2" s="926"/>
      <c r="F2" s="926"/>
      <c r="G2" s="926"/>
    </row>
    <row r="3" spans="2:12" ht="12.75" customHeight="1">
      <c r="B3" s="927" t="str">
        <f>CONCATENATE(master!B3," ",master!B4," ",master!B5," ",master!B6)</f>
        <v>18 Satteleite,    Ahmedabad 380015</v>
      </c>
      <c r="C3" s="927"/>
      <c r="D3" s="927"/>
      <c r="E3" s="927"/>
      <c r="F3" s="927"/>
      <c r="G3" s="927"/>
    </row>
    <row r="4" spans="2:12" ht="7.5" customHeight="1">
      <c r="B4" s="775"/>
      <c r="C4" s="775"/>
      <c r="D4" s="775"/>
      <c r="E4" s="775"/>
      <c r="F4" s="775"/>
      <c r="G4" s="775"/>
    </row>
    <row r="5" spans="2:12" ht="18.75">
      <c r="B5" s="928" t="str">
        <f>CONCATENATE("Cash Flow Statement for the year ended  ",master!B16)</f>
        <v>Cash Flow Statement for the year ended  31/03/2012</v>
      </c>
      <c r="C5" s="928"/>
      <c r="D5" s="928"/>
      <c r="E5" s="928"/>
      <c r="F5" s="928"/>
      <c r="G5" s="928"/>
    </row>
    <row r="6" spans="2:12">
      <c r="B6" s="776"/>
      <c r="C6" s="777"/>
      <c r="D6" s="929" t="s">
        <v>1714</v>
      </c>
      <c r="E6" s="929"/>
      <c r="F6" s="929"/>
      <c r="G6" s="929"/>
    </row>
    <row r="7" spans="2:12" ht="33" customHeight="1">
      <c r="B7" s="930" t="s">
        <v>290</v>
      </c>
      <c r="C7" s="931"/>
      <c r="D7" s="932" t="s">
        <v>1715</v>
      </c>
      <c r="E7" s="933"/>
      <c r="F7" s="933" t="s">
        <v>1716</v>
      </c>
      <c r="G7" s="933"/>
      <c r="I7" s="828" t="s">
        <v>1780</v>
      </c>
    </row>
    <row r="8" spans="2:12" ht="15">
      <c r="B8" s="778" t="s">
        <v>1717</v>
      </c>
      <c r="C8" s="779"/>
      <c r="D8" s="780"/>
      <c r="E8" s="780"/>
      <c r="F8" s="780"/>
      <c r="G8" s="780"/>
      <c r="I8" s="829" t="s">
        <v>1781</v>
      </c>
      <c r="J8" s="781"/>
      <c r="K8" s="781"/>
      <c r="L8" s="781"/>
    </row>
    <row r="9" spans="2:12" ht="15">
      <c r="B9" s="782" t="s">
        <v>1718</v>
      </c>
      <c r="C9" s="779"/>
      <c r="D9" s="783"/>
      <c r="E9" s="783">
        <v>0</v>
      </c>
      <c r="F9" s="783"/>
      <c r="G9" s="783">
        <v>0</v>
      </c>
      <c r="I9" s="830" t="s">
        <v>1782</v>
      </c>
      <c r="J9" s="781"/>
      <c r="K9" s="781"/>
      <c r="L9" s="781"/>
    </row>
    <row r="10" spans="2:12" ht="15">
      <c r="B10" s="785" t="s">
        <v>1719</v>
      </c>
      <c r="C10" s="779"/>
      <c r="D10" s="783"/>
      <c r="E10" s="783"/>
      <c r="F10" s="783"/>
      <c r="G10" s="783"/>
      <c r="I10" s="829" t="s">
        <v>1783</v>
      </c>
      <c r="J10" s="781"/>
      <c r="K10" s="781"/>
      <c r="L10" s="781"/>
    </row>
    <row r="11" spans="2:12" ht="15">
      <c r="B11" s="786" t="s">
        <v>1720</v>
      </c>
      <c r="C11" s="779"/>
      <c r="D11" s="783">
        <v>0</v>
      </c>
      <c r="E11" s="783">
        <f>SUM(D11:D18)</f>
        <v>0</v>
      </c>
      <c r="F11" s="783">
        <v>0</v>
      </c>
      <c r="G11" s="783">
        <f>SUM(F11:F18)</f>
        <v>0</v>
      </c>
      <c r="I11" s="829" t="s">
        <v>1784</v>
      </c>
      <c r="J11" s="781"/>
      <c r="K11" s="781"/>
      <c r="L11" s="781"/>
    </row>
    <row r="12" spans="2:12" ht="15">
      <c r="B12" s="786" t="s">
        <v>1721</v>
      </c>
      <c r="C12" s="779"/>
      <c r="D12" s="783">
        <v>0</v>
      </c>
      <c r="E12" s="783"/>
      <c r="F12" s="783">
        <v>0</v>
      </c>
      <c r="G12" s="783"/>
      <c r="H12" s="787"/>
      <c r="I12" s="829" t="s">
        <v>1785</v>
      </c>
      <c r="J12" s="781"/>
      <c r="K12" s="781"/>
      <c r="L12" s="781"/>
    </row>
    <row r="13" spans="2:12">
      <c r="B13" s="786" t="s">
        <v>1722</v>
      </c>
      <c r="C13" s="779"/>
      <c r="D13" s="783">
        <v>0</v>
      </c>
      <c r="E13" s="783"/>
      <c r="F13" s="783">
        <v>0</v>
      </c>
      <c r="G13" s="783"/>
      <c r="I13" s="784"/>
      <c r="J13" s="781"/>
      <c r="K13" s="781"/>
      <c r="L13" s="781"/>
    </row>
    <row r="14" spans="2:12">
      <c r="B14" s="786" t="s">
        <v>1723</v>
      </c>
      <c r="C14" s="779"/>
      <c r="D14" s="783">
        <v>0</v>
      </c>
      <c r="E14" s="783"/>
      <c r="F14" s="783">
        <v>0</v>
      </c>
      <c r="G14" s="783"/>
      <c r="I14" s="784"/>
      <c r="J14" s="781"/>
      <c r="K14" s="781"/>
      <c r="L14" s="781"/>
    </row>
    <row r="15" spans="2:12">
      <c r="B15" s="786" t="s">
        <v>1724</v>
      </c>
      <c r="C15" s="779"/>
      <c r="D15" s="783">
        <v>0</v>
      </c>
      <c r="E15" s="783"/>
      <c r="F15" s="783">
        <v>0</v>
      </c>
      <c r="G15" s="783"/>
      <c r="I15" s="781"/>
      <c r="J15" s="781"/>
      <c r="K15" s="784"/>
      <c r="L15" s="781"/>
    </row>
    <row r="16" spans="2:12">
      <c r="B16" s="786" t="s">
        <v>1725</v>
      </c>
      <c r="C16" s="779"/>
      <c r="D16" s="783">
        <v>0</v>
      </c>
      <c r="E16" s="783"/>
      <c r="F16" s="783">
        <v>0</v>
      </c>
      <c r="G16" s="783"/>
      <c r="I16" s="781"/>
      <c r="J16" s="781"/>
      <c r="K16" s="781"/>
      <c r="L16" s="781"/>
    </row>
    <row r="17" spans="2:12">
      <c r="B17" s="786" t="s">
        <v>1726</v>
      </c>
      <c r="C17" s="779"/>
      <c r="D17" s="783">
        <v>0</v>
      </c>
      <c r="E17" s="783"/>
      <c r="F17" s="783">
        <v>0</v>
      </c>
      <c r="G17" s="783"/>
      <c r="I17" s="781"/>
      <c r="J17" s="781"/>
      <c r="K17" s="781"/>
      <c r="L17" s="781"/>
    </row>
    <row r="18" spans="2:12" hidden="1">
      <c r="B18" s="786" t="s">
        <v>1727</v>
      </c>
      <c r="C18" s="779"/>
      <c r="D18" s="788"/>
      <c r="E18" s="783"/>
      <c r="F18" s="788"/>
      <c r="G18" s="783"/>
      <c r="I18" s="781"/>
      <c r="J18" s="781"/>
      <c r="K18" s="781"/>
      <c r="L18" s="781"/>
    </row>
    <row r="19" spans="2:12">
      <c r="B19" s="782"/>
      <c r="C19" s="779"/>
      <c r="D19" s="789"/>
      <c r="E19" s="788"/>
      <c r="F19" s="789"/>
      <c r="G19" s="788"/>
      <c r="I19" s="781"/>
      <c r="J19" s="781"/>
      <c r="K19" s="781"/>
      <c r="L19" s="781"/>
    </row>
    <row r="20" spans="2:12">
      <c r="B20" s="782" t="s">
        <v>1728</v>
      </c>
      <c r="C20" s="779"/>
      <c r="D20" s="783"/>
      <c r="E20" s="783">
        <f>SUM(E9:E19)</f>
        <v>0</v>
      </c>
      <c r="F20" s="783"/>
      <c r="G20" s="783">
        <f>SUM(G9:G19)</f>
        <v>0</v>
      </c>
      <c r="I20" s="781"/>
      <c r="J20" s="781"/>
      <c r="K20" s="781"/>
      <c r="L20" s="781"/>
    </row>
    <row r="21" spans="2:12">
      <c r="B21" s="785" t="s">
        <v>1729</v>
      </c>
      <c r="C21" s="779"/>
      <c r="D21" s="783"/>
      <c r="E21" s="783"/>
      <c r="F21" s="783"/>
      <c r="G21" s="783"/>
      <c r="I21" s="781"/>
      <c r="J21" s="781"/>
      <c r="K21" s="781"/>
      <c r="L21" s="781"/>
    </row>
    <row r="22" spans="2:12">
      <c r="B22" s="790" t="s">
        <v>1730</v>
      </c>
      <c r="C22" s="779"/>
      <c r="D22" s="783"/>
      <c r="E22" s="783"/>
      <c r="F22" s="783"/>
      <c r="G22" s="783"/>
      <c r="I22" s="784"/>
      <c r="J22" s="781"/>
      <c r="K22" s="781"/>
      <c r="L22" s="781"/>
    </row>
    <row r="23" spans="2:12">
      <c r="B23" s="786" t="s">
        <v>1731</v>
      </c>
      <c r="C23" s="779"/>
      <c r="D23" s="783">
        <v>0</v>
      </c>
      <c r="E23" s="783">
        <f>SUM(D22:D26)</f>
        <v>0</v>
      </c>
      <c r="F23" s="783">
        <v>0</v>
      </c>
      <c r="G23" s="783">
        <f>SUM(F22:F26)</f>
        <v>0</v>
      </c>
      <c r="I23" s="784"/>
      <c r="J23" s="781"/>
      <c r="K23" s="781"/>
      <c r="L23" s="781"/>
    </row>
    <row r="24" spans="2:12">
      <c r="B24" s="786" t="s">
        <v>1732</v>
      </c>
      <c r="C24" s="779"/>
      <c r="D24" s="783">
        <v>0</v>
      </c>
      <c r="E24" s="783"/>
      <c r="F24" s="783">
        <v>0</v>
      </c>
      <c r="G24" s="783"/>
      <c r="I24" s="781"/>
      <c r="J24" s="784"/>
      <c r="K24" s="781"/>
      <c r="L24" s="791"/>
    </row>
    <row r="25" spans="2:12">
      <c r="B25" s="786" t="s">
        <v>1733</v>
      </c>
      <c r="C25" s="779"/>
      <c r="D25" s="783">
        <v>0</v>
      </c>
      <c r="E25" s="783"/>
      <c r="F25" s="783">
        <v>0</v>
      </c>
      <c r="G25" s="783"/>
      <c r="I25" s="784"/>
      <c r="J25" s="781"/>
      <c r="K25" s="781"/>
      <c r="L25" s="781"/>
    </row>
    <row r="26" spans="2:12">
      <c r="B26" s="786" t="s">
        <v>1734</v>
      </c>
      <c r="C26" s="779"/>
      <c r="D26" s="788">
        <v>0</v>
      </c>
      <c r="E26" s="792"/>
      <c r="F26" s="788">
        <v>0</v>
      </c>
      <c r="G26" s="792"/>
      <c r="I26" s="781"/>
      <c r="J26" s="781"/>
      <c r="K26" s="781"/>
      <c r="L26" s="781"/>
    </row>
    <row r="27" spans="2:12">
      <c r="B27" s="790" t="s">
        <v>1735</v>
      </c>
      <c r="C27" s="779"/>
      <c r="D27" s="783"/>
      <c r="E27" s="783"/>
      <c r="F27" s="783"/>
      <c r="G27" s="783"/>
      <c r="I27" s="784"/>
      <c r="J27" s="781"/>
      <c r="K27" s="781"/>
      <c r="L27" s="781"/>
    </row>
    <row r="28" spans="2:12">
      <c r="B28" s="786" t="s">
        <v>1736</v>
      </c>
      <c r="C28" s="779"/>
      <c r="D28" s="783">
        <v>0</v>
      </c>
      <c r="E28" s="783">
        <f>SUM(D28:D32)</f>
        <v>0</v>
      </c>
      <c r="F28" s="783">
        <v>0</v>
      </c>
      <c r="G28" s="783">
        <f>SUM(F28:F32)</f>
        <v>0</v>
      </c>
      <c r="I28" s="784"/>
      <c r="J28" s="781"/>
      <c r="K28" s="781"/>
      <c r="L28" s="781"/>
    </row>
    <row r="29" spans="2:12">
      <c r="B29" s="786" t="s">
        <v>1737</v>
      </c>
      <c r="C29" s="779"/>
      <c r="D29" s="783">
        <v>0</v>
      </c>
      <c r="E29" s="783"/>
      <c r="F29" s="783">
        <v>0</v>
      </c>
      <c r="G29" s="783"/>
      <c r="I29" s="781"/>
      <c r="J29" s="781"/>
      <c r="K29" s="781"/>
      <c r="L29" s="781"/>
    </row>
    <row r="30" spans="2:12" hidden="1">
      <c r="B30" s="786" t="s">
        <v>1738</v>
      </c>
      <c r="C30" s="779"/>
      <c r="D30" s="783">
        <f>-([6]BS!H14-[6]BS!G14)*0</f>
        <v>0</v>
      </c>
      <c r="E30" s="783"/>
      <c r="F30" s="783">
        <f>-([6]BS!J14-[6]BS!I14)*0</f>
        <v>0</v>
      </c>
      <c r="G30" s="783"/>
      <c r="I30" s="781"/>
      <c r="J30" s="781"/>
      <c r="K30" s="781"/>
      <c r="L30" s="781"/>
    </row>
    <row r="31" spans="2:12">
      <c r="B31" s="786" t="s">
        <v>1739</v>
      </c>
      <c r="C31" s="779"/>
      <c r="D31" s="783">
        <v>0</v>
      </c>
      <c r="E31" s="783"/>
      <c r="F31" s="783">
        <v>0</v>
      </c>
      <c r="G31" s="783"/>
      <c r="I31" s="781"/>
      <c r="J31" s="781"/>
      <c r="K31" s="781"/>
      <c r="L31" s="781"/>
    </row>
    <row r="32" spans="2:12">
      <c r="B32" s="786" t="s">
        <v>1740</v>
      </c>
      <c r="C32" s="779"/>
      <c r="D32" s="788">
        <v>0</v>
      </c>
      <c r="E32" s="788"/>
      <c r="F32" s="788">
        <v>0</v>
      </c>
      <c r="G32" s="788"/>
      <c r="I32" s="781"/>
      <c r="J32" s="781"/>
      <c r="K32" s="781"/>
      <c r="L32" s="781"/>
    </row>
    <row r="33" spans="2:12">
      <c r="B33" s="782"/>
      <c r="C33" s="779"/>
      <c r="D33" s="783"/>
      <c r="E33" s="788">
        <f>SUM(E20:E32)</f>
        <v>0</v>
      </c>
      <c r="F33" s="783"/>
      <c r="G33" s="788">
        <f>SUM(G20:G32)</f>
        <v>0</v>
      </c>
      <c r="I33" s="781"/>
      <c r="J33" s="781"/>
      <c r="K33" s="781"/>
      <c r="L33" s="781"/>
    </row>
    <row r="34" spans="2:12">
      <c r="B34" s="782" t="s">
        <v>1741</v>
      </c>
      <c r="C34" s="779"/>
      <c r="D34" s="783"/>
      <c r="E34" s="788">
        <v>0</v>
      </c>
      <c r="F34" s="783"/>
      <c r="G34" s="788">
        <v>0</v>
      </c>
      <c r="I34" s="781"/>
      <c r="J34" s="784"/>
      <c r="K34" s="781"/>
      <c r="L34" s="781"/>
    </row>
    <row r="35" spans="2:12">
      <c r="B35" s="782" t="s">
        <v>1742</v>
      </c>
      <c r="C35" s="779"/>
      <c r="D35" s="783"/>
      <c r="E35" s="783">
        <f>E33</f>
        <v>0</v>
      </c>
      <c r="F35" s="783"/>
      <c r="G35" s="783">
        <f>G33</f>
        <v>0</v>
      </c>
      <c r="I35" s="781"/>
      <c r="J35" s="781"/>
      <c r="K35" s="781"/>
      <c r="L35" s="781"/>
    </row>
    <row r="36" spans="2:12">
      <c r="B36" s="934" t="s">
        <v>1743</v>
      </c>
      <c r="C36" s="935"/>
      <c r="D36" s="783"/>
      <c r="E36" s="788">
        <v>0</v>
      </c>
      <c r="F36" s="783"/>
      <c r="G36" s="788">
        <v>0</v>
      </c>
      <c r="I36" s="781"/>
      <c r="J36" s="781"/>
      <c r="K36" s="781"/>
      <c r="L36" s="781"/>
    </row>
    <row r="37" spans="2:12" ht="15">
      <c r="B37" s="778" t="s">
        <v>1744</v>
      </c>
      <c r="C37" s="779"/>
      <c r="D37" s="793"/>
      <c r="E37" s="794">
        <f>SUM(E35:E36)</f>
        <v>0</v>
      </c>
      <c r="F37" s="793"/>
      <c r="G37" s="794">
        <f>SUM(G35:G36)</f>
        <v>0</v>
      </c>
      <c r="I37" s="781"/>
      <c r="J37" s="781"/>
      <c r="K37" s="781"/>
      <c r="L37" s="781"/>
    </row>
    <row r="38" spans="2:12" ht="15">
      <c r="B38" s="936"/>
      <c r="C38" s="937"/>
      <c r="D38" s="788"/>
      <c r="E38" s="788"/>
      <c r="F38" s="788"/>
      <c r="G38" s="788"/>
      <c r="I38" s="781"/>
      <c r="J38" s="781"/>
      <c r="K38" s="781"/>
      <c r="L38" s="781"/>
    </row>
    <row r="39" spans="2:12" ht="15">
      <c r="B39" s="795"/>
      <c r="C39" s="796"/>
      <c r="D39" s="783"/>
      <c r="E39" s="783"/>
      <c r="F39" s="783"/>
      <c r="G39" s="783"/>
      <c r="I39" s="781"/>
      <c r="J39" s="781"/>
      <c r="K39" s="781"/>
      <c r="L39" s="781"/>
    </row>
    <row r="40" spans="2:12" ht="15">
      <c r="B40" s="778" t="s">
        <v>1745</v>
      </c>
      <c r="C40" s="779"/>
      <c r="D40" s="783"/>
      <c r="E40" s="783"/>
      <c r="F40" s="783"/>
      <c r="G40" s="783"/>
      <c r="I40" s="784"/>
      <c r="J40" s="781"/>
      <c r="K40" s="781"/>
      <c r="L40" s="781"/>
    </row>
    <row r="41" spans="2:12">
      <c r="B41" s="934" t="s">
        <v>1746</v>
      </c>
      <c r="C41" s="935"/>
      <c r="D41" s="783">
        <v>0</v>
      </c>
      <c r="E41" s="783">
        <f>SUM(D41:D49)</f>
        <v>0</v>
      </c>
      <c r="F41" s="783">
        <v>0</v>
      </c>
      <c r="G41" s="783">
        <f>SUM(F41:F49)</f>
        <v>0</v>
      </c>
      <c r="I41" s="781"/>
      <c r="J41" s="781"/>
      <c r="K41" s="781"/>
      <c r="L41" s="781"/>
    </row>
    <row r="42" spans="2:12">
      <c r="B42" s="797" t="s">
        <v>1747</v>
      </c>
      <c r="C42" s="798"/>
      <c r="D42" s="783">
        <v>0</v>
      </c>
      <c r="E42" s="783"/>
      <c r="F42" s="783">
        <v>0</v>
      </c>
      <c r="G42" s="783"/>
      <c r="I42" s="781"/>
      <c r="J42" s="781"/>
      <c r="K42" s="781"/>
      <c r="L42" s="781"/>
    </row>
    <row r="43" spans="2:12">
      <c r="B43" s="797" t="s">
        <v>1748</v>
      </c>
      <c r="C43" s="798"/>
      <c r="D43" s="783">
        <v>0</v>
      </c>
      <c r="E43" s="783"/>
      <c r="F43" s="783">
        <v>0</v>
      </c>
      <c r="G43" s="783"/>
      <c r="I43" s="781"/>
      <c r="J43" s="781"/>
      <c r="K43" s="781"/>
      <c r="L43" s="781"/>
    </row>
    <row r="44" spans="2:12">
      <c r="B44" s="797" t="s">
        <v>1749</v>
      </c>
      <c r="C44" s="798"/>
      <c r="D44" s="783">
        <v>0</v>
      </c>
      <c r="E44" s="783"/>
      <c r="F44" s="783">
        <v>0</v>
      </c>
      <c r="G44" s="783"/>
      <c r="I44" s="781"/>
      <c r="J44" s="781"/>
      <c r="K44" s="781"/>
      <c r="L44" s="781"/>
    </row>
    <row r="45" spans="2:12">
      <c r="B45" s="797" t="s">
        <v>1750</v>
      </c>
      <c r="C45" s="779"/>
      <c r="D45" s="783">
        <v>0</v>
      </c>
      <c r="E45" s="783"/>
      <c r="F45" s="783">
        <v>0</v>
      </c>
      <c r="G45" s="783"/>
      <c r="I45" s="781"/>
      <c r="J45" s="781"/>
      <c r="K45" s="781"/>
      <c r="L45" s="781"/>
    </row>
    <row r="46" spans="2:12">
      <c r="B46" s="797" t="s">
        <v>1751</v>
      </c>
      <c r="C46" s="798"/>
      <c r="D46" s="783">
        <v>0</v>
      </c>
      <c r="E46" s="783"/>
      <c r="F46" s="783">
        <v>0</v>
      </c>
      <c r="G46" s="783"/>
      <c r="I46" s="784"/>
      <c r="J46" s="781"/>
      <c r="K46" s="781"/>
      <c r="L46" s="781"/>
    </row>
    <row r="47" spans="2:12">
      <c r="B47" s="797" t="s">
        <v>1166</v>
      </c>
      <c r="C47" s="798"/>
      <c r="D47" s="783">
        <v>0</v>
      </c>
      <c r="E47" s="783"/>
      <c r="F47" s="783">
        <v>0</v>
      </c>
      <c r="G47" s="783"/>
      <c r="I47" s="784"/>
      <c r="J47" s="781"/>
      <c r="K47" s="781"/>
      <c r="L47" s="781"/>
    </row>
    <row r="48" spans="2:12">
      <c r="B48" s="797" t="s">
        <v>1726</v>
      </c>
      <c r="C48" s="798"/>
      <c r="D48" s="783"/>
      <c r="E48" s="783"/>
      <c r="F48" s="783"/>
      <c r="G48" s="783"/>
      <c r="I48" s="784"/>
      <c r="J48" s="781"/>
      <c r="K48" s="781"/>
      <c r="L48" s="781"/>
    </row>
    <row r="49" spans="2:12">
      <c r="B49" s="797" t="s">
        <v>1752</v>
      </c>
      <c r="C49" s="798"/>
      <c r="D49" s="788">
        <v>0</v>
      </c>
      <c r="E49" s="783"/>
      <c r="F49" s="788">
        <v>0</v>
      </c>
      <c r="G49" s="783"/>
      <c r="I49" s="781"/>
      <c r="J49" s="781"/>
      <c r="K49" s="781"/>
      <c r="L49" s="781"/>
    </row>
    <row r="50" spans="2:12">
      <c r="B50" s="782" t="s">
        <v>1741</v>
      </c>
      <c r="C50" s="779"/>
      <c r="D50" s="783"/>
      <c r="E50" s="783">
        <v>0</v>
      </c>
      <c r="F50" s="783"/>
      <c r="G50" s="783">
        <v>0</v>
      </c>
      <c r="I50" s="781"/>
      <c r="J50" s="781"/>
      <c r="K50" s="781"/>
      <c r="L50" s="781"/>
    </row>
    <row r="51" spans="2:12" ht="15">
      <c r="B51" s="778" t="s">
        <v>1753</v>
      </c>
      <c r="C51" s="779"/>
      <c r="D51" s="783"/>
      <c r="E51" s="799">
        <f>SUM(E41:E50)</f>
        <v>0</v>
      </c>
      <c r="F51" s="783"/>
      <c r="G51" s="799">
        <f>SUM(G41:G50)</f>
        <v>0</v>
      </c>
      <c r="I51" s="781"/>
      <c r="J51" s="781"/>
      <c r="K51" s="781"/>
      <c r="L51" s="781"/>
    </row>
    <row r="52" spans="2:12" ht="15">
      <c r="B52" s="936"/>
      <c r="C52" s="937"/>
      <c r="D52" s="788"/>
      <c r="E52" s="788"/>
      <c r="F52" s="788"/>
      <c r="G52" s="788"/>
      <c r="I52" s="781"/>
      <c r="J52" s="781"/>
      <c r="K52" s="781"/>
      <c r="L52" s="781"/>
    </row>
    <row r="53" spans="2:12" ht="15">
      <c r="B53" s="795"/>
      <c r="C53" s="796"/>
      <c r="D53" s="783"/>
      <c r="E53" s="783"/>
      <c r="F53" s="783"/>
      <c r="G53" s="783"/>
      <c r="I53" s="781"/>
      <c r="J53" s="781"/>
      <c r="K53" s="781"/>
      <c r="L53" s="781"/>
    </row>
    <row r="54" spans="2:12" ht="15">
      <c r="B54" s="778" t="s">
        <v>1754</v>
      </c>
      <c r="C54" s="779"/>
      <c r="D54" s="783"/>
      <c r="E54" s="783"/>
      <c r="F54" s="783"/>
      <c r="G54" s="783"/>
      <c r="I54" s="781"/>
      <c r="J54" s="781"/>
      <c r="K54" s="781"/>
      <c r="L54" s="781"/>
    </row>
    <row r="55" spans="2:12">
      <c r="B55" s="782" t="s">
        <v>1755</v>
      </c>
      <c r="C55" s="779"/>
      <c r="D55" s="783">
        <v>0</v>
      </c>
      <c r="E55" s="783">
        <f>SUM(D55:D64)</f>
        <v>0</v>
      </c>
      <c r="F55" s="783">
        <v>0</v>
      </c>
      <c r="G55" s="783">
        <f>SUM(F55:F64)</f>
        <v>0</v>
      </c>
      <c r="I55" s="781"/>
      <c r="J55" s="781"/>
      <c r="K55" s="781"/>
      <c r="L55" s="781"/>
    </row>
    <row r="56" spans="2:12">
      <c r="B56" s="782" t="s">
        <v>1756</v>
      </c>
      <c r="C56" s="779"/>
      <c r="D56" s="791">
        <v>0</v>
      </c>
      <c r="E56" s="783"/>
      <c r="F56" s="791">
        <v>0</v>
      </c>
      <c r="G56" s="783"/>
      <c r="I56" s="781"/>
      <c r="J56" s="781"/>
      <c r="K56" s="781"/>
      <c r="L56" s="781"/>
    </row>
    <row r="57" spans="2:12">
      <c r="B57" s="782" t="s">
        <v>1757</v>
      </c>
      <c r="C57" s="779"/>
      <c r="D57" s="783">
        <v>0</v>
      </c>
      <c r="E57" s="783"/>
      <c r="F57" s="783">
        <v>0</v>
      </c>
      <c r="G57" s="783"/>
      <c r="I57" s="784"/>
      <c r="J57" s="784"/>
      <c r="K57" s="781"/>
      <c r="L57" s="781"/>
    </row>
    <row r="58" spans="2:12">
      <c r="B58" s="782" t="s">
        <v>1758</v>
      </c>
      <c r="C58" s="779"/>
      <c r="D58" s="792">
        <v>0</v>
      </c>
      <c r="E58" s="783"/>
      <c r="F58" s="792">
        <v>0</v>
      </c>
      <c r="G58" s="783"/>
      <c r="I58" s="781"/>
      <c r="J58" s="800"/>
      <c r="K58" s="781"/>
      <c r="L58" s="781"/>
    </row>
    <row r="59" spans="2:12">
      <c r="B59" s="782" t="s">
        <v>1759</v>
      </c>
      <c r="C59" s="779"/>
      <c r="D59" s="783">
        <v>0</v>
      </c>
      <c r="E59" s="783"/>
      <c r="F59" s="783">
        <v>0</v>
      </c>
      <c r="G59" s="783"/>
      <c r="I59" s="784"/>
      <c r="J59" s="781"/>
      <c r="K59" s="781"/>
      <c r="L59" s="781"/>
    </row>
    <row r="60" spans="2:12">
      <c r="B60" s="782" t="s">
        <v>1760</v>
      </c>
      <c r="C60" s="779"/>
      <c r="D60" s="783">
        <v>0</v>
      </c>
      <c r="E60" s="783"/>
      <c r="F60" s="783">
        <v>0</v>
      </c>
      <c r="G60" s="783"/>
      <c r="I60" s="781"/>
      <c r="J60" s="781"/>
      <c r="K60" s="781"/>
      <c r="L60" s="781"/>
    </row>
    <row r="61" spans="2:12" hidden="1">
      <c r="B61" s="782" t="s">
        <v>1761</v>
      </c>
      <c r="C61" s="779"/>
      <c r="D61" s="783"/>
      <c r="E61" s="783"/>
      <c r="F61" s="783"/>
      <c r="G61" s="783"/>
      <c r="I61" s="781"/>
      <c r="J61" s="781"/>
      <c r="K61" s="781"/>
      <c r="L61" s="781"/>
    </row>
    <row r="62" spans="2:12">
      <c r="B62" s="782" t="s">
        <v>1762</v>
      </c>
      <c r="C62" s="779"/>
      <c r="D62" s="783">
        <v>0</v>
      </c>
      <c r="E62" s="783"/>
      <c r="F62" s="783">
        <v>0</v>
      </c>
      <c r="G62" s="783"/>
      <c r="I62" s="784"/>
      <c r="J62" s="781"/>
      <c r="K62" s="781"/>
      <c r="L62" s="781"/>
    </row>
    <row r="63" spans="2:12">
      <c r="B63" s="782" t="s">
        <v>1763</v>
      </c>
      <c r="C63" s="779"/>
      <c r="D63" s="783">
        <v>0</v>
      </c>
      <c r="E63" s="783"/>
      <c r="F63" s="783">
        <v>0</v>
      </c>
      <c r="G63" s="783"/>
      <c r="I63" s="784"/>
      <c r="J63" s="781"/>
      <c r="K63" s="781"/>
      <c r="L63" s="781"/>
    </row>
    <row r="64" spans="2:12">
      <c r="B64" s="782" t="s">
        <v>1764</v>
      </c>
      <c r="C64" s="779"/>
      <c r="D64" s="788">
        <v>0</v>
      </c>
      <c r="E64" s="783"/>
      <c r="F64" s="788">
        <v>0</v>
      </c>
      <c r="G64" s="783"/>
      <c r="I64" s="781"/>
      <c r="J64" s="781"/>
      <c r="K64" s="781"/>
      <c r="L64" s="781"/>
    </row>
    <row r="65" spans="2:12">
      <c r="B65" s="782" t="s">
        <v>1741</v>
      </c>
      <c r="C65" s="779"/>
      <c r="D65" s="783">
        <v>0</v>
      </c>
      <c r="E65" s="788">
        <v>0</v>
      </c>
      <c r="F65" s="783">
        <v>0</v>
      </c>
      <c r="G65" s="788">
        <v>0</v>
      </c>
      <c r="I65" s="781"/>
      <c r="J65" s="781"/>
      <c r="K65" s="781"/>
      <c r="L65" s="781"/>
    </row>
    <row r="66" spans="2:12" ht="15">
      <c r="B66" s="778" t="s">
        <v>1765</v>
      </c>
      <c r="C66" s="779"/>
      <c r="D66" s="783"/>
      <c r="E66" s="799">
        <f>SUM(E55:E65)</f>
        <v>0</v>
      </c>
      <c r="F66" s="783"/>
      <c r="G66" s="799">
        <f>SUM(G55:G65)</f>
        <v>0</v>
      </c>
      <c r="I66" s="781"/>
      <c r="J66" s="781"/>
      <c r="K66" s="781"/>
      <c r="L66" s="781"/>
    </row>
    <row r="67" spans="2:12" ht="15">
      <c r="B67" s="778"/>
      <c r="C67" s="779"/>
      <c r="D67" s="783"/>
      <c r="E67" s="783"/>
      <c r="F67" s="783"/>
      <c r="G67" s="783"/>
      <c r="I67" s="781"/>
      <c r="J67" s="801"/>
      <c r="K67" s="781"/>
      <c r="L67" s="781"/>
    </row>
    <row r="68" spans="2:12" ht="15">
      <c r="B68" s="778" t="s">
        <v>1766</v>
      </c>
      <c r="C68" s="779"/>
      <c r="D68" s="793"/>
      <c r="E68" s="783">
        <f>CF!E37+CF!E51+CF!E66</f>
        <v>0</v>
      </c>
      <c r="F68" s="793"/>
      <c r="G68" s="783">
        <f>CF!G37+CF!G51+CF!G66</f>
        <v>0</v>
      </c>
      <c r="I68" s="781"/>
      <c r="J68" s="781"/>
      <c r="K68" s="781"/>
      <c r="L68" s="781"/>
    </row>
    <row r="69" spans="2:12">
      <c r="B69" s="782" t="s">
        <v>1767</v>
      </c>
      <c r="C69" s="779"/>
      <c r="D69" s="783"/>
      <c r="E69" s="783">
        <v>0</v>
      </c>
      <c r="F69" s="783"/>
      <c r="G69" s="783">
        <v>0</v>
      </c>
      <c r="I69" s="781"/>
      <c r="J69" s="781"/>
      <c r="K69" s="781"/>
      <c r="L69" s="781"/>
    </row>
    <row r="70" spans="2:12" hidden="1">
      <c r="B70" s="934" t="s">
        <v>1768</v>
      </c>
      <c r="C70" s="935"/>
      <c r="D70" s="783"/>
      <c r="E70" s="783"/>
      <c r="F70" s="783"/>
      <c r="G70" s="783"/>
      <c r="I70" s="781"/>
      <c r="J70" s="781"/>
      <c r="K70" s="781"/>
      <c r="L70" s="781"/>
    </row>
    <row r="71" spans="2:12" ht="15.75" thickBot="1">
      <c r="B71" s="778" t="s">
        <v>1769</v>
      </c>
      <c r="C71" s="779"/>
      <c r="D71" s="783"/>
      <c r="E71" s="802">
        <f>SUM(E68:E70)</f>
        <v>0</v>
      </c>
      <c r="F71" s="783"/>
      <c r="G71" s="802">
        <f>SUM(G68:G70)</f>
        <v>0</v>
      </c>
      <c r="I71" s="781"/>
      <c r="J71" s="781"/>
      <c r="K71" s="781"/>
      <c r="L71" s="781"/>
    </row>
    <row r="72" spans="2:12" ht="15">
      <c r="B72" s="778"/>
      <c r="C72" s="779"/>
      <c r="D72" s="783"/>
      <c r="E72" s="783"/>
      <c r="F72" s="783"/>
      <c r="G72" s="783"/>
      <c r="I72" s="781"/>
      <c r="J72" s="781"/>
      <c r="K72" s="781"/>
      <c r="L72" s="781"/>
    </row>
    <row r="73" spans="2:12" ht="15">
      <c r="B73" s="924" t="s">
        <v>1770</v>
      </c>
      <c r="C73" s="925"/>
      <c r="D73" s="783"/>
      <c r="E73" s="783"/>
      <c r="F73" s="783"/>
      <c r="G73" s="783"/>
      <c r="I73" s="781"/>
      <c r="J73" s="781"/>
      <c r="K73" s="781"/>
      <c r="L73" s="781"/>
    </row>
    <row r="74" spans="2:12" ht="15">
      <c r="B74" s="782" t="s">
        <v>1771</v>
      </c>
      <c r="C74" s="779"/>
      <c r="D74" s="783"/>
      <c r="E74" s="794">
        <v>0</v>
      </c>
      <c r="F74" s="783"/>
      <c r="G74" s="794">
        <v>0</v>
      </c>
      <c r="I74" s="781"/>
      <c r="J74" s="781"/>
      <c r="K74" s="781"/>
      <c r="L74" s="781"/>
    </row>
    <row r="75" spans="2:12">
      <c r="B75" s="782" t="s">
        <v>1772</v>
      </c>
      <c r="C75" s="779"/>
      <c r="D75" s="792"/>
      <c r="E75" s="783">
        <v>0</v>
      </c>
      <c r="F75" s="792"/>
      <c r="G75" s="783">
        <v>0</v>
      </c>
      <c r="I75" s="781"/>
      <c r="J75" s="781"/>
      <c r="K75" s="781"/>
      <c r="L75" s="781"/>
    </row>
    <row r="76" spans="2:12">
      <c r="B76" s="920" t="s">
        <v>1773</v>
      </c>
      <c r="C76" s="921"/>
      <c r="D76" s="792"/>
      <c r="E76" s="783"/>
      <c r="F76" s="792"/>
      <c r="G76" s="783"/>
      <c r="I76" s="781"/>
      <c r="J76" s="781"/>
      <c r="K76" s="781"/>
      <c r="L76" s="781"/>
    </row>
    <row r="77" spans="2:12">
      <c r="B77" s="922" t="s">
        <v>1774</v>
      </c>
      <c r="C77" s="923"/>
      <c r="D77" s="792"/>
      <c r="E77" s="783">
        <v>0</v>
      </c>
      <c r="F77" s="792"/>
      <c r="G77" s="783">
        <v>0</v>
      </c>
      <c r="I77" s="781"/>
      <c r="J77" s="781"/>
      <c r="K77" s="781"/>
      <c r="L77" s="781"/>
    </row>
    <row r="78" spans="2:12">
      <c r="B78" s="922" t="s">
        <v>1775</v>
      </c>
      <c r="C78" s="923"/>
      <c r="D78" s="792"/>
      <c r="E78" s="783">
        <v>0</v>
      </c>
      <c r="F78" s="792"/>
      <c r="G78" s="783">
        <v>0</v>
      </c>
      <c r="I78" s="781"/>
      <c r="J78" s="781"/>
      <c r="K78" s="781"/>
      <c r="L78" s="781"/>
    </row>
    <row r="79" spans="2:12">
      <c r="B79" s="922" t="s">
        <v>1776</v>
      </c>
      <c r="C79" s="923"/>
      <c r="D79" s="792"/>
      <c r="E79" s="783">
        <v>0</v>
      </c>
      <c r="F79" s="792"/>
      <c r="G79" s="783">
        <v>0</v>
      </c>
      <c r="I79" s="781"/>
      <c r="J79" s="781"/>
      <c r="K79" s="781"/>
      <c r="L79" s="781"/>
    </row>
    <row r="80" spans="2:12">
      <c r="B80" s="920" t="s">
        <v>1777</v>
      </c>
      <c r="C80" s="921"/>
      <c r="D80" s="792"/>
      <c r="E80" s="783">
        <v>0</v>
      </c>
      <c r="F80" s="792"/>
      <c r="G80" s="783">
        <v>0</v>
      </c>
      <c r="I80" s="803"/>
      <c r="J80" s="781"/>
      <c r="K80" s="781"/>
      <c r="L80" s="781"/>
    </row>
    <row r="81" spans="2:12">
      <c r="B81" s="920" t="s">
        <v>1778</v>
      </c>
      <c r="C81" s="921"/>
      <c r="D81" s="792"/>
      <c r="E81" s="783">
        <v>0</v>
      </c>
      <c r="F81" s="792"/>
      <c r="G81" s="783">
        <v>0</v>
      </c>
      <c r="I81" s="803"/>
      <c r="J81" s="781"/>
      <c r="K81" s="781"/>
      <c r="L81" s="781"/>
    </row>
    <row r="82" spans="2:12">
      <c r="B82" s="804"/>
      <c r="C82" s="805"/>
      <c r="D82" s="788"/>
      <c r="E82" s="806"/>
      <c r="F82" s="788"/>
      <c r="G82" s="806"/>
      <c r="I82" s="803"/>
      <c r="J82" s="781"/>
      <c r="K82" s="781"/>
      <c r="L82" s="781"/>
    </row>
    <row r="83" spans="2:12" ht="15" customHeight="1">
      <c r="B83" s="918" t="s">
        <v>1779</v>
      </c>
      <c r="C83" s="919"/>
      <c r="D83" s="919"/>
      <c r="E83" s="919"/>
      <c r="F83" s="919"/>
      <c r="G83" s="805"/>
      <c r="I83" s="781"/>
      <c r="J83" s="781"/>
      <c r="K83" s="781"/>
      <c r="L83" s="781"/>
    </row>
    <row r="84" spans="2:12">
      <c r="B84" s="807" t="str">
        <f>PL!B56</f>
        <v>As per our report of even date attahed</v>
      </c>
      <c r="C84" s="808"/>
      <c r="D84" s="809"/>
      <c r="E84" s="810"/>
      <c r="F84" s="810"/>
      <c r="G84" s="811"/>
      <c r="I84" s="781"/>
      <c r="J84" s="781"/>
      <c r="K84" s="781"/>
      <c r="L84" s="781"/>
    </row>
    <row r="85" spans="2:12" ht="15">
      <c r="B85" s="807" t="str">
        <f>PL!B57</f>
        <v>For ABC &amp; CO</v>
      </c>
      <c r="C85" s="812"/>
      <c r="D85" s="813" t="str">
        <f>PL!F57</f>
        <v>For and on behalf of the Board</v>
      </c>
      <c r="F85" s="810"/>
      <c r="G85" s="814"/>
      <c r="I85" s="781"/>
      <c r="J85" s="781"/>
      <c r="K85" s="781"/>
      <c r="L85" s="781"/>
    </row>
    <row r="86" spans="2:12" ht="15">
      <c r="B86" s="807" t="str">
        <f>PL!B58</f>
        <v>Firm Registration No 18, Satellite,</v>
      </c>
      <c r="C86" s="812"/>
      <c r="D86" s="809"/>
      <c r="E86" s="813" t="s">
        <v>464</v>
      </c>
      <c r="F86" s="808"/>
      <c r="G86" s="815"/>
      <c r="I86" s="781"/>
      <c r="J86" s="781"/>
      <c r="K86" s="781"/>
      <c r="L86" s="781"/>
    </row>
    <row r="87" spans="2:12" ht="15">
      <c r="B87" s="807" t="str">
        <f>PL!B59</f>
        <v>(Chartered Accountants)</v>
      </c>
      <c r="C87" s="812"/>
      <c r="D87" s="809"/>
      <c r="E87" s="813" t="s">
        <v>464</v>
      </c>
      <c r="F87" s="808"/>
      <c r="G87" s="815"/>
      <c r="I87" s="781"/>
      <c r="J87" s="781"/>
      <c r="K87" s="781"/>
      <c r="L87" s="781"/>
    </row>
    <row r="88" spans="2:12">
      <c r="B88" s="807" t="s">
        <v>464</v>
      </c>
      <c r="C88" s="812"/>
      <c r="D88" s="813" t="str">
        <f>PL!F60</f>
        <v>Subhash Gupta</v>
      </c>
      <c r="F88" s="813" t="str">
        <f>PL!H60</f>
        <v>Tarun Kumar</v>
      </c>
      <c r="G88" s="827"/>
      <c r="I88" s="781"/>
      <c r="J88" s="781"/>
      <c r="K88" s="781"/>
      <c r="L88" s="781"/>
    </row>
    <row r="89" spans="2:12">
      <c r="B89" s="807" t="s">
        <v>464</v>
      </c>
      <c r="C89" s="812"/>
      <c r="D89" s="813" t="str">
        <f>PL!F61</f>
        <v>Director</v>
      </c>
      <c r="F89" s="813" t="str">
        <f>PL!H61</f>
        <v>Director</v>
      </c>
      <c r="G89" s="827"/>
      <c r="I89" s="781"/>
      <c r="J89" s="781"/>
      <c r="K89" s="781"/>
      <c r="L89" s="781"/>
    </row>
    <row r="90" spans="2:12">
      <c r="B90" s="807" t="str">
        <f>PL!B62</f>
        <v>, Prop.)</v>
      </c>
      <c r="C90" s="812"/>
      <c r="D90" s="809"/>
      <c r="E90" s="813" t="s">
        <v>464</v>
      </c>
      <c r="F90" s="816"/>
      <c r="G90" s="817"/>
      <c r="I90" s="781"/>
      <c r="J90" s="781"/>
      <c r="K90" s="781"/>
      <c r="L90" s="781"/>
    </row>
    <row r="91" spans="2:12" ht="15">
      <c r="B91" s="807" t="str">
        <f>PL!B63</f>
        <v>99999</v>
      </c>
      <c r="C91" s="818"/>
      <c r="D91" s="809"/>
      <c r="E91" s="813" t="s">
        <v>464</v>
      </c>
      <c r="F91" s="816"/>
      <c r="G91" s="819"/>
      <c r="I91" s="781"/>
      <c r="J91" s="781"/>
      <c r="K91" s="781"/>
      <c r="L91" s="781"/>
    </row>
    <row r="92" spans="2:12" ht="15">
      <c r="B92" s="807" t="str">
        <f>PL!B64</f>
        <v>DELHI</v>
      </c>
      <c r="C92" s="820"/>
      <c r="D92" s="809"/>
      <c r="E92" s="813" t="str">
        <f>PL!F64</f>
        <v/>
      </c>
      <c r="F92" s="816"/>
      <c r="G92" s="814"/>
      <c r="I92" s="781"/>
      <c r="J92" s="781"/>
      <c r="K92" s="781"/>
      <c r="L92" s="781"/>
    </row>
    <row r="93" spans="2:12" ht="15">
      <c r="B93" s="807" t="s">
        <v>464</v>
      </c>
      <c r="C93" s="812"/>
      <c r="D93" s="809"/>
      <c r="E93" s="813" t="str">
        <f>PL!F65</f>
        <v/>
      </c>
      <c r="F93" s="821"/>
      <c r="G93" s="817"/>
      <c r="I93" s="781"/>
      <c r="J93" s="781"/>
      <c r="K93" s="781"/>
      <c r="L93" s="781"/>
    </row>
    <row r="94" spans="2:12">
      <c r="B94" s="807" t="str">
        <f>PL!B66</f>
        <v>Place :DELHI</v>
      </c>
      <c r="C94" s="812"/>
      <c r="D94" s="809"/>
      <c r="E94" s="813" t="s">
        <v>464</v>
      </c>
      <c r="F94" s="808"/>
      <c r="G94" s="822"/>
      <c r="I94" s="781"/>
      <c r="J94" s="781"/>
      <c r="K94" s="781"/>
      <c r="L94" s="781"/>
    </row>
    <row r="95" spans="2:12">
      <c r="B95" s="823" t="str">
        <f>PL!B67</f>
        <v>Date :01/09/2012</v>
      </c>
      <c r="C95" s="824"/>
      <c r="D95" s="825"/>
      <c r="E95" s="824"/>
      <c r="F95" s="824"/>
      <c r="G95" s="826"/>
      <c r="I95" s="781"/>
      <c r="J95" s="781"/>
      <c r="K95" s="781"/>
      <c r="L95" s="781"/>
    </row>
    <row r="96" spans="2:12">
      <c r="I96" s="781"/>
      <c r="J96" s="781"/>
      <c r="K96" s="781"/>
      <c r="L96" s="781"/>
    </row>
    <row r="97" spans="9:12">
      <c r="I97" s="781"/>
      <c r="J97" s="781"/>
      <c r="K97" s="781"/>
      <c r="L97" s="781"/>
    </row>
    <row r="98" spans="9:12">
      <c r="I98" s="781"/>
      <c r="J98" s="781"/>
      <c r="K98" s="781"/>
      <c r="L98" s="781"/>
    </row>
    <row r="99" spans="9:12">
      <c r="I99" s="781"/>
      <c r="J99" s="781"/>
      <c r="K99" s="781"/>
      <c r="L99" s="781"/>
    </row>
    <row r="100" spans="9:12">
      <c r="I100" s="781"/>
      <c r="J100" s="781"/>
      <c r="K100" s="781"/>
      <c r="L100" s="781"/>
    </row>
    <row r="101" spans="9:12">
      <c r="I101" s="781"/>
      <c r="J101" s="781"/>
      <c r="K101" s="781"/>
      <c r="L101" s="781"/>
    </row>
    <row r="102" spans="9:12">
      <c r="I102" s="781"/>
      <c r="J102" s="781"/>
      <c r="K102" s="781"/>
      <c r="L102" s="781"/>
    </row>
    <row r="103" spans="9:12">
      <c r="I103" s="781"/>
      <c r="J103" s="781"/>
      <c r="K103" s="781"/>
      <c r="L103" s="781"/>
    </row>
    <row r="104" spans="9:12">
      <c r="I104" s="781"/>
      <c r="J104" s="781"/>
      <c r="K104" s="781"/>
      <c r="L104" s="781"/>
    </row>
    <row r="105" spans="9:12">
      <c r="I105" s="781"/>
      <c r="J105" s="781"/>
      <c r="K105" s="781"/>
      <c r="L105" s="781"/>
    </row>
    <row r="106" spans="9:12">
      <c r="I106" s="781"/>
      <c r="J106" s="781"/>
      <c r="K106" s="781"/>
      <c r="L106" s="781"/>
    </row>
    <row r="107" spans="9:12">
      <c r="I107" s="781"/>
      <c r="J107" s="781"/>
      <c r="K107" s="781"/>
      <c r="L107" s="781"/>
    </row>
    <row r="108" spans="9:12">
      <c r="I108" s="781"/>
      <c r="J108" s="781"/>
      <c r="K108" s="781"/>
      <c r="L108" s="781"/>
    </row>
    <row r="109" spans="9:12">
      <c r="I109" s="781"/>
      <c r="J109" s="781"/>
      <c r="K109" s="781"/>
      <c r="L109" s="781"/>
    </row>
    <row r="110" spans="9:12">
      <c r="I110" s="781"/>
      <c r="J110" s="781"/>
      <c r="K110" s="781"/>
      <c r="L110" s="781"/>
    </row>
    <row r="111" spans="9:12">
      <c r="I111" s="781"/>
      <c r="J111" s="781"/>
      <c r="K111" s="781"/>
      <c r="L111" s="781"/>
    </row>
    <row r="112" spans="9:12">
      <c r="I112" s="781"/>
      <c r="J112" s="781"/>
      <c r="K112" s="781"/>
      <c r="L112" s="781"/>
    </row>
    <row r="113" spans="9:12">
      <c r="I113" s="781"/>
      <c r="J113" s="781"/>
      <c r="K113" s="781"/>
      <c r="L113" s="781"/>
    </row>
    <row r="114" spans="9:12">
      <c r="I114" s="781"/>
      <c r="J114" s="781"/>
      <c r="K114" s="781"/>
      <c r="L114" s="781"/>
    </row>
    <row r="115" spans="9:12">
      <c r="I115" s="781"/>
      <c r="J115" s="781"/>
      <c r="K115" s="781"/>
      <c r="L115" s="781"/>
    </row>
    <row r="116" spans="9:12">
      <c r="I116" s="781"/>
      <c r="J116" s="781"/>
      <c r="K116" s="781"/>
      <c r="L116" s="781"/>
    </row>
    <row r="117" spans="9:12">
      <c r="I117" s="781"/>
      <c r="J117" s="781"/>
      <c r="K117" s="781"/>
      <c r="L117" s="781"/>
    </row>
    <row r="118" spans="9:12">
      <c r="I118" s="781"/>
      <c r="J118" s="781"/>
      <c r="K118" s="781"/>
      <c r="L118" s="781"/>
    </row>
    <row r="119" spans="9:12">
      <c r="I119" s="781"/>
      <c r="J119" s="781"/>
      <c r="K119" s="781"/>
      <c r="L119" s="781"/>
    </row>
    <row r="120" spans="9:12">
      <c r="I120" s="781"/>
      <c r="J120" s="781"/>
      <c r="K120" s="781"/>
      <c r="L120" s="781"/>
    </row>
  </sheetData>
  <mergeCells count="20">
    <mergeCell ref="B73:C73"/>
    <mergeCell ref="B2:G2"/>
    <mergeCell ref="B3:G3"/>
    <mergeCell ref="B5:G5"/>
    <mergeCell ref="D6:G6"/>
    <mergeCell ref="B7:C7"/>
    <mergeCell ref="D7:E7"/>
    <mergeCell ref="F7:G7"/>
    <mergeCell ref="B36:C36"/>
    <mergeCell ref="B38:C38"/>
    <mergeCell ref="B41:C41"/>
    <mergeCell ref="B52:C52"/>
    <mergeCell ref="B70:C70"/>
    <mergeCell ref="B83:F83"/>
    <mergeCell ref="B76:C76"/>
    <mergeCell ref="B77:C77"/>
    <mergeCell ref="B78:C78"/>
    <mergeCell ref="B79:C79"/>
    <mergeCell ref="B80:C80"/>
    <mergeCell ref="B81:C81"/>
  </mergeCells>
  <pageMargins left="0.31496062992126" right="0.118110236220472" top="0.511811023622047" bottom="0.511811023622047" header="0.511811023622047" footer="0.511811023622047"/>
  <pageSetup scale="94" fitToHeight="2" orientation="portrait" r:id="rId1"/>
  <headerFooter alignWithMargins="0"/>
</worksheet>
</file>

<file path=xl/worksheets/sheet17.xml><?xml version="1.0" encoding="utf-8"?>
<worksheet xmlns="http://schemas.openxmlformats.org/spreadsheetml/2006/main" xmlns:r="http://schemas.openxmlformats.org/officeDocument/2006/relationships">
  <sheetPr codeName="Sheet3">
    <tabColor rgb="FF92D050"/>
  </sheetPr>
  <dimension ref="B1:Q76"/>
  <sheetViews>
    <sheetView workbookViewId="0">
      <selection activeCell="B6" sqref="B6"/>
    </sheetView>
  </sheetViews>
  <sheetFormatPr defaultRowHeight="15"/>
  <cols>
    <col min="5" max="5" width="26.5703125" customWidth="1"/>
    <col min="6" max="6" width="17.140625" customWidth="1"/>
    <col min="7" max="7" width="17.85546875" customWidth="1"/>
  </cols>
  <sheetData>
    <row r="1" spans="2:17" ht="18.75">
      <c r="B1" s="126" t="str">
        <f>PL!B1</f>
        <v>ABC LTD</v>
      </c>
      <c r="C1" s="126"/>
      <c r="D1" s="126"/>
      <c r="E1" s="126"/>
      <c r="F1" s="126"/>
      <c r="G1" s="126"/>
      <c r="H1" s="126"/>
      <c r="I1" s="126"/>
      <c r="J1" s="126"/>
      <c r="K1" s="126"/>
      <c r="L1" s="126"/>
      <c r="M1" s="126"/>
      <c r="N1" s="126"/>
      <c r="O1" s="126"/>
      <c r="P1" s="126"/>
      <c r="Q1" s="126"/>
    </row>
    <row r="2" spans="2:17" ht="15.75" thickBot="1">
      <c r="B2" s="127" t="str">
        <f>CONCATENATE("Notes to financial statements for the year ended ",F4)</f>
        <v>Notes to financial statements for the year ended 31/03/2012</v>
      </c>
      <c r="C2" s="127"/>
      <c r="D2" s="127"/>
      <c r="E2" s="127"/>
      <c r="F2" s="127"/>
      <c r="G2" s="127"/>
      <c r="H2" s="128"/>
      <c r="I2" s="128"/>
      <c r="J2" s="128"/>
      <c r="K2" s="128"/>
      <c r="L2" s="128"/>
      <c r="M2" s="124"/>
      <c r="N2" s="125"/>
      <c r="O2" s="125"/>
      <c r="P2" s="125"/>
      <c r="Q2" s="125"/>
    </row>
    <row r="3" spans="2:17" ht="15.75" thickBot="1">
      <c r="B3" s="122"/>
      <c r="C3" s="122"/>
      <c r="D3" s="122"/>
      <c r="E3" s="122"/>
      <c r="F3" s="122"/>
      <c r="G3" s="122"/>
      <c r="H3" s="123"/>
      <c r="I3" s="123"/>
      <c r="J3" s="123"/>
      <c r="K3" s="123"/>
      <c r="L3" s="123"/>
      <c r="M3" s="124"/>
      <c r="N3" s="125"/>
      <c r="O3" s="125"/>
      <c r="P3" s="125"/>
      <c r="Q3" s="125"/>
    </row>
    <row r="4" spans="2:17" ht="16.5" thickBot="1">
      <c r="B4" s="36" t="s">
        <v>495</v>
      </c>
      <c r="C4" s="25"/>
      <c r="D4" s="25"/>
      <c r="E4" s="25"/>
      <c r="F4" s="31" t="str">
        <f>PL!F4</f>
        <v>31/03/2012</v>
      </c>
      <c r="G4" s="35" t="str">
        <f>PL!H4</f>
        <v>31/03/2011</v>
      </c>
    </row>
    <row r="5" spans="2:17">
      <c r="B5" s="7" t="s">
        <v>176</v>
      </c>
      <c r="C5" s="61"/>
      <c r="D5" s="61"/>
      <c r="E5" s="61"/>
      <c r="F5" s="62"/>
      <c r="G5" s="61"/>
    </row>
    <row r="6" spans="2:17">
      <c r="B6" s="1" t="str">
        <f>CONCATENATE("Equity Shares ",master!B63," of Rs.",master!D63," each")</f>
        <v>Equity Shares 10000 of Rs.10 each</v>
      </c>
      <c r="C6" s="61"/>
      <c r="D6" s="61"/>
      <c r="E6" s="61"/>
      <c r="F6" s="11">
        <f>master!B63*master!D63</f>
        <v>100000</v>
      </c>
      <c r="G6" s="149">
        <f>master!C63*master!D63</f>
        <v>100000</v>
      </c>
    </row>
    <row r="7" spans="2:17" ht="15.75" thickBot="1">
      <c r="B7" s="1"/>
      <c r="C7" s="61"/>
      <c r="D7" s="61"/>
      <c r="E7" s="61"/>
      <c r="F7" s="46">
        <f>SUM(F6)</f>
        <v>100000</v>
      </c>
      <c r="G7" s="45">
        <f>SUM(G6)</f>
        <v>100000</v>
      </c>
    </row>
    <row r="8" spans="2:17">
      <c r="B8" s="1"/>
      <c r="C8" s="61"/>
      <c r="D8" s="61"/>
      <c r="E8" s="61"/>
      <c r="F8" s="62"/>
      <c r="G8" s="61"/>
    </row>
    <row r="9" spans="2:17">
      <c r="B9" s="7" t="s">
        <v>177</v>
      </c>
      <c r="C9" s="61"/>
      <c r="D9" s="61"/>
      <c r="E9" s="61"/>
      <c r="F9" s="62"/>
      <c r="G9" s="61"/>
    </row>
    <row r="10" spans="2:17">
      <c r="B10" s="1" t="str">
        <f>CONCATENATE("Equity Shares ",master!B72," of Rs.",master!D72," each")</f>
        <v>Equity Shares 10000 of Rs.10 each</v>
      </c>
      <c r="C10" s="61"/>
      <c r="D10" s="61"/>
      <c r="E10" s="61"/>
      <c r="F10" s="149">
        <f>master!B72*master!D72</f>
        <v>100000</v>
      </c>
      <c r="G10" s="149">
        <f>master!C72*master!D72</f>
        <v>100000</v>
      </c>
    </row>
    <row r="11" spans="2:17">
      <c r="B11" s="1"/>
      <c r="C11" s="61"/>
      <c r="D11" s="61"/>
      <c r="E11" s="61"/>
      <c r="F11" s="15">
        <f>SUM(F10)</f>
        <v>100000</v>
      </c>
      <c r="G11" s="60">
        <f>SUM(G10)</f>
        <v>100000</v>
      </c>
    </row>
    <row r="12" spans="2:17">
      <c r="B12" s="1"/>
      <c r="C12" s="61"/>
      <c r="D12" s="61"/>
      <c r="E12" s="61"/>
      <c r="F12" s="62"/>
      <c r="G12" s="61"/>
    </row>
    <row r="13" spans="2:17">
      <c r="B13" s="7" t="s">
        <v>178</v>
      </c>
      <c r="C13" s="61"/>
      <c r="D13" s="61"/>
      <c r="E13" s="61"/>
      <c r="F13" s="62"/>
      <c r="G13" s="61"/>
    </row>
    <row r="14" spans="2:17">
      <c r="B14" s="1"/>
      <c r="C14" s="61"/>
      <c r="D14" s="61"/>
      <c r="E14" s="61"/>
      <c r="F14" s="39" t="s">
        <v>459</v>
      </c>
      <c r="G14" s="39" t="s">
        <v>459</v>
      </c>
    </row>
    <row r="15" spans="2:17">
      <c r="B15" s="1"/>
      <c r="C15" s="61"/>
      <c r="D15" s="61"/>
      <c r="E15" s="61"/>
      <c r="F15" s="41"/>
      <c r="G15" s="60"/>
    </row>
    <row r="16" spans="2:17">
      <c r="B16" s="1"/>
      <c r="C16" s="61"/>
      <c r="D16" s="61"/>
      <c r="E16" s="61"/>
      <c r="F16" s="120"/>
      <c r="G16" s="121"/>
    </row>
    <row r="17" spans="2:7">
      <c r="B17" s="7" t="s">
        <v>179</v>
      </c>
      <c r="C17" s="61"/>
      <c r="D17" s="61"/>
      <c r="E17" s="61"/>
      <c r="F17" s="39" t="s">
        <v>459</v>
      </c>
      <c r="G17" s="39" t="s">
        <v>459</v>
      </c>
    </row>
    <row r="18" spans="2:7">
      <c r="B18" s="1"/>
      <c r="C18" s="61"/>
      <c r="D18" s="61"/>
      <c r="E18" s="61"/>
      <c r="F18" s="39"/>
      <c r="G18" s="42"/>
    </row>
    <row r="19" spans="2:7">
      <c r="B19" s="1"/>
      <c r="C19" s="61"/>
      <c r="D19" s="61"/>
      <c r="E19" s="61"/>
      <c r="F19" s="41"/>
      <c r="G19" s="60"/>
    </row>
    <row r="20" spans="2:7">
      <c r="B20" s="1"/>
      <c r="C20" s="61"/>
      <c r="D20" s="61"/>
      <c r="E20" s="61"/>
      <c r="F20" s="120"/>
      <c r="G20" s="121"/>
    </row>
    <row r="21" spans="2:7">
      <c r="B21" s="7" t="s">
        <v>180</v>
      </c>
      <c r="C21" s="61"/>
      <c r="D21" s="61"/>
      <c r="E21" s="61"/>
      <c r="F21" s="39" t="s">
        <v>459</v>
      </c>
      <c r="G21" s="39" t="s">
        <v>459</v>
      </c>
    </row>
    <row r="22" spans="2:7">
      <c r="B22" s="1"/>
      <c r="C22" s="61"/>
      <c r="D22" s="61"/>
      <c r="E22" s="61"/>
      <c r="F22" s="39"/>
      <c r="G22" s="42"/>
    </row>
    <row r="23" spans="2:7">
      <c r="B23" s="61"/>
      <c r="C23" s="61"/>
      <c r="D23" s="61"/>
      <c r="E23" s="61"/>
      <c r="F23" s="41"/>
      <c r="G23" s="60"/>
    </row>
    <row r="24" spans="2:7">
      <c r="B24" s="61"/>
      <c r="C24" s="61"/>
      <c r="D24" s="61"/>
      <c r="E24" s="61"/>
      <c r="F24" s="120"/>
      <c r="G24" s="121"/>
    </row>
    <row r="25" spans="2:7">
      <c r="B25" s="7" t="s">
        <v>181</v>
      </c>
      <c r="C25" s="61"/>
      <c r="D25" s="61"/>
      <c r="E25" s="61"/>
      <c r="F25" s="39" t="s">
        <v>459</v>
      </c>
      <c r="G25" s="39" t="s">
        <v>459</v>
      </c>
    </row>
    <row r="26" spans="2:7">
      <c r="B26" s="1"/>
      <c r="C26" s="61"/>
      <c r="D26" s="61"/>
      <c r="E26" s="61"/>
      <c r="F26" s="39"/>
      <c r="G26" s="42"/>
    </row>
    <row r="27" spans="2:7">
      <c r="B27" s="61"/>
      <c r="C27" s="61"/>
      <c r="D27" s="61"/>
      <c r="E27" s="61"/>
      <c r="F27" s="15"/>
      <c r="G27" s="63"/>
    </row>
    <row r="28" spans="2:7">
      <c r="B28" s="61"/>
      <c r="C28" s="61"/>
      <c r="D28" s="61"/>
      <c r="E28" s="61"/>
      <c r="F28" s="62"/>
      <c r="G28" s="61"/>
    </row>
    <row r="29" spans="2:7" ht="15.75" thickBot="1">
      <c r="B29" s="44"/>
      <c r="C29" s="44"/>
      <c r="D29" s="44"/>
      <c r="E29" s="44"/>
      <c r="F29" s="46">
        <f>F11</f>
        <v>100000</v>
      </c>
      <c r="G29" s="45">
        <f>SUM(G11)</f>
        <v>100000</v>
      </c>
    </row>
    <row r="30" spans="2:7">
      <c r="B30" s="7"/>
      <c r="C30" s="1"/>
      <c r="D30" s="1"/>
      <c r="E30" s="1"/>
      <c r="F30" s="9"/>
      <c r="G30" s="1"/>
    </row>
    <row r="31" spans="2:7">
      <c r="B31" s="61"/>
      <c r="C31" s="61"/>
      <c r="D31" s="61"/>
      <c r="E31" s="61"/>
      <c r="F31" s="62"/>
      <c r="G31" s="61"/>
    </row>
    <row r="32" spans="2:7">
      <c r="B32" s="8" t="s">
        <v>182</v>
      </c>
      <c r="C32" s="61"/>
      <c r="D32" s="61"/>
      <c r="E32" s="61"/>
      <c r="F32" s="62"/>
      <c r="G32" s="61"/>
    </row>
    <row r="33" spans="2:7">
      <c r="B33" s="8" t="s">
        <v>183</v>
      </c>
      <c r="C33" s="61"/>
      <c r="D33" s="61"/>
      <c r="E33" s="61"/>
      <c r="F33" s="62"/>
      <c r="G33" s="61"/>
    </row>
    <row r="34" spans="2:7">
      <c r="B34" s="2"/>
      <c r="C34" s="61"/>
      <c r="D34" s="62"/>
      <c r="E34" s="61"/>
      <c r="F34" s="62"/>
      <c r="G34" s="61"/>
    </row>
    <row r="35" spans="2:7">
      <c r="B35" s="2"/>
      <c r="C35" s="61"/>
      <c r="D35" s="61"/>
      <c r="E35" s="61"/>
      <c r="F35" s="62"/>
      <c r="G35" s="61"/>
    </row>
    <row r="36" spans="2:7">
      <c r="B36" s="2" t="s">
        <v>184</v>
      </c>
      <c r="C36" s="61"/>
      <c r="D36" s="61"/>
      <c r="E36" s="61"/>
      <c r="F36" s="62"/>
      <c r="G36" s="61"/>
    </row>
    <row r="37" spans="2:7">
      <c r="B37" s="4" t="s">
        <v>185</v>
      </c>
      <c r="C37" s="61"/>
      <c r="D37" s="61"/>
      <c r="E37" s="61"/>
      <c r="F37" s="62"/>
      <c r="G37" s="61"/>
    </row>
    <row r="38" spans="2:7">
      <c r="B38" s="4" t="s">
        <v>186</v>
      </c>
      <c r="C38" s="61"/>
      <c r="D38" s="61"/>
      <c r="E38" s="61"/>
      <c r="F38" s="62"/>
      <c r="G38" s="61"/>
    </row>
    <row r="39" spans="2:7">
      <c r="B39" s="4" t="s">
        <v>187</v>
      </c>
      <c r="C39" s="61"/>
      <c r="D39" s="61"/>
      <c r="E39" s="61"/>
      <c r="F39" s="62"/>
      <c r="G39" s="61"/>
    </row>
    <row r="40" spans="2:7">
      <c r="B40" s="2"/>
      <c r="C40" s="61"/>
      <c r="D40" s="61"/>
      <c r="E40" s="61"/>
      <c r="F40" s="62"/>
      <c r="G40" s="61"/>
    </row>
    <row r="41" spans="2:7">
      <c r="B41" s="5" t="s">
        <v>188</v>
      </c>
      <c r="C41" s="61"/>
      <c r="D41" s="61"/>
      <c r="E41" s="61"/>
      <c r="F41" s="62"/>
      <c r="G41" s="61"/>
    </row>
    <row r="42" spans="2:7">
      <c r="B42" s="2"/>
      <c r="C42" s="61"/>
      <c r="D42" s="61"/>
      <c r="E42" s="61"/>
      <c r="F42" s="62"/>
      <c r="G42" s="61"/>
    </row>
    <row r="43" spans="2:7">
      <c r="B43" s="2"/>
      <c r="C43" s="61"/>
      <c r="D43" s="61"/>
      <c r="E43" s="61"/>
      <c r="F43" s="62"/>
      <c r="G43" s="61"/>
    </row>
    <row r="44" spans="2:7">
      <c r="B44" s="2" t="s">
        <v>184</v>
      </c>
      <c r="C44" s="61"/>
      <c r="D44" s="61"/>
      <c r="E44" s="61"/>
      <c r="F44" s="62"/>
      <c r="G44" s="61"/>
    </row>
    <row r="45" spans="2:7">
      <c r="B45" s="4" t="s">
        <v>185</v>
      </c>
      <c r="C45" s="61"/>
      <c r="D45" s="61"/>
      <c r="E45" s="61"/>
      <c r="F45" s="62"/>
      <c r="G45" s="61"/>
    </row>
    <row r="46" spans="2:7">
      <c r="B46" s="4" t="s">
        <v>186</v>
      </c>
      <c r="C46" s="61"/>
      <c r="D46" s="61"/>
      <c r="E46" s="61"/>
      <c r="F46" s="62"/>
      <c r="G46" s="61"/>
    </row>
    <row r="47" spans="2:7">
      <c r="B47" s="4" t="s">
        <v>187</v>
      </c>
      <c r="C47" s="61"/>
      <c r="D47" s="61"/>
      <c r="E47" s="61"/>
      <c r="F47" s="62"/>
      <c r="G47" s="61"/>
    </row>
    <row r="48" spans="2:7">
      <c r="B48" s="2"/>
      <c r="C48" s="61"/>
      <c r="D48" s="61"/>
      <c r="E48" s="61"/>
      <c r="F48" s="62"/>
      <c r="G48" s="61"/>
    </row>
    <row r="49" spans="2:7">
      <c r="B49" s="2"/>
      <c r="C49" s="61"/>
      <c r="D49" s="61"/>
      <c r="E49" s="61"/>
      <c r="F49" s="62"/>
      <c r="G49" s="61"/>
    </row>
    <row r="50" spans="2:7">
      <c r="B50" s="5" t="s">
        <v>189</v>
      </c>
      <c r="C50" s="61"/>
      <c r="D50" s="61"/>
      <c r="E50" s="61"/>
      <c r="F50" s="62"/>
      <c r="G50" s="61"/>
    </row>
    <row r="51" spans="2:7">
      <c r="B51" s="2"/>
      <c r="C51" s="61"/>
      <c r="D51" s="61"/>
      <c r="E51" s="61"/>
      <c r="F51" s="62"/>
      <c r="G51" s="61"/>
    </row>
    <row r="52" spans="2:7">
      <c r="B52" s="2"/>
      <c r="C52" s="61"/>
      <c r="D52" s="61"/>
      <c r="E52" s="61"/>
      <c r="F52" s="62"/>
      <c r="G52" s="61"/>
    </row>
    <row r="53" spans="2:7">
      <c r="B53" s="2"/>
      <c r="C53" s="61"/>
      <c r="D53" s="61"/>
      <c r="E53" s="61"/>
      <c r="F53" s="62"/>
      <c r="G53" s="61"/>
    </row>
    <row r="54" spans="2:7">
      <c r="B54" s="8" t="s">
        <v>190</v>
      </c>
      <c r="C54" s="61"/>
      <c r="D54" s="61"/>
      <c r="E54" s="61"/>
      <c r="F54" s="62"/>
      <c r="G54" s="61"/>
    </row>
    <row r="55" spans="2:7">
      <c r="B55" s="2"/>
      <c r="C55" s="61"/>
      <c r="D55" s="61"/>
      <c r="E55" s="61"/>
      <c r="F55" s="62"/>
      <c r="G55" s="61"/>
    </row>
    <row r="56" spans="2:7">
      <c r="B56" s="2"/>
      <c r="C56" s="61"/>
      <c r="D56" s="61"/>
      <c r="E56" s="61"/>
      <c r="F56" s="62"/>
      <c r="G56" s="61"/>
    </row>
    <row r="57" spans="2:7">
      <c r="B57" s="2"/>
      <c r="C57" s="61"/>
      <c r="D57" s="61"/>
      <c r="E57" s="61"/>
      <c r="F57" s="62"/>
      <c r="G57" s="61"/>
    </row>
    <row r="58" spans="2:7">
      <c r="B58" s="8" t="s">
        <v>191</v>
      </c>
      <c r="C58" s="61"/>
      <c r="D58" s="61"/>
      <c r="E58" s="61"/>
      <c r="F58" s="62"/>
      <c r="G58" s="61"/>
    </row>
    <row r="59" spans="2:7">
      <c r="B59" s="2"/>
      <c r="C59" s="61"/>
      <c r="D59" s="61"/>
      <c r="E59" s="61"/>
      <c r="F59" s="62"/>
      <c r="G59" s="61"/>
    </row>
    <row r="60" spans="2:7">
      <c r="B60" s="2"/>
      <c r="C60" s="61"/>
      <c r="D60" s="61"/>
      <c r="E60" s="61"/>
      <c r="F60" s="62"/>
      <c r="G60" s="61"/>
    </row>
    <row r="61" spans="2:7">
      <c r="B61" s="2"/>
      <c r="C61" s="61"/>
      <c r="D61" s="61"/>
      <c r="E61" s="61"/>
      <c r="F61" s="62"/>
      <c r="G61" s="61"/>
    </row>
    <row r="62" spans="2:7">
      <c r="B62" s="8" t="s">
        <v>192</v>
      </c>
      <c r="C62" s="61"/>
      <c r="D62" s="61"/>
      <c r="E62" s="61"/>
      <c r="F62" s="62"/>
      <c r="G62" s="61"/>
    </row>
    <row r="63" spans="2:7">
      <c r="B63" s="2"/>
      <c r="C63" s="61"/>
      <c r="D63" s="61"/>
      <c r="E63" s="61"/>
      <c r="F63" s="62"/>
      <c r="G63" s="61"/>
    </row>
    <row r="64" spans="2:7">
      <c r="B64" s="2"/>
      <c r="C64" s="61"/>
      <c r="D64" s="61"/>
      <c r="E64" s="61"/>
      <c r="F64" s="62"/>
      <c r="G64" s="61"/>
    </row>
    <row r="65" spans="2:7">
      <c r="B65" s="2"/>
      <c r="C65" s="61"/>
      <c r="D65" s="61"/>
      <c r="E65" s="61"/>
      <c r="F65" s="62"/>
      <c r="G65" s="61"/>
    </row>
    <row r="66" spans="2:7">
      <c r="B66" s="8" t="s">
        <v>193</v>
      </c>
      <c r="C66" s="61"/>
      <c r="D66" s="61"/>
      <c r="E66" s="61"/>
      <c r="F66" s="62"/>
      <c r="G66" s="61"/>
    </row>
    <row r="67" spans="2:7">
      <c r="B67" s="2"/>
      <c r="C67" s="61"/>
      <c r="D67" s="61"/>
      <c r="E67" s="61"/>
      <c r="F67" s="62"/>
      <c r="G67" s="61"/>
    </row>
    <row r="68" spans="2:7">
      <c r="B68" s="2"/>
      <c r="C68" s="61"/>
      <c r="D68" s="61"/>
      <c r="E68" s="61"/>
      <c r="F68" s="62"/>
      <c r="G68" s="61"/>
    </row>
    <row r="69" spans="2:7">
      <c r="B69" s="2"/>
      <c r="C69" s="61"/>
      <c r="D69" s="61"/>
      <c r="E69" s="61"/>
      <c r="F69" s="62"/>
      <c r="G69" s="61"/>
    </row>
    <row r="70" spans="2:7">
      <c r="B70" s="8" t="s">
        <v>194</v>
      </c>
      <c r="C70" s="61"/>
      <c r="D70" s="61"/>
      <c r="E70" s="61"/>
      <c r="F70" s="62"/>
      <c r="G70" s="61"/>
    </row>
    <row r="71" spans="2:7">
      <c r="B71" s="2"/>
      <c r="C71" s="61"/>
      <c r="D71" s="61"/>
      <c r="E71" s="61"/>
      <c r="F71" s="62"/>
      <c r="G71" s="61"/>
    </row>
    <row r="72" spans="2:7">
      <c r="B72" s="2"/>
      <c r="C72" s="61"/>
      <c r="D72" s="61"/>
      <c r="E72" s="61"/>
      <c r="F72" s="62"/>
      <c r="G72" s="61"/>
    </row>
    <row r="73" spans="2:7">
      <c r="B73" s="2"/>
      <c r="C73" s="61"/>
      <c r="D73" s="61"/>
      <c r="E73" s="61"/>
      <c r="F73" s="62"/>
      <c r="G73" s="61"/>
    </row>
    <row r="74" spans="2:7">
      <c r="B74" s="8" t="s">
        <v>195</v>
      </c>
      <c r="C74" s="61"/>
      <c r="D74" s="61"/>
      <c r="E74" s="61"/>
      <c r="F74" s="62"/>
      <c r="G74" s="61"/>
    </row>
    <row r="75" spans="2:7">
      <c r="B75" s="61"/>
      <c r="C75" s="61"/>
      <c r="D75" s="61"/>
      <c r="E75" s="61"/>
      <c r="F75" s="62"/>
      <c r="G75" s="61"/>
    </row>
    <row r="76" spans="2:7">
      <c r="B76" s="61"/>
      <c r="C76" s="61"/>
      <c r="D76" s="61"/>
      <c r="E76" s="61"/>
      <c r="F76" s="62"/>
      <c r="G76" s="61"/>
    </row>
  </sheetData>
  <pageMargins left="0.45" right="0.2" top="0.75" bottom="0.75" header="0.3" footer="0.3"/>
  <pageSetup orientation="portrait" r:id="rId1"/>
</worksheet>
</file>

<file path=xl/worksheets/sheet18.xml><?xml version="1.0" encoding="utf-8"?>
<worksheet xmlns="http://schemas.openxmlformats.org/spreadsheetml/2006/main" xmlns:r="http://schemas.openxmlformats.org/officeDocument/2006/relationships">
  <sheetPr codeName="Sheet4">
    <tabColor rgb="FF92D050"/>
  </sheetPr>
  <dimension ref="B1:G35"/>
  <sheetViews>
    <sheetView workbookViewId="0">
      <selection activeCell="A15" sqref="A15"/>
    </sheetView>
  </sheetViews>
  <sheetFormatPr defaultRowHeight="15"/>
  <cols>
    <col min="1" max="1" width="5.85546875" customWidth="1"/>
    <col min="5" max="5" width="18.5703125" customWidth="1"/>
    <col min="6" max="6" width="16.5703125" customWidth="1"/>
    <col min="7" max="7" width="21.85546875" customWidth="1"/>
  </cols>
  <sheetData>
    <row r="1" spans="2:7" ht="18.75">
      <c r="B1" s="126" t="str">
        <f>PL!B1</f>
        <v>ABC LTD</v>
      </c>
      <c r="C1" s="126"/>
      <c r="D1" s="126"/>
      <c r="E1" s="126"/>
      <c r="F1" s="126"/>
      <c r="G1" s="126"/>
    </row>
    <row r="2" spans="2:7" ht="15.75" thickBot="1">
      <c r="B2" s="127" t="str">
        <f>'1'!B2</f>
        <v>Notes to financial statements for the year ended 31/03/2012</v>
      </c>
      <c r="C2" s="127"/>
      <c r="D2" s="127"/>
      <c r="E2" s="127"/>
      <c r="F2" s="127"/>
      <c r="G2" s="127"/>
    </row>
    <row r="4" spans="2:7" ht="16.5" thickBot="1">
      <c r="B4" s="36" t="s">
        <v>496</v>
      </c>
      <c r="C4" s="25"/>
      <c r="D4" s="25"/>
      <c r="E4" s="25"/>
      <c r="F4" s="31" t="s">
        <v>94</v>
      </c>
      <c r="G4" s="35" t="s">
        <v>95</v>
      </c>
    </row>
    <row r="5" spans="2:7">
      <c r="B5" s="7" t="s">
        <v>218</v>
      </c>
      <c r="C5" s="1"/>
      <c r="D5" s="1"/>
      <c r="E5" s="1"/>
      <c r="F5" s="9"/>
      <c r="G5" s="1"/>
    </row>
    <row r="6" spans="2:7">
      <c r="B6" s="1" t="s">
        <v>196</v>
      </c>
      <c r="C6" s="1"/>
      <c r="D6" s="1"/>
      <c r="E6" s="1"/>
      <c r="F6" s="11">
        <f>TB!C9</f>
        <v>0</v>
      </c>
      <c r="G6" s="133">
        <f>TB!E9</f>
        <v>0</v>
      </c>
    </row>
    <row r="7" spans="2:7">
      <c r="B7" s="1" t="s">
        <v>197</v>
      </c>
      <c r="C7" s="1"/>
      <c r="D7" s="1"/>
      <c r="E7" s="1"/>
      <c r="F7" s="133">
        <f>TB!C10</f>
        <v>0</v>
      </c>
      <c r="G7" s="133">
        <f>TB!E10</f>
        <v>0</v>
      </c>
    </row>
    <row r="8" spans="2:7">
      <c r="B8" s="1" t="s">
        <v>198</v>
      </c>
      <c r="C8" s="1"/>
      <c r="D8" s="1"/>
      <c r="E8" s="1"/>
      <c r="F8" s="133">
        <f>TB!B11</f>
        <v>0</v>
      </c>
      <c r="G8" s="133">
        <f>TB!D11</f>
        <v>0</v>
      </c>
    </row>
    <row r="9" spans="2:7">
      <c r="B9" s="1"/>
      <c r="C9" s="1"/>
      <c r="D9" s="1"/>
      <c r="E9" s="1"/>
      <c r="F9" s="15">
        <f>F6+F7-F8</f>
        <v>0</v>
      </c>
      <c r="G9" s="15">
        <f>G6+G7-G8</f>
        <v>0</v>
      </c>
    </row>
    <row r="10" spans="2:7">
      <c r="B10" s="1"/>
      <c r="C10" s="1"/>
      <c r="D10" s="1"/>
      <c r="E10" s="1"/>
      <c r="F10" s="17"/>
      <c r="G10" s="3"/>
    </row>
    <row r="11" spans="2:7">
      <c r="B11" s="7" t="s">
        <v>199</v>
      </c>
      <c r="C11" s="1"/>
      <c r="D11" s="1"/>
      <c r="E11" s="1"/>
      <c r="F11" s="17"/>
      <c r="G11" s="3"/>
    </row>
    <row r="12" spans="2:7">
      <c r="B12" s="1" t="s">
        <v>196</v>
      </c>
      <c r="C12" s="1"/>
      <c r="D12" s="1"/>
      <c r="E12" s="1"/>
      <c r="F12" s="164">
        <f>G33</f>
        <v>0</v>
      </c>
      <c r="G12" s="164">
        <f>TB!E14</f>
        <v>0</v>
      </c>
    </row>
    <row r="13" spans="2:7">
      <c r="B13" s="1" t="s">
        <v>200</v>
      </c>
      <c r="C13" s="1"/>
      <c r="D13" s="1"/>
      <c r="E13" s="1"/>
      <c r="F13" s="11">
        <f>TB!C15</f>
        <v>0</v>
      </c>
      <c r="G13" s="133">
        <f>TB!E15</f>
        <v>0</v>
      </c>
    </row>
    <row r="14" spans="2:7">
      <c r="B14" s="1" t="s">
        <v>201</v>
      </c>
      <c r="C14" s="1"/>
      <c r="D14" s="1"/>
      <c r="E14" s="1"/>
      <c r="F14" s="133">
        <f>TB!C16</f>
        <v>0</v>
      </c>
      <c r="G14" s="133">
        <f>TB!E16</f>
        <v>0</v>
      </c>
    </row>
    <row r="15" spans="2:7">
      <c r="B15" s="1" t="s">
        <v>202</v>
      </c>
      <c r="C15" s="1"/>
      <c r="D15" s="1"/>
      <c r="E15" s="1"/>
      <c r="F15" s="133">
        <f>TB!C17</f>
        <v>0</v>
      </c>
      <c r="G15" s="133">
        <f>TB!E17</f>
        <v>0</v>
      </c>
    </row>
    <row r="16" spans="2:7">
      <c r="B16" s="1" t="s">
        <v>203</v>
      </c>
      <c r="C16" s="1"/>
      <c r="D16" s="1"/>
      <c r="E16" s="1"/>
      <c r="F16" s="133">
        <f>TB!C18</f>
        <v>0</v>
      </c>
      <c r="G16" s="133">
        <f>TB!E18</f>
        <v>0</v>
      </c>
    </row>
    <row r="17" spans="2:7">
      <c r="B17" s="1" t="s">
        <v>204</v>
      </c>
      <c r="C17" s="1"/>
      <c r="D17" s="1"/>
      <c r="E17" s="1"/>
      <c r="F17" s="133">
        <f>TB!C19</f>
        <v>0</v>
      </c>
      <c r="G17" s="133">
        <f>TB!E19</f>
        <v>0</v>
      </c>
    </row>
    <row r="18" spans="2:7">
      <c r="B18" s="1" t="s">
        <v>205</v>
      </c>
      <c r="C18" s="1"/>
      <c r="D18" s="1"/>
      <c r="E18" s="1"/>
      <c r="F18" s="133">
        <f>TB!B20</f>
        <v>0</v>
      </c>
      <c r="G18" s="133">
        <f>TB!D20</f>
        <v>0</v>
      </c>
    </row>
    <row r="19" spans="2:7">
      <c r="B19" s="1" t="s">
        <v>206</v>
      </c>
      <c r="C19" s="1"/>
      <c r="D19" s="1"/>
      <c r="E19" s="1"/>
      <c r="F19" s="133">
        <f>TB!B21</f>
        <v>0</v>
      </c>
      <c r="G19" s="133">
        <f>TB!D21</f>
        <v>0</v>
      </c>
    </row>
    <row r="20" spans="2:7">
      <c r="B20" s="1" t="s">
        <v>207</v>
      </c>
      <c r="C20" s="1"/>
      <c r="D20" s="1"/>
      <c r="E20" s="1"/>
      <c r="F20" s="133">
        <f>TB!B22</f>
        <v>0</v>
      </c>
      <c r="G20" s="133">
        <f>TB!D22</f>
        <v>0</v>
      </c>
    </row>
    <row r="21" spans="2:7">
      <c r="B21" s="1" t="s">
        <v>208</v>
      </c>
      <c r="C21" s="1"/>
      <c r="D21" s="1"/>
      <c r="E21" s="1"/>
      <c r="F21" s="133">
        <f>TB!B23</f>
        <v>0</v>
      </c>
      <c r="G21" s="133">
        <f>TB!D23</f>
        <v>0</v>
      </c>
    </row>
    <row r="22" spans="2:7">
      <c r="B22" s="1" t="s">
        <v>209</v>
      </c>
      <c r="C22" s="1"/>
      <c r="D22" s="1"/>
      <c r="E22" s="1"/>
      <c r="F22" s="133">
        <f>TB!B24</f>
        <v>0</v>
      </c>
      <c r="G22" s="133">
        <f>TB!D24</f>
        <v>0</v>
      </c>
    </row>
    <row r="23" spans="2:7">
      <c r="B23" s="1" t="s">
        <v>210</v>
      </c>
      <c r="C23" s="1"/>
      <c r="D23" s="1"/>
      <c r="E23" s="1"/>
      <c r="F23" s="133">
        <f>TB!B25</f>
        <v>0</v>
      </c>
      <c r="G23" s="133">
        <f>TB!D25</f>
        <v>0</v>
      </c>
    </row>
    <row r="24" spans="2:7">
      <c r="B24" s="1" t="s">
        <v>211</v>
      </c>
      <c r="C24" s="1"/>
      <c r="D24" s="1"/>
      <c r="E24" s="1"/>
      <c r="F24" s="133">
        <f>TB!B26</f>
        <v>0</v>
      </c>
      <c r="G24" s="133">
        <f>TB!D26</f>
        <v>0</v>
      </c>
    </row>
    <row r="25" spans="2:7">
      <c r="B25" s="1" t="s">
        <v>212</v>
      </c>
      <c r="C25" s="1"/>
      <c r="D25" s="1"/>
      <c r="E25" s="1"/>
      <c r="F25" s="133">
        <f>TB!B27</f>
        <v>0</v>
      </c>
      <c r="G25" s="133">
        <f>TB!D27</f>
        <v>0</v>
      </c>
    </row>
    <row r="26" spans="2:7">
      <c r="B26" s="1" t="s">
        <v>213</v>
      </c>
      <c r="C26" s="1"/>
      <c r="D26" s="1"/>
      <c r="E26" s="1"/>
      <c r="F26" s="133">
        <f>TB!B28</f>
        <v>0</v>
      </c>
      <c r="G26" s="133">
        <f>TB!D28</f>
        <v>0</v>
      </c>
    </row>
    <row r="27" spans="2:7">
      <c r="B27" s="1" t="s">
        <v>214</v>
      </c>
      <c r="C27" s="1"/>
      <c r="D27" s="1"/>
      <c r="E27" s="1"/>
      <c r="F27" s="133">
        <f>TB!B29</f>
        <v>0</v>
      </c>
      <c r="G27" s="133">
        <f>TB!D29</f>
        <v>0</v>
      </c>
    </row>
    <row r="28" spans="2:7">
      <c r="B28" s="1" t="s">
        <v>215</v>
      </c>
      <c r="C28" s="1"/>
      <c r="D28" s="1"/>
      <c r="E28" s="1"/>
      <c r="F28" s="133">
        <f>TB!B30</f>
        <v>0</v>
      </c>
      <c r="G28" s="133">
        <f>TB!D30</f>
        <v>0</v>
      </c>
    </row>
    <row r="29" spans="2:7">
      <c r="B29" s="1" t="s">
        <v>216</v>
      </c>
      <c r="C29" s="1"/>
      <c r="D29" s="1"/>
      <c r="E29" s="1"/>
      <c r="F29" s="133">
        <f>TB!B31</f>
        <v>0</v>
      </c>
      <c r="G29" s="133">
        <f>TB!D31</f>
        <v>0</v>
      </c>
    </row>
    <row r="30" spans="2:7">
      <c r="B30" s="1" t="s">
        <v>1807</v>
      </c>
      <c r="C30" s="1"/>
      <c r="D30" s="1"/>
      <c r="E30" s="1"/>
      <c r="F30" s="133">
        <f>TB!B32</f>
        <v>0</v>
      </c>
      <c r="G30" s="133">
        <f>TB!D32</f>
        <v>0</v>
      </c>
    </row>
    <row r="31" spans="2:7">
      <c r="B31" s="7"/>
      <c r="C31" s="1"/>
      <c r="D31" s="1"/>
      <c r="E31" s="1"/>
      <c r="F31" s="24">
        <f>F12+F13+F14+F15+F16+F17-F18-F19-F20-F21-F22-F24-F23-F25-F26-F27-F30-F28-F29</f>
        <v>0</v>
      </c>
      <c r="G31" s="24">
        <f>G12+G13+G14+G15+G16+G17-G18-G19-G20-G21-G22-G24-G23-G25-G26-G27-G30-G28-G29</f>
        <v>0</v>
      </c>
    </row>
    <row r="32" spans="2:7">
      <c r="B32" s="1" t="s">
        <v>217</v>
      </c>
      <c r="C32" s="1"/>
      <c r="D32" s="1"/>
      <c r="E32" s="1"/>
      <c r="F32" s="11">
        <f>PL!F44</f>
        <v>0</v>
      </c>
      <c r="G32" s="149">
        <f>PL!H44</f>
        <v>0</v>
      </c>
    </row>
    <row r="33" spans="2:7">
      <c r="B33" s="7"/>
      <c r="C33" s="1"/>
      <c r="D33" s="1"/>
      <c r="E33" s="1"/>
      <c r="F33" s="43">
        <f>F31+F32</f>
        <v>0</v>
      </c>
      <c r="G33" s="43">
        <f>G12+G13+G14+G16+G15+G17-G18-G19-G20-G21-G22-G23-G24-G25-G26-G27-G28-G29-G30+G32</f>
        <v>0</v>
      </c>
    </row>
    <row r="34" spans="2:7">
      <c r="B34" s="1"/>
      <c r="C34" s="1"/>
      <c r="D34" s="1"/>
      <c r="E34" s="1"/>
      <c r="F34" s="9"/>
      <c r="G34" s="1"/>
    </row>
    <row r="35" spans="2:7" ht="15.75" thickBot="1">
      <c r="B35" s="44"/>
      <c r="C35" s="44"/>
      <c r="D35" s="44"/>
      <c r="E35" s="44"/>
      <c r="F35" s="46">
        <f>F33+F9</f>
        <v>0</v>
      </c>
      <c r="G35" s="46">
        <f>G33+G9</f>
        <v>0</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sheetPr codeName="Sheet5">
    <tabColor rgb="FF92D050"/>
  </sheetPr>
  <dimension ref="B1:F10"/>
  <sheetViews>
    <sheetView workbookViewId="0">
      <selection activeCell="C1" sqref="C1"/>
    </sheetView>
  </sheetViews>
  <sheetFormatPr defaultRowHeight="15"/>
  <cols>
    <col min="1" max="1" width="2.5703125" customWidth="1"/>
    <col min="4" max="4" width="43.5703125" customWidth="1"/>
    <col min="5" max="5" width="18" customWidth="1"/>
    <col min="6" max="6" width="17.140625" customWidth="1"/>
  </cols>
  <sheetData>
    <row r="1" spans="2:6" ht="18.75">
      <c r="B1" s="126" t="str">
        <f>PL!B1</f>
        <v>ABC LTD</v>
      </c>
      <c r="C1" s="126"/>
      <c r="D1" s="126"/>
      <c r="E1" s="126"/>
      <c r="F1" s="126"/>
    </row>
    <row r="2" spans="2:6" ht="15.75" thickBot="1">
      <c r="B2" s="162" t="str">
        <f>'1'!B2</f>
        <v>Notes to financial statements for the year ended 31/03/2012</v>
      </c>
      <c r="C2" s="127"/>
      <c r="D2" s="127"/>
      <c r="E2" s="127"/>
      <c r="F2" s="127"/>
    </row>
    <row r="3" spans="2:6">
      <c r="B3" t="s">
        <v>464</v>
      </c>
    </row>
    <row r="4" spans="2:6" ht="16.5" thickBot="1">
      <c r="B4" s="36" t="str">
        <f>CONCATENATE(BS!D14,".  SHARE APPLICATION MONEY PENDING ALLOTMENT")</f>
        <v xml:space="preserve"> .  SHARE APPLICATION MONEY PENDING ALLOTMENT</v>
      </c>
      <c r="C4" s="25"/>
      <c r="D4" s="25"/>
      <c r="E4" s="31" t="s">
        <v>94</v>
      </c>
      <c r="F4" s="35" t="s">
        <v>95</v>
      </c>
    </row>
    <row r="5" spans="2:6">
      <c r="B5" s="2" t="s">
        <v>219</v>
      </c>
      <c r="C5" s="2"/>
      <c r="D5" s="2"/>
      <c r="E5" s="11">
        <f>TB!C37</f>
        <v>0</v>
      </c>
      <c r="F5" s="133">
        <f>TB!E37</f>
        <v>0</v>
      </c>
    </row>
    <row r="6" spans="2:6">
      <c r="B6" s="2" t="s">
        <v>220</v>
      </c>
      <c r="C6" s="2"/>
      <c r="D6" s="2"/>
      <c r="E6" s="133">
        <f>TB!C38</f>
        <v>0</v>
      </c>
      <c r="F6" s="133">
        <f>TB!E38</f>
        <v>0</v>
      </c>
    </row>
    <row r="7" spans="2:6">
      <c r="B7" s="2" t="s">
        <v>221</v>
      </c>
      <c r="C7" s="2"/>
      <c r="D7" s="2"/>
      <c r="E7" s="133">
        <f>TB!C39</f>
        <v>0</v>
      </c>
      <c r="F7" s="133">
        <f>TB!E39</f>
        <v>0</v>
      </c>
    </row>
    <row r="8" spans="2:6">
      <c r="B8" s="7"/>
      <c r="C8" s="1"/>
      <c r="D8" s="1"/>
      <c r="E8" s="9"/>
      <c r="F8" s="1"/>
    </row>
    <row r="9" spans="2:6" ht="15.75" thickBot="1">
      <c r="B9" s="64"/>
      <c r="C9" s="44"/>
      <c r="D9" s="44"/>
      <c r="E9" s="46">
        <f>SUM(E5:E8)</f>
        <v>0</v>
      </c>
      <c r="F9" s="45">
        <f>SUM(F5:F8)</f>
        <v>0</v>
      </c>
    </row>
    <row r="10" spans="2:6">
      <c r="B10" s="7" t="s">
        <v>222</v>
      </c>
      <c r="C10" s="1"/>
      <c r="D10" s="1"/>
      <c r="E10" s="9"/>
      <c r="F10" s="1"/>
    </row>
  </sheetData>
  <pageMargins left="0.45" right="0.2"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23"/>
  <dimension ref="A1:D174"/>
  <sheetViews>
    <sheetView topLeftCell="A152" workbookViewId="0">
      <selection activeCell="E164" sqref="E164"/>
    </sheetView>
  </sheetViews>
  <sheetFormatPr defaultRowHeight="15"/>
  <cols>
    <col min="1" max="1" width="38.7109375" style="195" customWidth="1"/>
    <col min="2" max="2" width="11.28515625" style="195" customWidth="1"/>
    <col min="3" max="3" width="15.140625" style="195" bestFit="1" customWidth="1"/>
    <col min="4" max="4" width="17.42578125" style="195" bestFit="1" customWidth="1"/>
    <col min="5" max="16384" width="9.140625" style="195"/>
  </cols>
  <sheetData>
    <row r="1" spans="1:4">
      <c r="A1" s="897" t="str">
        <f>master!B2</f>
        <v>ABC LTD</v>
      </c>
      <c r="B1" s="897"/>
      <c r="C1" s="897"/>
      <c r="D1" s="897"/>
    </row>
    <row r="2" spans="1:4">
      <c r="A2" s="898" t="str">
        <f>CONCATENATE("SCHEDULES FORMING PART OF BALANCE SHEET AS AT ",master!B18)</f>
        <v>SCHEDULES FORMING PART OF BALANCE SHEET AS AT 31st MARCH, 2012</v>
      </c>
      <c r="B2" s="898"/>
      <c r="C2" s="898"/>
      <c r="D2" s="898"/>
    </row>
    <row r="3" spans="1:4">
      <c r="A3" s="239"/>
      <c r="B3" s="239"/>
      <c r="C3" s="239"/>
      <c r="D3" s="239"/>
    </row>
    <row r="4" spans="1:4">
      <c r="A4" s="239"/>
      <c r="B4" s="239"/>
      <c r="C4" s="198" t="s">
        <v>604</v>
      </c>
      <c r="D4" s="198" t="s">
        <v>603</v>
      </c>
    </row>
    <row r="5" spans="1:4">
      <c r="A5" s="198" t="s">
        <v>870</v>
      </c>
      <c r="B5" s="218"/>
      <c r="C5" s="200"/>
      <c r="D5" s="200"/>
    </row>
    <row r="6" spans="1:4">
      <c r="B6" s="218"/>
      <c r="C6" s="200"/>
      <c r="D6" s="200"/>
    </row>
    <row r="7" spans="1:4">
      <c r="A7" s="198" t="s">
        <v>869</v>
      </c>
      <c r="B7" s="218"/>
      <c r="C7" s="200"/>
      <c r="D7" s="200"/>
    </row>
    <row r="8" spans="1:4">
      <c r="A8" s="195" t="str">
        <f>CONCATENATE(master!B63," Equity Shares @ of Rs.",master!D63," each")</f>
        <v>10000 Equity Shares @ of Rs.10 each</v>
      </c>
      <c r="B8" s="218"/>
      <c r="C8" s="250">
        <f>master!B63*master!$D$63</f>
        <v>100000</v>
      </c>
      <c r="D8" s="250">
        <f>master!C63*master!$D$63</f>
        <v>100000</v>
      </c>
    </row>
    <row r="9" spans="1:4">
      <c r="A9" s="195" t="s">
        <v>464</v>
      </c>
      <c r="B9" s="218"/>
      <c r="C9" s="200" t="s">
        <v>464</v>
      </c>
      <c r="D9" s="200" t="s">
        <v>464</v>
      </c>
    </row>
    <row r="10" spans="1:4">
      <c r="B10" s="218"/>
      <c r="C10" s="200"/>
      <c r="D10" s="200"/>
    </row>
    <row r="11" spans="1:4">
      <c r="A11" s="198" t="s">
        <v>868</v>
      </c>
      <c r="B11" s="218"/>
      <c r="C11" s="200"/>
      <c r="D11" s="200"/>
    </row>
    <row r="12" spans="1:4">
      <c r="A12" s="195" t="str">
        <f>CONCATENATE(master!B72," Equity Shares @ of Rs.",master!D72," each")</f>
        <v>10000 Equity Shares @ of Rs.10 each</v>
      </c>
      <c r="B12" s="218"/>
      <c r="C12" s="204" t="e">
        <f>#REF!</f>
        <v>#REF!</v>
      </c>
      <c r="D12" s="204" t="e">
        <f>#REF!</f>
        <v>#REF!</v>
      </c>
    </row>
    <row r="13" spans="1:4">
      <c r="A13" s="195" t="s">
        <v>464</v>
      </c>
      <c r="B13" s="218"/>
      <c r="C13" s="200"/>
      <c r="D13" s="200"/>
    </row>
    <row r="14" spans="1:4">
      <c r="A14" s="205" t="s">
        <v>424</v>
      </c>
      <c r="B14" s="218"/>
      <c r="C14" s="214" t="e">
        <f>SUM(C12:C13)</f>
        <v>#REF!</v>
      </c>
      <c r="D14" s="214" t="e">
        <f>SUM(D12:D13)</f>
        <v>#REF!</v>
      </c>
    </row>
    <row r="15" spans="1:4">
      <c r="A15" s="205"/>
      <c r="B15" s="218"/>
      <c r="C15" s="206"/>
      <c r="D15" s="206"/>
    </row>
    <row r="16" spans="1:4" hidden="1">
      <c r="A16" s="198" t="s">
        <v>867</v>
      </c>
      <c r="B16" s="218"/>
      <c r="C16" s="206"/>
      <c r="D16" s="206"/>
    </row>
    <row r="17" spans="1:4" hidden="1">
      <c r="A17" s="196" t="s">
        <v>7</v>
      </c>
      <c r="B17" s="218"/>
      <c r="C17" s="206" t="e">
        <f>#REF!</f>
        <v>#REF!</v>
      </c>
      <c r="D17" s="206" t="e">
        <f>#REF!</f>
        <v>#REF!</v>
      </c>
    </row>
    <row r="18" spans="1:4" hidden="1">
      <c r="A18" s="205"/>
      <c r="B18" s="218"/>
      <c r="C18" s="206"/>
      <c r="D18" s="206"/>
    </row>
    <row r="19" spans="1:4" hidden="1">
      <c r="A19" s="205" t="s">
        <v>424</v>
      </c>
      <c r="B19" s="218"/>
      <c r="C19" s="214" t="e">
        <f>SUM(C17:C18)</f>
        <v>#REF!</v>
      </c>
      <c r="D19" s="214" t="e">
        <f>SUM(D17:D18)</f>
        <v>#REF!</v>
      </c>
    </row>
    <row r="20" spans="1:4" hidden="1">
      <c r="A20" s="205"/>
      <c r="B20" s="218"/>
      <c r="C20" s="206"/>
      <c r="D20" s="206"/>
    </row>
    <row r="21" spans="1:4">
      <c r="B21" s="218" t="s">
        <v>464</v>
      </c>
      <c r="C21" s="200"/>
      <c r="D21" s="200"/>
    </row>
    <row r="22" spans="1:4">
      <c r="A22" s="198" t="e">
        <f>CONCATENATE("SCHEDULE -",'BS (2)'!B10)</f>
        <v>#REF!</v>
      </c>
      <c r="B22" s="218"/>
      <c r="C22" s="200"/>
      <c r="D22" s="200"/>
    </row>
    <row r="23" spans="1:4">
      <c r="A23" s="198" t="s">
        <v>775</v>
      </c>
      <c r="B23" s="218"/>
      <c r="C23" s="200"/>
      <c r="D23" s="200"/>
    </row>
    <row r="24" spans="1:4">
      <c r="B24" s="218"/>
      <c r="C24" s="200"/>
      <c r="D24" s="200"/>
    </row>
    <row r="25" spans="1:4" hidden="1">
      <c r="A25" s="195" t="s">
        <v>774</v>
      </c>
      <c r="B25" s="218"/>
      <c r="C25" s="200" t="e">
        <f>#REF!</f>
        <v>#REF!</v>
      </c>
      <c r="D25" s="200" t="e">
        <f>#REF!</f>
        <v>#REF!</v>
      </c>
    </row>
    <row r="26" spans="1:4" hidden="1">
      <c r="A26" s="195" t="s">
        <v>773</v>
      </c>
      <c r="B26" s="218"/>
      <c r="C26" s="200" t="e">
        <f>#REF!</f>
        <v>#REF!</v>
      </c>
      <c r="D26" s="200" t="e">
        <f>#REF!</f>
        <v>#REF!</v>
      </c>
    </row>
    <row r="27" spans="1:4" hidden="1">
      <c r="A27" s="195" t="s">
        <v>772</v>
      </c>
      <c r="B27" s="218"/>
      <c r="C27" s="200" t="e">
        <f>#REF!</f>
        <v>#REF!</v>
      </c>
      <c r="D27" s="200" t="e">
        <f>#REF!</f>
        <v>#REF!</v>
      </c>
    </row>
    <row r="28" spans="1:4">
      <c r="A28" s="195" t="s">
        <v>771</v>
      </c>
      <c r="B28" s="218"/>
      <c r="C28" s="200" t="e">
        <f>#REF!</f>
        <v>#REF!</v>
      </c>
      <c r="D28" s="200" t="e">
        <f>#REF!</f>
        <v>#REF!</v>
      </c>
    </row>
    <row r="29" spans="1:4" hidden="1">
      <c r="A29" s="195" t="s">
        <v>770</v>
      </c>
      <c r="B29" s="218"/>
      <c r="C29" s="200" t="e">
        <f>#REF!</f>
        <v>#REF!</v>
      </c>
      <c r="D29" s="200" t="e">
        <f>#REF!</f>
        <v>#REF!</v>
      </c>
    </row>
    <row r="30" spans="1:4" hidden="1">
      <c r="A30" s="195" t="s">
        <v>769</v>
      </c>
      <c r="B30" s="218"/>
      <c r="C30" s="200" t="e">
        <f>#REF!</f>
        <v>#REF!</v>
      </c>
      <c r="D30" s="200" t="e">
        <f>#REF!</f>
        <v>#REF!</v>
      </c>
    </row>
    <row r="31" spans="1:4" hidden="1">
      <c r="A31" s="195" t="s">
        <v>768</v>
      </c>
      <c r="B31" s="218"/>
      <c r="C31" s="200" t="e">
        <f>#REF!</f>
        <v>#REF!</v>
      </c>
      <c r="D31" s="200" t="e">
        <f>#REF!</f>
        <v>#REF!</v>
      </c>
    </row>
    <row r="32" spans="1:4">
      <c r="A32" s="195" t="s">
        <v>866</v>
      </c>
      <c r="B32" s="218"/>
      <c r="C32" s="204" t="e">
        <f>#REF!+#REF!</f>
        <v>#REF!</v>
      </c>
      <c r="D32" s="204" t="e">
        <f>#REF!+#REF!</f>
        <v>#REF!</v>
      </c>
    </row>
    <row r="33" spans="1:4">
      <c r="B33" s="218"/>
      <c r="C33" s="200"/>
      <c r="D33" s="200"/>
    </row>
    <row r="34" spans="1:4">
      <c r="A34" s="205" t="s">
        <v>424</v>
      </c>
      <c r="B34" s="218"/>
      <c r="C34" s="214" t="e">
        <f>SUM(C25:C33)</f>
        <v>#REF!</v>
      </c>
      <c r="D34" s="214" t="e">
        <f>SUM(D25:D33)</f>
        <v>#REF!</v>
      </c>
    </row>
    <row r="35" spans="1:4">
      <c r="A35" s="205"/>
      <c r="B35" s="218"/>
      <c r="C35" s="206"/>
      <c r="D35" s="206"/>
    </row>
    <row r="36" spans="1:4">
      <c r="A36" s="198" t="e">
        <f>CONCATENATE("SCHEDULE -",'BS (2)'!B13)</f>
        <v>#REF!</v>
      </c>
    </row>
    <row r="37" spans="1:4">
      <c r="A37" s="198" t="s">
        <v>767</v>
      </c>
    </row>
    <row r="38" spans="1:4" hidden="1">
      <c r="A38" s="195" t="s">
        <v>735</v>
      </c>
      <c r="C38" s="195" t="e">
        <f>#REF!</f>
        <v>#REF!</v>
      </c>
      <c r="D38" s="195" t="e">
        <f>#REF!</f>
        <v>#REF!</v>
      </c>
    </row>
    <row r="39" spans="1:4" hidden="1">
      <c r="A39" s="196" t="s">
        <v>766</v>
      </c>
      <c r="C39" s="195" t="e">
        <f>#REF!</f>
        <v>#REF!</v>
      </c>
      <c r="D39" s="195" t="e">
        <f>#REF!</f>
        <v>#REF!</v>
      </c>
    </row>
    <row r="40" spans="1:4">
      <c r="A40" s="195" t="s">
        <v>865</v>
      </c>
    </row>
    <row r="41" spans="1:4">
      <c r="A41" s="216" t="s">
        <v>862</v>
      </c>
      <c r="C41" s="195" t="e">
        <f>#REF!</f>
        <v>#REF!</v>
      </c>
      <c r="D41" s="195" t="e">
        <f>#REF!</f>
        <v>#REF!</v>
      </c>
    </row>
    <row r="42" spans="1:4" hidden="1">
      <c r="A42" s="249" t="e">
        <f>IF(C41&gt;0,CONCATENATE(#REF!,#REF!)," ")</f>
        <v>#REF!</v>
      </c>
    </row>
    <row r="43" spans="1:4" hidden="1">
      <c r="A43" s="216" t="s">
        <v>861</v>
      </c>
      <c r="C43" s="195" t="e">
        <f>#REF!</f>
        <v>#REF!</v>
      </c>
      <c r="D43" s="195" t="e">
        <f>#REF!</f>
        <v>#REF!</v>
      </c>
    </row>
    <row r="45" spans="1:4" ht="15.75" thickBot="1">
      <c r="C45" s="217" t="e">
        <f>SUM(C39:C44)</f>
        <v>#REF!</v>
      </c>
      <c r="D45" s="217" t="e">
        <f>SUM(D40:D44)</f>
        <v>#REF!</v>
      </c>
    </row>
    <row r="46" spans="1:4" ht="15.75" thickTop="1">
      <c r="A46" s="222" t="s">
        <v>464</v>
      </c>
      <c r="B46" s="196"/>
      <c r="C46" s="196" t="s">
        <v>464</v>
      </c>
      <c r="D46" s="200"/>
    </row>
    <row r="47" spans="1:4">
      <c r="A47" s="198" t="e">
        <f>CONCATENATE("SCHEDULE - ",'BS (2)'!B14)</f>
        <v>#REF!</v>
      </c>
    </row>
    <row r="48" spans="1:4">
      <c r="A48" s="198" t="s">
        <v>765</v>
      </c>
    </row>
    <row r="49" spans="1:4">
      <c r="A49" s="195" t="s">
        <v>864</v>
      </c>
    </row>
    <row r="50" spans="1:4">
      <c r="A50" s="216" t="s">
        <v>862</v>
      </c>
      <c r="C50" s="195" t="e">
        <f>#REF!</f>
        <v>#REF!</v>
      </c>
      <c r="D50" s="195" t="e">
        <f>#REF!</f>
        <v>#REF!</v>
      </c>
    </row>
    <row r="51" spans="1:4">
      <c r="A51" s="216" t="s">
        <v>861</v>
      </c>
      <c r="C51" s="195" t="e">
        <f>#REF!</f>
        <v>#REF!</v>
      </c>
      <c r="D51" s="195" t="e">
        <f>#REF!</f>
        <v>#REF!</v>
      </c>
    </row>
    <row r="52" spans="1:4">
      <c r="A52" s="195" t="s">
        <v>863</v>
      </c>
    </row>
    <row r="53" spans="1:4">
      <c r="A53" s="216" t="s">
        <v>862</v>
      </c>
      <c r="C53" s="195" t="e">
        <f>#REF!</f>
        <v>#REF!</v>
      </c>
      <c r="D53" s="195" t="e">
        <f>#REF!</f>
        <v>#REF!</v>
      </c>
    </row>
    <row r="54" spans="1:4">
      <c r="A54" s="216" t="s">
        <v>861</v>
      </c>
      <c r="C54" s="195" t="e">
        <f>#REF!</f>
        <v>#REF!</v>
      </c>
      <c r="D54" s="195" t="e">
        <f>#REF!</f>
        <v>#REF!</v>
      </c>
    </row>
    <row r="56" spans="1:4" ht="15.75" thickBot="1">
      <c r="C56" s="217" t="e">
        <f>SUM(C50:C55)</f>
        <v>#REF!</v>
      </c>
      <c r="D56" s="217" t="e">
        <f>SUM(D50:D55)</f>
        <v>#REF!</v>
      </c>
    </row>
    <row r="57" spans="1:4" ht="15.75" thickTop="1">
      <c r="B57" s="218"/>
      <c r="C57" s="200"/>
      <c r="D57" s="200"/>
    </row>
    <row r="58" spans="1:4">
      <c r="A58" s="198" t="e">
        <f>IF('BS (2)'!B15='BS (2)'!B40,CONCATENATE("SCHEDULE - ",'BS (2)'!B15),(CONCATENATE("SCHEDULE - ",'BS (2)'!B15,'BS (2)'!B40)))</f>
        <v>#REF!</v>
      </c>
    </row>
    <row r="59" spans="1:4">
      <c r="A59" s="198" t="s">
        <v>764</v>
      </c>
    </row>
    <row r="60" spans="1:4">
      <c r="A60" s="195" t="s">
        <v>763</v>
      </c>
      <c r="C60" s="200" t="e">
        <f>#REF!</f>
        <v>#REF!</v>
      </c>
      <c r="D60" s="200" t="e">
        <f>#REF!</f>
        <v>#REF!</v>
      </c>
    </row>
    <row r="61" spans="1:4">
      <c r="A61" s="195" t="s">
        <v>762</v>
      </c>
      <c r="B61" s="195" t="s">
        <v>464</v>
      </c>
      <c r="C61" s="200" t="e">
        <f>#REF!</f>
        <v>#REF!</v>
      </c>
      <c r="D61" s="200" t="e">
        <f>#REF!</f>
        <v>#REF!</v>
      </c>
    </row>
    <row r="63" spans="1:4" ht="15.75" thickBot="1">
      <c r="C63" s="217" t="e">
        <f>SUM(C60:C62)</f>
        <v>#REF!</v>
      </c>
      <c r="D63" s="217" t="e">
        <f>SUM(D60:D62)</f>
        <v>#REF!</v>
      </c>
    </row>
    <row r="64" spans="1:4" ht="15.75" thickTop="1">
      <c r="C64" s="206"/>
      <c r="D64" s="206"/>
    </row>
    <row r="65" spans="1:4">
      <c r="C65" s="206"/>
      <c r="D65" s="206"/>
    </row>
    <row r="66" spans="1:4" hidden="1">
      <c r="C66" s="206"/>
      <c r="D66" s="206"/>
    </row>
    <row r="67" spans="1:4" hidden="1">
      <c r="A67" s="198" t="e">
        <f>CONCATENATE("SCHEDULE - ",'BS (2)'!B23)</f>
        <v>#REF!</v>
      </c>
      <c r="C67" s="206"/>
      <c r="D67" s="206"/>
    </row>
    <row r="68" spans="1:4" hidden="1">
      <c r="A68" s="198" t="s">
        <v>741</v>
      </c>
      <c r="C68" s="206"/>
      <c r="D68" s="206"/>
    </row>
    <row r="69" spans="1:4" hidden="1">
      <c r="A69" s="195" t="s">
        <v>860</v>
      </c>
      <c r="C69" s="206" t="e">
        <f>#REF!</f>
        <v>#REF!</v>
      </c>
      <c r="D69" s="206" t="e">
        <f>#REF!</f>
        <v>#REF!</v>
      </c>
    </row>
    <row r="70" spans="1:4" hidden="1">
      <c r="A70" s="216" t="s">
        <v>464</v>
      </c>
      <c r="C70" s="206"/>
      <c r="D70" s="206"/>
    </row>
    <row r="71" spans="1:4" hidden="1">
      <c r="A71" s="205" t="s">
        <v>424</v>
      </c>
      <c r="B71" s="218"/>
      <c r="C71" s="214" t="e">
        <f>SUM(C69:C70)</f>
        <v>#REF!</v>
      </c>
      <c r="D71" s="214" t="e">
        <f>SUM(D69:D70)</f>
        <v>#REF!</v>
      </c>
    </row>
    <row r="72" spans="1:4" hidden="1">
      <c r="C72" s="206"/>
      <c r="D72" s="206"/>
    </row>
    <row r="73" spans="1:4" hidden="1">
      <c r="C73" s="206"/>
      <c r="D73" s="206"/>
    </row>
    <row r="74" spans="1:4" hidden="1">
      <c r="C74" s="206"/>
      <c r="D74" s="206"/>
    </row>
    <row r="75" spans="1:4" hidden="1">
      <c r="A75" s="198" t="e">
        <f>CONCATENATE("SCHEDULE - ",'BS (2)'!B24)</f>
        <v>#REF!</v>
      </c>
      <c r="C75" s="206"/>
      <c r="D75" s="206"/>
    </row>
    <row r="76" spans="1:4" hidden="1">
      <c r="A76" s="198" t="s">
        <v>740</v>
      </c>
      <c r="C76" s="206"/>
      <c r="D76" s="206"/>
    </row>
    <row r="77" spans="1:4" hidden="1">
      <c r="A77" s="195" t="s">
        <v>739</v>
      </c>
      <c r="C77" s="206"/>
      <c r="D77" s="206"/>
    </row>
    <row r="78" spans="1:4" hidden="1">
      <c r="A78" s="216" t="s">
        <v>738</v>
      </c>
      <c r="C78" s="206" t="e">
        <f>#REF!</f>
        <v>#REF!</v>
      </c>
      <c r="D78" s="206" t="e">
        <f>#REF!</f>
        <v>#REF!</v>
      </c>
    </row>
    <row r="79" spans="1:4" hidden="1">
      <c r="A79" s="216" t="s">
        <v>737</v>
      </c>
      <c r="C79" s="206" t="e">
        <f>#REF!</f>
        <v>#REF!</v>
      </c>
      <c r="D79" s="206" t="e">
        <f>#REF!</f>
        <v>#REF!</v>
      </c>
    </row>
    <row r="80" spans="1:4" hidden="1">
      <c r="A80" s="195" t="s">
        <v>736</v>
      </c>
      <c r="C80" s="206"/>
      <c r="D80" s="206"/>
    </row>
    <row r="81" spans="1:4" hidden="1">
      <c r="A81" s="216" t="s">
        <v>183</v>
      </c>
      <c r="C81" s="212" t="e">
        <f>#REF!</f>
        <v>#REF!</v>
      </c>
      <c r="D81" s="212" t="e">
        <f>#REF!</f>
        <v>#REF!</v>
      </c>
    </row>
    <row r="82" spans="1:4" hidden="1">
      <c r="A82" s="216" t="s">
        <v>188</v>
      </c>
      <c r="C82" s="206" t="e">
        <f>#REF!</f>
        <v>#REF!</v>
      </c>
      <c r="D82" s="206" t="e">
        <f>#REF!</f>
        <v>#REF!</v>
      </c>
    </row>
    <row r="83" spans="1:4" hidden="1">
      <c r="A83" s="216" t="s">
        <v>735</v>
      </c>
      <c r="C83" s="206" t="e">
        <f>#REF!</f>
        <v>#REF!</v>
      </c>
      <c r="D83" s="206" t="e">
        <f>#REF!</f>
        <v>#REF!</v>
      </c>
    </row>
    <row r="84" spans="1:4" hidden="1">
      <c r="C84" s="206"/>
      <c r="D84" s="206"/>
    </row>
    <row r="85" spans="1:4" ht="15.75" hidden="1" thickBot="1">
      <c r="C85" s="217" t="e">
        <f>SUM(C78:C84)</f>
        <v>#REF!</v>
      </c>
      <c r="D85" s="217" t="e">
        <f>SUM(D79:D84)</f>
        <v>#REF!</v>
      </c>
    </row>
    <row r="86" spans="1:4" hidden="1">
      <c r="C86" s="206"/>
      <c r="D86" s="206"/>
    </row>
    <row r="87" spans="1:4" hidden="1">
      <c r="C87" s="206"/>
      <c r="D87" s="206"/>
    </row>
    <row r="88" spans="1:4">
      <c r="C88" s="206"/>
      <c r="D88" s="206"/>
    </row>
    <row r="89" spans="1:4">
      <c r="A89" s="198" t="e">
        <f>CONCATENATE("SCHEDULE - ",'BS (2)'!B26)</f>
        <v>#REF!</v>
      </c>
      <c r="B89" s="218"/>
      <c r="C89" s="200"/>
      <c r="D89" s="200"/>
    </row>
    <row r="90" spans="1:4">
      <c r="A90" s="198" t="s">
        <v>734</v>
      </c>
      <c r="B90" s="218"/>
      <c r="C90" s="200"/>
      <c r="D90" s="200"/>
    </row>
    <row r="91" spans="1:4" hidden="1">
      <c r="A91" s="195" t="s">
        <v>733</v>
      </c>
      <c r="B91" s="218"/>
      <c r="C91" s="200" t="e">
        <f>#REF!</f>
        <v>#REF!</v>
      </c>
      <c r="D91" s="200" t="e">
        <f>#REF!</f>
        <v>#REF!</v>
      </c>
    </row>
    <row r="92" spans="1:4" hidden="1">
      <c r="A92" s="195" t="s">
        <v>101</v>
      </c>
      <c r="B92" s="218"/>
      <c r="C92" s="200" t="e">
        <f>#REF!</f>
        <v>#REF!</v>
      </c>
      <c r="D92" s="200" t="e">
        <f>#REF!</f>
        <v>#REF!</v>
      </c>
    </row>
    <row r="93" spans="1:4" hidden="1">
      <c r="A93" s="195" t="s">
        <v>732</v>
      </c>
      <c r="B93" s="218"/>
      <c r="C93" s="200" t="e">
        <f>#REF!</f>
        <v>#REF!</v>
      </c>
      <c r="D93" s="200" t="e">
        <f>#REF!</f>
        <v>#REF!</v>
      </c>
    </row>
    <row r="94" spans="1:4">
      <c r="A94" s="195" t="s">
        <v>731</v>
      </c>
      <c r="B94" s="218"/>
      <c r="C94" s="200" t="e">
        <f>#REF!</f>
        <v>#REF!</v>
      </c>
      <c r="D94" s="200" t="e">
        <f>#REF!</f>
        <v>#REF!</v>
      </c>
    </row>
    <row r="95" spans="1:4">
      <c r="B95" s="218"/>
      <c r="C95" s="200"/>
      <c r="D95" s="200"/>
    </row>
    <row r="96" spans="1:4">
      <c r="B96" s="218"/>
      <c r="C96" s="214" t="e">
        <f>SUM(C90:C95)</f>
        <v>#REF!</v>
      </c>
      <c r="D96" s="214" t="e">
        <f>SUM(D90:D95)</f>
        <v>#REF!</v>
      </c>
    </row>
    <row r="97" spans="1:4">
      <c r="C97" s="206"/>
      <c r="D97" s="206"/>
    </row>
    <row r="98" spans="1:4">
      <c r="A98" s="198" t="e">
        <f>CONCATENATE("SCHEDULE - ",'BS (2)'!B27)</f>
        <v>#REF!</v>
      </c>
      <c r="B98" s="218"/>
      <c r="C98" s="200"/>
      <c r="D98" s="200"/>
    </row>
    <row r="99" spans="1:4">
      <c r="A99" s="198" t="s">
        <v>730</v>
      </c>
      <c r="B99" s="218"/>
      <c r="C99" s="200"/>
      <c r="D99" s="200"/>
    </row>
    <row r="100" spans="1:4">
      <c r="A100" s="198" t="s">
        <v>729</v>
      </c>
      <c r="B100" s="218"/>
      <c r="C100" s="200"/>
      <c r="D100" s="200"/>
    </row>
    <row r="101" spans="1:4">
      <c r="A101" s="195" t="s">
        <v>728</v>
      </c>
      <c r="B101" s="218" t="s">
        <v>464</v>
      </c>
      <c r="C101" s="195" t="e">
        <f>#REF!</f>
        <v>#REF!</v>
      </c>
      <c r="D101" s="195" t="e">
        <f>#REF!</f>
        <v>#REF!</v>
      </c>
    </row>
    <row r="102" spans="1:4">
      <c r="A102" s="195" t="s">
        <v>362</v>
      </c>
      <c r="B102" s="218"/>
      <c r="C102" s="195" t="e">
        <f>#REF!</f>
        <v>#REF!</v>
      </c>
      <c r="D102" s="195" t="e">
        <f>#REF!</f>
        <v>#REF!</v>
      </c>
    </row>
    <row r="103" spans="1:4">
      <c r="B103" s="218"/>
      <c r="C103" s="200"/>
      <c r="D103" s="200"/>
    </row>
    <row r="104" spans="1:4">
      <c r="A104" s="205" t="s">
        <v>424</v>
      </c>
      <c r="B104" s="218" t="s">
        <v>464</v>
      </c>
      <c r="C104" s="214" t="e">
        <f>SUM(C101:C103)</f>
        <v>#REF!</v>
      </c>
      <c r="D104" s="214" t="e">
        <f>SUM(D101:D103)</f>
        <v>#REF!</v>
      </c>
    </row>
    <row r="105" spans="1:4">
      <c r="B105" s="218" t="s">
        <v>464</v>
      </c>
      <c r="C105" s="200"/>
      <c r="D105" s="200"/>
    </row>
    <row r="106" spans="1:4">
      <c r="B106" s="218"/>
      <c r="C106" s="200"/>
      <c r="D106" s="200"/>
    </row>
    <row r="107" spans="1:4">
      <c r="A107" s="198" t="e">
        <f>CONCATENATE("SCHEDULE - ",'BS (2)'!B28)</f>
        <v>#REF!</v>
      </c>
      <c r="B107" s="218" t="s">
        <v>464</v>
      </c>
      <c r="C107" s="200"/>
      <c r="D107" s="200"/>
    </row>
    <row r="108" spans="1:4">
      <c r="A108" s="198" t="s">
        <v>727</v>
      </c>
      <c r="B108" s="218"/>
      <c r="C108" s="200"/>
      <c r="D108" s="200"/>
    </row>
    <row r="109" spans="1:4">
      <c r="A109" s="195" t="s">
        <v>859</v>
      </c>
    </row>
    <row r="110" spans="1:4">
      <c r="A110" s="195" t="s">
        <v>858</v>
      </c>
      <c r="C110" s="215" t="e">
        <f>#REF!</f>
        <v>#REF!</v>
      </c>
      <c r="D110" s="215" t="e">
        <f>#REF!</f>
        <v>#REF!</v>
      </c>
    </row>
    <row r="111" spans="1:4">
      <c r="A111" s="195" t="s">
        <v>857</v>
      </c>
      <c r="C111" s="215" t="e">
        <f>#REF!</f>
        <v>#REF!</v>
      </c>
      <c r="D111" s="215" t="e">
        <f>#REF!</f>
        <v>#REF!</v>
      </c>
    </row>
    <row r="112" spans="1:4">
      <c r="A112" s="195" t="s">
        <v>856</v>
      </c>
      <c r="B112" s="218"/>
      <c r="C112" s="196" t="e">
        <f>#REF!</f>
        <v>#REF!</v>
      </c>
      <c r="D112" s="196" t="e">
        <f>#REF!</f>
        <v>#REF!</v>
      </c>
    </row>
    <row r="113" spans="1:4">
      <c r="B113" s="218"/>
      <c r="C113" s="200"/>
      <c r="D113" s="200"/>
    </row>
    <row r="114" spans="1:4">
      <c r="A114" s="205" t="s">
        <v>424</v>
      </c>
      <c r="B114" s="218" t="s">
        <v>464</v>
      </c>
      <c r="C114" s="214" t="e">
        <f>SUM(C110:C113)</f>
        <v>#REF!</v>
      </c>
      <c r="D114" s="214" t="e">
        <f>SUM(D110:D113)</f>
        <v>#REF!</v>
      </c>
    </row>
    <row r="115" spans="1:4">
      <c r="B115" s="218" t="s">
        <v>464</v>
      </c>
      <c r="C115" s="200"/>
      <c r="D115" s="200"/>
    </row>
    <row r="116" spans="1:4" hidden="1">
      <c r="B116" s="218"/>
      <c r="C116" s="200"/>
      <c r="D116" s="200"/>
    </row>
    <row r="117" spans="1:4" hidden="1">
      <c r="A117" s="198" t="e">
        <f>CONCATENATE("SCHEDULE - ",'BS (2)'!B29)</f>
        <v>#REF!</v>
      </c>
      <c r="B117" s="218"/>
      <c r="C117" s="200"/>
      <c r="D117" s="200"/>
    </row>
    <row r="118" spans="1:4" hidden="1">
      <c r="A118" s="198" t="s">
        <v>726</v>
      </c>
      <c r="B118" s="218"/>
      <c r="C118" s="200"/>
      <c r="D118" s="200"/>
    </row>
    <row r="119" spans="1:4" hidden="1">
      <c r="A119" s="195" t="s">
        <v>725</v>
      </c>
      <c r="C119" s="196" t="e">
        <f>#REF!</f>
        <v>#REF!</v>
      </c>
      <c r="D119" s="196" t="e">
        <f>#REF!</f>
        <v>#REF!</v>
      </c>
    </row>
    <row r="120" spans="1:4" hidden="1">
      <c r="B120" s="218"/>
      <c r="C120" s="200"/>
      <c r="D120" s="200"/>
    </row>
    <row r="121" spans="1:4" hidden="1">
      <c r="A121" s="205" t="s">
        <v>424</v>
      </c>
      <c r="B121" s="218" t="s">
        <v>464</v>
      </c>
      <c r="C121" s="214" t="e">
        <f>SUM(C119:C120)</f>
        <v>#REF!</v>
      </c>
      <c r="D121" s="214" t="e">
        <f>SUM(D119:D120)</f>
        <v>#REF!</v>
      </c>
    </row>
    <row r="122" spans="1:4" hidden="1">
      <c r="B122" s="218"/>
      <c r="C122" s="200"/>
      <c r="D122" s="200"/>
    </row>
    <row r="123" spans="1:4">
      <c r="B123" s="218"/>
      <c r="C123" s="200"/>
      <c r="D123" s="200"/>
    </row>
    <row r="124" spans="1:4">
      <c r="A124" s="198" t="e">
        <f>CONCATENATE("SCHEDULE - ",'BS (2)'!B30)</f>
        <v>#REF!</v>
      </c>
      <c r="B124" s="218"/>
      <c r="C124" s="200"/>
      <c r="D124" s="200"/>
    </row>
    <row r="125" spans="1:4">
      <c r="A125" s="198" t="s">
        <v>724</v>
      </c>
      <c r="B125" s="218"/>
      <c r="C125" s="200"/>
      <c r="D125" s="200"/>
    </row>
    <row r="126" spans="1:4">
      <c r="A126" s="195" t="s">
        <v>723</v>
      </c>
      <c r="B126" s="218"/>
      <c r="C126" s="200"/>
      <c r="D126" s="200"/>
    </row>
    <row r="127" spans="1:4">
      <c r="A127" s="195" t="s">
        <v>722</v>
      </c>
    </row>
    <row r="128" spans="1:4">
      <c r="A128" s="198" t="s">
        <v>721</v>
      </c>
    </row>
    <row r="129" spans="1:4" ht="30">
      <c r="A129" s="248" t="s">
        <v>720</v>
      </c>
      <c r="C129" s="195" t="e">
        <f>#REF!</f>
        <v>#REF!</v>
      </c>
      <c r="D129" s="195" t="e">
        <f>#REF!</f>
        <v>#REF!</v>
      </c>
    </row>
    <row r="130" spans="1:4">
      <c r="A130" s="196" t="s">
        <v>719</v>
      </c>
    </row>
    <row r="131" spans="1:4">
      <c r="A131" s="196" t="s">
        <v>718</v>
      </c>
      <c r="C131" s="195" t="e">
        <f>#REF!</f>
        <v>#REF!</v>
      </c>
      <c r="D131" s="195" t="e">
        <f>#REF!</f>
        <v>#REF!</v>
      </c>
    </row>
    <row r="132" spans="1:4">
      <c r="A132" s="200" t="s">
        <v>464</v>
      </c>
      <c r="C132" s="200" t="s">
        <v>464</v>
      </c>
      <c r="D132" s="200" t="s">
        <v>464</v>
      </c>
    </row>
    <row r="134" spans="1:4">
      <c r="A134" s="205" t="s">
        <v>424</v>
      </c>
      <c r="B134" s="218" t="s">
        <v>464</v>
      </c>
      <c r="C134" s="214" t="e">
        <f>SUM(C126:C133)</f>
        <v>#REF!</v>
      </c>
      <c r="D134" s="214" t="e">
        <f>SUM(D126:D133)</f>
        <v>#REF!</v>
      </c>
    </row>
    <row r="135" spans="1:4">
      <c r="B135" s="218"/>
      <c r="C135" s="200"/>
      <c r="D135" s="200"/>
    </row>
    <row r="136" spans="1:4">
      <c r="A136" s="198" t="e">
        <f>CONCATENATE("SCHEDULE - ",'BS (2)'!B34)</f>
        <v>#REF!</v>
      </c>
      <c r="B136" s="218"/>
      <c r="C136" s="200"/>
      <c r="D136" s="200"/>
    </row>
    <row r="137" spans="1:4">
      <c r="A137" s="198" t="s">
        <v>717</v>
      </c>
      <c r="B137" s="218" t="s">
        <v>464</v>
      </c>
      <c r="C137" s="200"/>
      <c r="D137" s="200"/>
    </row>
    <row r="138" spans="1:4">
      <c r="A138" s="196" t="s">
        <v>716</v>
      </c>
      <c r="B138" s="218"/>
      <c r="C138" s="200"/>
      <c r="D138" s="200"/>
    </row>
    <row r="139" spans="1:4">
      <c r="A139" s="210" t="s">
        <v>715</v>
      </c>
      <c r="B139" s="218"/>
      <c r="C139" s="204" t="e">
        <f>#REF!</f>
        <v>#REF!</v>
      </c>
      <c r="D139" s="204" t="e">
        <f>#REF!</f>
        <v>#REF!</v>
      </c>
    </row>
    <row r="140" spans="1:4">
      <c r="A140" s="210" t="s">
        <v>714</v>
      </c>
      <c r="B140" s="218"/>
      <c r="C140" s="204" t="e">
        <f>#REF!</f>
        <v>#REF!</v>
      </c>
      <c r="D140" s="204" t="e">
        <f>#REF!</f>
        <v>#REF!</v>
      </c>
    </row>
    <row r="141" spans="1:4">
      <c r="A141" s="197" t="s">
        <v>713</v>
      </c>
      <c r="B141" s="218"/>
      <c r="C141" s="204" t="e">
        <f>#REF!</f>
        <v>#REF!</v>
      </c>
      <c r="D141" s="204" t="e">
        <f>#REF!</f>
        <v>#REF!</v>
      </c>
    </row>
    <row r="142" spans="1:4" hidden="1">
      <c r="A142" s="197" t="s">
        <v>712</v>
      </c>
      <c r="B142" s="218"/>
      <c r="C142" s="204" t="e">
        <f>#REF!</f>
        <v>#REF!</v>
      </c>
      <c r="D142" s="204" t="e">
        <f>#REF!</f>
        <v>#REF!</v>
      </c>
    </row>
    <row r="143" spans="1:4" hidden="1">
      <c r="A143" s="197" t="s">
        <v>711</v>
      </c>
      <c r="B143" s="218"/>
      <c r="C143" s="204" t="e">
        <f>#REF!</f>
        <v>#REF!</v>
      </c>
      <c r="D143" s="204" t="e">
        <f>#REF!</f>
        <v>#REF!</v>
      </c>
    </row>
    <row r="144" spans="1:4" hidden="1">
      <c r="A144" s="196" t="s">
        <v>710</v>
      </c>
      <c r="B144" s="218"/>
      <c r="C144" s="204" t="e">
        <f>#REF!</f>
        <v>#REF!</v>
      </c>
      <c r="D144" s="204" t="e">
        <f>#REF!</f>
        <v>#REF!</v>
      </c>
    </row>
    <row r="145" spans="1:4" hidden="1">
      <c r="A145" s="196" t="s">
        <v>709</v>
      </c>
      <c r="B145" s="218"/>
      <c r="C145" s="204" t="e">
        <f>#REF!</f>
        <v>#REF!</v>
      </c>
      <c r="D145" s="204" t="e">
        <f>#REF!</f>
        <v>#REF!</v>
      </c>
    </row>
    <row r="146" spans="1:4" hidden="1">
      <c r="A146" s="196" t="s">
        <v>708</v>
      </c>
      <c r="B146" s="218"/>
      <c r="C146" s="204" t="e">
        <f>#REF!</f>
        <v>#REF!</v>
      </c>
      <c r="D146" s="204" t="e">
        <f>#REF!</f>
        <v>#REF!</v>
      </c>
    </row>
    <row r="147" spans="1:4" hidden="1">
      <c r="A147" s="196" t="s">
        <v>707</v>
      </c>
      <c r="B147" s="218"/>
      <c r="C147" s="204" t="e">
        <f>#REF!</f>
        <v>#REF!</v>
      </c>
      <c r="D147" s="204" t="e">
        <f>#REF!</f>
        <v>#REF!</v>
      </c>
    </row>
    <row r="148" spans="1:4" hidden="1">
      <c r="A148" s="196" t="s">
        <v>706</v>
      </c>
      <c r="B148" s="218"/>
      <c r="C148" s="204" t="e">
        <f>#REF!</f>
        <v>#REF!</v>
      </c>
      <c r="D148" s="204" t="e">
        <f>#REF!</f>
        <v>#REF!</v>
      </c>
    </row>
    <row r="149" spans="1:4" hidden="1">
      <c r="A149" s="196" t="s">
        <v>705</v>
      </c>
      <c r="B149" s="218"/>
      <c r="C149" s="204" t="e">
        <f>#REF!</f>
        <v>#REF!</v>
      </c>
      <c r="D149" s="204" t="e">
        <f>#REF!</f>
        <v>#REF!</v>
      </c>
    </row>
    <row r="150" spans="1:4">
      <c r="A150" s="196"/>
      <c r="B150" s="218"/>
      <c r="C150" s="204"/>
      <c r="D150" s="204"/>
    </row>
    <row r="151" spans="1:4">
      <c r="B151" s="218"/>
      <c r="C151" s="200"/>
    </row>
    <row r="152" spans="1:4">
      <c r="A152" s="205" t="s">
        <v>424</v>
      </c>
      <c r="B152" s="218" t="s">
        <v>464</v>
      </c>
      <c r="C152" s="214" t="e">
        <f>SUM(C138:C151)</f>
        <v>#REF!</v>
      </c>
      <c r="D152" s="214" t="e">
        <f>SUM(D138:D151)</f>
        <v>#REF!</v>
      </c>
    </row>
    <row r="153" spans="1:4">
      <c r="B153" s="218"/>
      <c r="C153" s="200"/>
    </row>
    <row r="154" spans="1:4">
      <c r="A154" s="198" t="e">
        <f>CONCATENATE("SCHEDULE - ",'BS (2)'!B35)</f>
        <v>#REF!</v>
      </c>
      <c r="B154" s="218"/>
      <c r="C154" s="200"/>
    </row>
    <row r="155" spans="1:4">
      <c r="A155" s="198" t="s">
        <v>704</v>
      </c>
      <c r="B155" s="218"/>
      <c r="C155" s="200"/>
    </row>
    <row r="156" spans="1:4">
      <c r="A156" s="195" t="s">
        <v>703</v>
      </c>
      <c r="B156" s="218"/>
      <c r="C156" s="200" t="e">
        <f>#REF!</f>
        <v>#REF!</v>
      </c>
      <c r="D156" s="200" t="e">
        <f>#REF!</f>
        <v>#REF!</v>
      </c>
    </row>
    <row r="157" spans="1:4">
      <c r="A157" s="195" t="s">
        <v>702</v>
      </c>
      <c r="B157" s="218"/>
      <c r="C157" s="200" t="e">
        <f>#REF!</f>
        <v>#REF!</v>
      </c>
      <c r="D157" s="200" t="e">
        <f>#REF!</f>
        <v>#REF!</v>
      </c>
    </row>
    <row r="158" spans="1:4" hidden="1">
      <c r="A158" s="195" t="s">
        <v>701</v>
      </c>
      <c r="B158" s="218"/>
      <c r="C158" s="200" t="e">
        <f>#REF!</f>
        <v>#REF!</v>
      </c>
      <c r="D158" s="200" t="e">
        <f>#REF!</f>
        <v>#REF!</v>
      </c>
    </row>
    <row r="159" spans="1:4" hidden="1">
      <c r="A159" s="195" t="s">
        <v>700</v>
      </c>
      <c r="B159" s="218"/>
      <c r="C159" s="200" t="e">
        <f>#REF!</f>
        <v>#REF!</v>
      </c>
      <c r="D159" s="200" t="e">
        <f>#REF!</f>
        <v>#REF!</v>
      </c>
    </row>
    <row r="160" spans="1:4" hidden="1">
      <c r="A160" s="195" t="s">
        <v>699</v>
      </c>
      <c r="B160" s="218"/>
      <c r="C160" s="200" t="e">
        <f>#REF!</f>
        <v>#REF!</v>
      </c>
      <c r="D160" s="200" t="e">
        <f>#REF!</f>
        <v>#REF!</v>
      </c>
    </row>
    <row r="161" spans="1:4" hidden="1">
      <c r="A161" s="195" t="s">
        <v>698</v>
      </c>
      <c r="B161" s="218"/>
      <c r="C161" s="200" t="e">
        <f>#REF!</f>
        <v>#REF!</v>
      </c>
      <c r="D161" s="200" t="e">
        <f>#REF!</f>
        <v>#REF!</v>
      </c>
    </row>
    <row r="162" spans="1:4" hidden="1">
      <c r="A162" s="195" t="s">
        <v>697</v>
      </c>
      <c r="B162" s="218"/>
      <c r="C162" s="200" t="e">
        <f>#REF!</f>
        <v>#REF!</v>
      </c>
      <c r="D162" s="200" t="e">
        <f>#REF!</f>
        <v>#REF!</v>
      </c>
    </row>
    <row r="163" spans="1:4">
      <c r="B163" s="218"/>
      <c r="C163" s="200"/>
      <c r="D163" s="200"/>
    </row>
    <row r="164" spans="1:4">
      <c r="A164" s="205" t="s">
        <v>424</v>
      </c>
      <c r="B164" s="218" t="s">
        <v>464</v>
      </c>
      <c r="C164" s="214" t="e">
        <f>SUM(C156:C163)</f>
        <v>#REF!</v>
      </c>
      <c r="D164" s="214" t="e">
        <f>SUM(D156:D163)</f>
        <v>#REF!</v>
      </c>
    </row>
    <row r="166" spans="1:4" s="182" customFormat="1" ht="12.75"/>
    <row r="167" spans="1:4" hidden="1">
      <c r="A167" s="198" t="e">
        <f>CONCATENATE("SCHEDULE - ",'BS (2)'!B39)</f>
        <v>#REF!</v>
      </c>
      <c r="B167" s="213"/>
    </row>
    <row r="168" spans="1:4" hidden="1">
      <c r="A168" s="198" t="s">
        <v>696</v>
      </c>
      <c r="B168" s="213"/>
    </row>
    <row r="169" spans="1:4" hidden="1">
      <c r="A169" s="195" t="s">
        <v>695</v>
      </c>
      <c r="C169" s="195" t="s">
        <v>464</v>
      </c>
    </row>
    <row r="170" spans="1:4" ht="12.75" hidden="1" customHeight="1">
      <c r="A170" s="195" t="s">
        <v>694</v>
      </c>
      <c r="C170" s="195" t="e">
        <f>#REF!</f>
        <v>#REF!</v>
      </c>
      <c r="D170" s="195" t="e">
        <f>#REF!</f>
        <v>#REF!</v>
      </c>
    </row>
    <row r="171" spans="1:4" hidden="1">
      <c r="A171" s="195" t="s">
        <v>464</v>
      </c>
      <c r="C171" s="195" t="s">
        <v>464</v>
      </c>
      <c r="D171" s="195" t="s">
        <v>464</v>
      </c>
    </row>
    <row r="172" spans="1:4" hidden="1"/>
    <row r="173" spans="1:4" hidden="1">
      <c r="A173" s="205" t="s">
        <v>424</v>
      </c>
      <c r="B173" s="218" t="s">
        <v>464</v>
      </c>
      <c r="C173" s="214" t="e">
        <f>SUM(C169:C172)</f>
        <v>#REF!</v>
      </c>
      <c r="D173" s="214" t="e">
        <f>SUM(D169:D172)</f>
        <v>#REF!</v>
      </c>
    </row>
    <row r="174" spans="1:4" hidden="1"/>
  </sheetData>
  <mergeCells count="2">
    <mergeCell ref="A1:D1"/>
    <mergeCell ref="A2:D2"/>
  </mergeCells>
  <pageMargins left="1" right="0.75" top="1" bottom="1" header="0.5" footer="0.5"/>
  <pageSetup scale="90" orientation="portrait" r:id="rId1"/>
  <headerFooter alignWithMargins="0"/>
</worksheet>
</file>

<file path=xl/worksheets/sheet20.xml><?xml version="1.0" encoding="utf-8"?>
<worksheet xmlns="http://schemas.openxmlformats.org/spreadsheetml/2006/main" xmlns:r="http://schemas.openxmlformats.org/officeDocument/2006/relationships">
  <sheetPr codeName="Sheet6">
    <tabColor rgb="FF92D050"/>
  </sheetPr>
  <dimension ref="B1:G92"/>
  <sheetViews>
    <sheetView topLeftCell="A50" workbookViewId="0">
      <selection activeCell="A67" sqref="A67"/>
    </sheetView>
  </sheetViews>
  <sheetFormatPr defaultRowHeight="15"/>
  <cols>
    <col min="1" max="1" width="2.42578125" customWidth="1"/>
    <col min="5" max="5" width="35.7109375" customWidth="1"/>
    <col min="6" max="6" width="13.85546875" customWidth="1"/>
    <col min="7" max="7" width="14.85546875" customWidth="1"/>
  </cols>
  <sheetData>
    <row r="1" spans="2:7" ht="18.75">
      <c r="B1" s="126" t="str">
        <f>PL!B1</f>
        <v>ABC LTD</v>
      </c>
      <c r="C1" s="126"/>
      <c r="D1" s="126"/>
      <c r="E1" s="126"/>
      <c r="F1" s="126"/>
      <c r="G1" s="126"/>
    </row>
    <row r="2" spans="2:7" ht="15.75" thickBot="1">
      <c r="B2" s="127" t="str">
        <f>'1'!B2</f>
        <v>Notes to financial statements for the year ended 31/03/2012</v>
      </c>
      <c r="C2" s="127"/>
      <c r="D2" s="127"/>
      <c r="E2" s="127"/>
      <c r="F2" s="127"/>
      <c r="G2" s="127"/>
    </row>
    <row r="4" spans="2:7" ht="16.5" thickBot="1">
      <c r="B4" s="36" t="str">
        <f>CONCATENATE(BS!D17,".  LONG TERM BORROWINGS")</f>
        <v xml:space="preserve"> .  LONG TERM BORROWINGS</v>
      </c>
      <c r="C4" s="25"/>
      <c r="D4" s="25"/>
      <c r="E4" s="25"/>
      <c r="F4" s="31" t="s">
        <v>94</v>
      </c>
      <c r="G4" s="35" t="s">
        <v>95</v>
      </c>
    </row>
    <row r="5" spans="2:7">
      <c r="B5" s="7" t="s">
        <v>223</v>
      </c>
      <c r="C5" s="1"/>
      <c r="D5" s="1"/>
      <c r="E5" s="1"/>
      <c r="F5" s="11"/>
      <c r="G5" s="42"/>
    </row>
    <row r="6" spans="2:7">
      <c r="B6" s="40" t="s">
        <v>411</v>
      </c>
      <c r="C6" s="1"/>
      <c r="D6" s="1"/>
      <c r="E6" s="1"/>
      <c r="F6" s="11">
        <f>TB!C42</f>
        <v>0</v>
      </c>
      <c r="G6" s="133">
        <f>TB!E42</f>
        <v>0</v>
      </c>
    </row>
    <row r="7" spans="2:7">
      <c r="B7" s="23"/>
      <c r="C7" s="1"/>
      <c r="D7" s="1"/>
      <c r="E7" s="1"/>
      <c r="F7" s="15">
        <f>SUM(F6)</f>
        <v>0</v>
      </c>
      <c r="G7" s="15">
        <f>SUM(G6)</f>
        <v>0</v>
      </c>
    </row>
    <row r="8" spans="2:7">
      <c r="B8" s="23"/>
      <c r="C8" s="1"/>
      <c r="D8" s="1"/>
      <c r="E8" s="1"/>
      <c r="F8" s="11"/>
      <c r="G8" s="42"/>
    </row>
    <row r="9" spans="2:7">
      <c r="B9" s="7" t="s">
        <v>224</v>
      </c>
      <c r="C9" s="1"/>
      <c r="D9" s="1"/>
      <c r="E9" s="1"/>
      <c r="F9" s="11"/>
      <c r="G9" s="42"/>
    </row>
    <row r="10" spans="2:7">
      <c r="B10" s="40" t="s">
        <v>411</v>
      </c>
      <c r="C10" s="1"/>
      <c r="D10" s="1"/>
      <c r="E10" s="1"/>
      <c r="F10" s="11">
        <f>TB!C44</f>
        <v>0</v>
      </c>
      <c r="G10" s="133">
        <f>TB!E44</f>
        <v>0</v>
      </c>
    </row>
    <row r="11" spans="2:7">
      <c r="B11" s="23"/>
      <c r="C11" s="1"/>
      <c r="D11" s="1"/>
      <c r="E11" s="1"/>
      <c r="F11" s="15">
        <f>SUM(F10)</f>
        <v>0</v>
      </c>
      <c r="G11" s="15">
        <f>SUM(G10)</f>
        <v>0</v>
      </c>
    </row>
    <row r="12" spans="2:7">
      <c r="B12" s="1"/>
      <c r="C12" s="1"/>
      <c r="D12" s="1"/>
      <c r="E12" s="1"/>
      <c r="F12" s="11"/>
      <c r="G12" s="42"/>
    </row>
    <row r="13" spans="2:7">
      <c r="B13" s="7" t="s">
        <v>225</v>
      </c>
      <c r="C13" s="1"/>
      <c r="D13" s="1"/>
      <c r="E13" s="1"/>
      <c r="F13" s="11"/>
      <c r="G13" s="42"/>
    </row>
    <row r="14" spans="2:7">
      <c r="B14" s="40" t="s">
        <v>412</v>
      </c>
      <c r="C14" s="1"/>
      <c r="D14" s="1"/>
      <c r="E14" s="1"/>
      <c r="F14" s="11">
        <f>TB!C47</f>
        <v>0</v>
      </c>
      <c r="G14" s="133">
        <f>TB!E47</f>
        <v>0</v>
      </c>
    </row>
    <row r="15" spans="2:7">
      <c r="B15" s="23"/>
      <c r="C15" s="1"/>
      <c r="D15" s="1"/>
      <c r="E15" s="1"/>
      <c r="F15" s="15">
        <f>SUM(F14)</f>
        <v>0</v>
      </c>
      <c r="G15" s="15">
        <f>SUM(G14)</f>
        <v>0</v>
      </c>
    </row>
    <row r="16" spans="2:7">
      <c r="B16" s="23"/>
      <c r="C16" s="1"/>
      <c r="D16" s="1"/>
      <c r="E16" s="1"/>
      <c r="F16" s="11"/>
      <c r="G16" s="42"/>
    </row>
    <row r="17" spans="2:7">
      <c r="B17" s="7" t="s">
        <v>226</v>
      </c>
      <c r="C17" s="1"/>
      <c r="D17" s="1"/>
      <c r="E17" s="1"/>
      <c r="F17" s="11"/>
      <c r="G17" s="42"/>
    </row>
    <row r="18" spans="2:7">
      <c r="B18" s="40" t="s">
        <v>362</v>
      </c>
      <c r="C18" s="1"/>
      <c r="D18" s="1"/>
      <c r="E18" s="1"/>
      <c r="F18" s="11">
        <f>TB!C50</f>
        <v>0</v>
      </c>
      <c r="G18" s="133">
        <f>TB!E50</f>
        <v>0</v>
      </c>
    </row>
    <row r="19" spans="2:7">
      <c r="B19" s="23"/>
      <c r="C19" s="1"/>
      <c r="D19" s="1"/>
      <c r="E19" s="1"/>
      <c r="F19" s="15">
        <f>SUM(F18)</f>
        <v>0</v>
      </c>
      <c r="G19" s="15">
        <f>SUM(G18)</f>
        <v>0</v>
      </c>
    </row>
    <row r="20" spans="2:7">
      <c r="B20" s="1"/>
      <c r="C20" s="1"/>
      <c r="D20" s="1"/>
      <c r="E20" s="1"/>
      <c r="F20" s="11"/>
      <c r="G20" s="42"/>
    </row>
    <row r="21" spans="2:7">
      <c r="B21" s="7" t="s">
        <v>227</v>
      </c>
      <c r="C21" s="1"/>
      <c r="D21" s="1"/>
      <c r="E21" s="1"/>
      <c r="F21" s="11"/>
      <c r="G21" s="42"/>
    </row>
    <row r="22" spans="2:7">
      <c r="B22" s="40" t="s">
        <v>413</v>
      </c>
      <c r="C22" s="1"/>
      <c r="D22" s="1"/>
      <c r="E22" s="1"/>
      <c r="F22" s="11">
        <f>TB!C53</f>
        <v>0</v>
      </c>
      <c r="G22" s="133">
        <f>TB!E53</f>
        <v>0</v>
      </c>
    </row>
    <row r="23" spans="2:7">
      <c r="B23" s="23"/>
      <c r="C23" s="1"/>
      <c r="D23" s="1"/>
      <c r="E23" s="1"/>
      <c r="F23" s="15">
        <f>SUM(F22)</f>
        <v>0</v>
      </c>
      <c r="G23" s="15">
        <f>SUM(G22)</f>
        <v>0</v>
      </c>
    </row>
    <row r="24" spans="2:7">
      <c r="B24" s="23"/>
      <c r="C24" s="1"/>
      <c r="D24" s="1"/>
      <c r="E24" s="1"/>
      <c r="F24" s="11"/>
      <c r="G24" s="42"/>
    </row>
    <row r="25" spans="2:7">
      <c r="B25" s="7" t="s">
        <v>228</v>
      </c>
      <c r="C25" s="1"/>
      <c r="D25" s="1"/>
      <c r="E25" s="1"/>
      <c r="F25" s="11"/>
      <c r="G25" s="42"/>
    </row>
    <row r="26" spans="2:7">
      <c r="B26" s="40" t="s">
        <v>362</v>
      </c>
      <c r="C26" s="1"/>
      <c r="D26" s="1"/>
      <c r="E26" s="1"/>
      <c r="F26" s="11">
        <f>TB!C56</f>
        <v>0</v>
      </c>
      <c r="G26" s="133">
        <f>TB!E56</f>
        <v>0</v>
      </c>
    </row>
    <row r="27" spans="2:7">
      <c r="B27" s="23"/>
      <c r="C27" s="1"/>
      <c r="D27" s="1"/>
      <c r="E27" s="1"/>
      <c r="F27" s="15">
        <f>SUM(F26)</f>
        <v>0</v>
      </c>
      <c r="G27" s="15">
        <f>SUM(G26)</f>
        <v>0</v>
      </c>
    </row>
    <row r="28" spans="2:7">
      <c r="B28" s="23"/>
      <c r="C28" s="1"/>
      <c r="D28" s="1"/>
      <c r="E28" s="1"/>
      <c r="F28" s="65"/>
      <c r="G28" s="66"/>
    </row>
    <row r="29" spans="2:7">
      <c r="B29" s="7" t="s">
        <v>229</v>
      </c>
      <c r="C29" s="1"/>
      <c r="D29" s="1"/>
      <c r="E29" s="1"/>
      <c r="F29" s="11"/>
      <c r="G29" s="42"/>
    </row>
    <row r="30" spans="2:7">
      <c r="B30" s="1" t="s">
        <v>414</v>
      </c>
      <c r="C30" s="1"/>
      <c r="D30" s="1"/>
      <c r="E30" s="1"/>
      <c r="F30" s="11">
        <f>TB!C59</f>
        <v>0</v>
      </c>
      <c r="G30" s="133">
        <f>TB!E59</f>
        <v>0</v>
      </c>
    </row>
    <row r="31" spans="2:7">
      <c r="B31" s="1"/>
      <c r="C31" s="1"/>
      <c r="D31" s="1"/>
      <c r="E31" s="1"/>
      <c r="F31" s="15">
        <f>SUM(F30)</f>
        <v>0</v>
      </c>
      <c r="G31" s="15">
        <f>SUM(G30)</f>
        <v>0</v>
      </c>
    </row>
    <row r="32" spans="2:7">
      <c r="B32" s="1"/>
      <c r="C32" s="1"/>
      <c r="D32" s="1"/>
      <c r="E32" s="1"/>
      <c r="F32" s="11"/>
      <c r="G32" s="42"/>
    </row>
    <row r="33" spans="2:7">
      <c r="B33" s="7" t="s">
        <v>230</v>
      </c>
      <c r="C33" s="1"/>
      <c r="D33" s="1"/>
      <c r="E33" s="1"/>
      <c r="F33" s="11"/>
      <c r="G33" s="42"/>
    </row>
    <row r="34" spans="2:7">
      <c r="B34" s="1" t="s">
        <v>415</v>
      </c>
      <c r="C34" s="1"/>
      <c r="D34" s="1"/>
      <c r="E34" s="1"/>
      <c r="F34" s="11">
        <f>TB!C62</f>
        <v>0</v>
      </c>
      <c r="G34" s="133">
        <f>TB!E62</f>
        <v>0</v>
      </c>
    </row>
    <row r="35" spans="2:7">
      <c r="B35" s="1"/>
      <c r="C35" s="1"/>
      <c r="D35" s="1"/>
      <c r="E35" s="1"/>
      <c r="F35" s="15">
        <f>SUM(F34)</f>
        <v>0</v>
      </c>
      <c r="G35" s="15">
        <f>SUM(G34)</f>
        <v>0</v>
      </c>
    </row>
    <row r="36" spans="2:7">
      <c r="B36" s="23"/>
      <c r="C36" s="1"/>
      <c r="D36" s="1"/>
      <c r="E36" s="1"/>
      <c r="F36" s="65"/>
      <c r="G36" s="66"/>
    </row>
    <row r="37" spans="2:7">
      <c r="B37" s="67" t="s">
        <v>231</v>
      </c>
      <c r="C37" s="1"/>
      <c r="D37" s="1"/>
      <c r="E37" s="1"/>
      <c r="F37" s="65"/>
      <c r="G37" s="66"/>
    </row>
    <row r="38" spans="2:7">
      <c r="B38" s="68" t="s">
        <v>232</v>
      </c>
      <c r="C38" s="1"/>
      <c r="D38" s="1"/>
      <c r="E38" s="1"/>
      <c r="F38" s="11">
        <f>TB!C65</f>
        <v>0</v>
      </c>
      <c r="G38" s="133">
        <f>TB!E65</f>
        <v>0</v>
      </c>
    </row>
    <row r="39" spans="2:7">
      <c r="B39" s="68" t="s">
        <v>233</v>
      </c>
      <c r="C39" s="1"/>
      <c r="D39" s="1"/>
      <c r="E39" s="1"/>
      <c r="F39" s="133">
        <f>TB!C66</f>
        <v>0</v>
      </c>
      <c r="G39" s="133">
        <f>TB!E66</f>
        <v>0</v>
      </c>
    </row>
    <row r="40" spans="2:7">
      <c r="B40" s="68" t="s">
        <v>234</v>
      </c>
      <c r="C40" s="1"/>
      <c r="D40" s="1"/>
      <c r="E40" s="1"/>
      <c r="F40" s="133">
        <f>TB!C67</f>
        <v>0</v>
      </c>
      <c r="G40" s="133">
        <f>TB!E67</f>
        <v>0</v>
      </c>
    </row>
    <row r="41" spans="2:7">
      <c r="B41" s="68" t="s">
        <v>235</v>
      </c>
      <c r="C41" s="1"/>
      <c r="D41" s="1"/>
      <c r="E41" s="1"/>
      <c r="F41" s="133">
        <f>TB!C68</f>
        <v>0</v>
      </c>
      <c r="G41" s="133">
        <f>TB!E68</f>
        <v>0</v>
      </c>
    </row>
    <row r="42" spans="2:7">
      <c r="B42" s="68" t="s">
        <v>236</v>
      </c>
      <c r="C42" s="1"/>
      <c r="D42" s="1"/>
      <c r="E42" s="1"/>
      <c r="F42" s="133">
        <f>TB!C69</f>
        <v>0</v>
      </c>
      <c r="G42" s="133">
        <f>TB!E69</f>
        <v>0</v>
      </c>
    </row>
    <row r="43" spans="2:7">
      <c r="B43" s="68" t="s">
        <v>237</v>
      </c>
      <c r="C43" s="1"/>
      <c r="D43" s="1"/>
      <c r="E43" s="1"/>
      <c r="F43" s="133">
        <f>TB!C70</f>
        <v>0</v>
      </c>
      <c r="G43" s="133">
        <f>TB!E70</f>
        <v>0</v>
      </c>
    </row>
    <row r="44" spans="2:7">
      <c r="B44" s="68" t="s">
        <v>238</v>
      </c>
      <c r="C44" s="1"/>
      <c r="D44" s="1"/>
      <c r="E44" s="1"/>
      <c r="F44" s="133">
        <f>TB!C71</f>
        <v>0</v>
      </c>
      <c r="G44" s="133">
        <f>TB!E71</f>
        <v>0</v>
      </c>
    </row>
    <row r="45" spans="2:7">
      <c r="B45" s="68" t="s">
        <v>239</v>
      </c>
      <c r="C45" s="1"/>
      <c r="D45" s="1"/>
      <c r="E45" s="1"/>
      <c r="F45" s="133">
        <f>TB!C72</f>
        <v>0</v>
      </c>
      <c r="G45" s="133">
        <f>TB!E72</f>
        <v>0</v>
      </c>
    </row>
    <row r="46" spans="2:7">
      <c r="B46" s="68" t="s">
        <v>240</v>
      </c>
      <c r="C46" s="1"/>
      <c r="D46" s="1"/>
      <c r="E46" s="1"/>
      <c r="F46" s="133">
        <f>TB!C73</f>
        <v>0</v>
      </c>
      <c r="G46" s="133">
        <f>TB!E73</f>
        <v>0</v>
      </c>
    </row>
    <row r="47" spans="2:7">
      <c r="B47" s="68" t="s">
        <v>241</v>
      </c>
      <c r="C47" s="1"/>
      <c r="D47" s="1"/>
      <c r="E47" s="1"/>
      <c r="F47" s="133">
        <f>TB!C74</f>
        <v>0</v>
      </c>
      <c r="G47" s="133">
        <f>TB!E74</f>
        <v>0</v>
      </c>
    </row>
    <row r="48" spans="2:7">
      <c r="B48" s="23"/>
      <c r="C48" s="1"/>
      <c r="D48" s="1"/>
      <c r="E48" s="1"/>
      <c r="F48" s="15">
        <f>SUM(F38:F47)</f>
        <v>0</v>
      </c>
      <c r="G48" s="15">
        <f>SUM(G38:G47)</f>
        <v>0</v>
      </c>
    </row>
    <row r="49" spans="2:7">
      <c r="B49" s="23"/>
      <c r="C49" s="1"/>
      <c r="D49" s="1"/>
      <c r="E49" s="1"/>
      <c r="F49" s="65"/>
      <c r="G49" s="66"/>
    </row>
    <row r="50" spans="2:7">
      <c r="B50" s="67" t="s">
        <v>242</v>
      </c>
      <c r="C50" s="1"/>
      <c r="D50" s="1"/>
      <c r="E50" s="1"/>
      <c r="F50" s="65"/>
      <c r="G50" s="66"/>
    </row>
    <row r="51" spans="2:7">
      <c r="B51" s="68" t="s">
        <v>232</v>
      </c>
      <c r="C51" s="1"/>
      <c r="D51" s="1"/>
      <c r="E51" s="1"/>
      <c r="F51" s="11">
        <f>TB!C77</f>
        <v>0</v>
      </c>
      <c r="G51" s="133">
        <f>TB!E77</f>
        <v>0</v>
      </c>
    </row>
    <row r="52" spans="2:7">
      <c r="B52" s="68" t="s">
        <v>243</v>
      </c>
      <c r="C52" s="1"/>
      <c r="D52" s="1"/>
      <c r="E52" s="1"/>
      <c r="F52" s="133">
        <f>TB!C78</f>
        <v>0</v>
      </c>
      <c r="G52" s="133">
        <f>TB!E78</f>
        <v>0</v>
      </c>
    </row>
    <row r="53" spans="2:7">
      <c r="B53" s="68" t="s">
        <v>244</v>
      </c>
      <c r="C53" s="1"/>
      <c r="D53" s="1"/>
      <c r="E53" s="1"/>
      <c r="F53" s="133">
        <f>TB!C79</f>
        <v>0</v>
      </c>
      <c r="G53" s="133">
        <f>TB!E79</f>
        <v>0</v>
      </c>
    </row>
    <row r="54" spans="2:7">
      <c r="B54" s="68" t="s">
        <v>234</v>
      </c>
      <c r="C54" s="1"/>
      <c r="D54" s="1"/>
      <c r="E54" s="1"/>
      <c r="F54" s="133">
        <f>TB!C80</f>
        <v>0</v>
      </c>
      <c r="G54" s="133">
        <f>TB!E80</f>
        <v>0</v>
      </c>
    </row>
    <row r="55" spans="2:7">
      <c r="B55" s="68" t="s">
        <v>235</v>
      </c>
      <c r="C55" s="1"/>
      <c r="D55" s="1"/>
      <c r="E55" s="1"/>
      <c r="F55" s="133">
        <f>TB!C81</f>
        <v>0</v>
      </c>
      <c r="G55" s="133">
        <f>TB!E81</f>
        <v>0</v>
      </c>
    </row>
    <row r="56" spans="2:7">
      <c r="B56" s="68" t="s">
        <v>236</v>
      </c>
      <c r="C56" s="1"/>
      <c r="D56" s="1"/>
      <c r="E56" s="1"/>
      <c r="F56" s="133">
        <f>TB!C82</f>
        <v>0</v>
      </c>
      <c r="G56" s="133">
        <f>TB!E82</f>
        <v>0</v>
      </c>
    </row>
    <row r="57" spans="2:7">
      <c r="B57" s="68" t="s">
        <v>237</v>
      </c>
      <c r="C57" s="1"/>
      <c r="D57" s="1"/>
      <c r="E57" s="1"/>
      <c r="F57" s="133">
        <f>TB!C83</f>
        <v>0</v>
      </c>
      <c r="G57" s="133">
        <f>TB!E83</f>
        <v>0</v>
      </c>
    </row>
    <row r="58" spans="2:7">
      <c r="B58" s="68" t="s">
        <v>238</v>
      </c>
      <c r="C58" s="1"/>
      <c r="D58" s="1"/>
      <c r="E58" s="1"/>
      <c r="F58" s="133">
        <f>TB!C84</f>
        <v>0</v>
      </c>
      <c r="G58" s="133">
        <f>TB!E84</f>
        <v>0</v>
      </c>
    </row>
    <row r="59" spans="2:7">
      <c r="B59" s="68" t="s">
        <v>239</v>
      </c>
      <c r="C59" s="1"/>
      <c r="D59" s="1"/>
      <c r="E59" s="1"/>
      <c r="F59" s="133">
        <f>TB!C85</f>
        <v>0</v>
      </c>
      <c r="G59" s="133">
        <f>TB!E85</f>
        <v>0</v>
      </c>
    </row>
    <row r="60" spans="2:7">
      <c r="B60" s="68" t="s">
        <v>240</v>
      </c>
      <c r="C60" s="1"/>
      <c r="D60" s="1"/>
      <c r="E60" s="1"/>
      <c r="F60" s="133">
        <f>TB!C86</f>
        <v>0</v>
      </c>
      <c r="G60" s="133">
        <f>TB!E86</f>
        <v>0</v>
      </c>
    </row>
    <row r="61" spans="2:7">
      <c r="B61" s="68" t="s">
        <v>245</v>
      </c>
      <c r="C61" s="1"/>
      <c r="D61" s="1"/>
      <c r="E61" s="1"/>
      <c r="F61" s="133">
        <f>TB!C87</f>
        <v>0</v>
      </c>
      <c r="G61" s="133">
        <f>TB!E87</f>
        <v>0</v>
      </c>
    </row>
    <row r="62" spans="2:7">
      <c r="B62" s="23"/>
      <c r="C62" s="1"/>
      <c r="D62" s="1"/>
      <c r="E62" s="1"/>
      <c r="F62" s="15">
        <f>SUM(F51:F61)</f>
        <v>0</v>
      </c>
      <c r="G62" s="15">
        <f>SUM(G51:G61)</f>
        <v>0</v>
      </c>
    </row>
    <row r="63" spans="2:7">
      <c r="B63" s="23"/>
      <c r="C63" s="1"/>
      <c r="D63" s="1"/>
      <c r="E63" s="1"/>
      <c r="F63" s="65"/>
      <c r="G63" s="66"/>
    </row>
    <row r="64" spans="2:7" ht="15.75" thickBot="1">
      <c r="B64" s="44"/>
      <c r="C64" s="44"/>
      <c r="D64" s="44"/>
      <c r="E64" s="44"/>
      <c r="F64" s="46">
        <f>F62+F48+F35+F31+F27+F23+F19+F11+F7+F15</f>
        <v>0</v>
      </c>
      <c r="G64" s="46">
        <f>G62+G48+G35+G31+G27+G23+G19+G11+G7+G15</f>
        <v>0</v>
      </c>
    </row>
    <row r="65" spans="2:7">
      <c r="B65" s="7"/>
      <c r="C65" s="1"/>
      <c r="D65" s="1"/>
      <c r="E65" s="1"/>
      <c r="F65" s="65"/>
      <c r="G65" s="66"/>
    </row>
    <row r="66" spans="2:7">
      <c r="B66" s="7"/>
      <c r="C66" s="1"/>
      <c r="D66" s="1"/>
      <c r="E66" s="1"/>
      <c r="F66" s="65"/>
      <c r="G66" s="66"/>
    </row>
    <row r="67" spans="2:7">
      <c r="B67" s="7" t="s">
        <v>246</v>
      </c>
      <c r="C67" s="1"/>
      <c r="D67" s="1"/>
      <c r="E67" s="1"/>
      <c r="F67" s="65"/>
      <c r="G67" s="66"/>
    </row>
    <row r="68" spans="2:7">
      <c r="B68" s="7"/>
      <c r="C68" s="1"/>
      <c r="D68" s="1"/>
      <c r="E68" s="1"/>
      <c r="F68" s="65"/>
      <c r="G68" s="66"/>
    </row>
    <row r="69" spans="2:7">
      <c r="B69" s="7"/>
      <c r="C69" s="1"/>
      <c r="D69" s="1"/>
      <c r="E69" s="1"/>
      <c r="F69" s="65"/>
      <c r="G69" s="66"/>
    </row>
    <row r="70" spans="2:7">
      <c r="B70" s="7"/>
      <c r="C70" s="1"/>
      <c r="D70" s="1"/>
      <c r="E70" s="1"/>
      <c r="F70" s="65"/>
      <c r="G70" s="66"/>
    </row>
    <row r="71" spans="2:7">
      <c r="B71" s="7"/>
      <c r="C71" s="1"/>
      <c r="D71" s="1"/>
      <c r="E71" s="1"/>
      <c r="F71" s="65"/>
      <c r="G71" s="66"/>
    </row>
    <row r="72" spans="2:7">
      <c r="B72" s="7" t="s">
        <v>247</v>
      </c>
      <c r="C72" s="1"/>
      <c r="D72" s="1"/>
      <c r="E72" s="1"/>
      <c r="F72" s="65"/>
      <c r="G72" s="66"/>
    </row>
    <row r="73" spans="2:7">
      <c r="B73" s="7"/>
      <c r="C73" s="1"/>
      <c r="D73" s="1"/>
      <c r="E73" s="1"/>
      <c r="F73" s="65"/>
      <c r="G73" s="66"/>
    </row>
    <row r="74" spans="2:7">
      <c r="B74" s="7"/>
      <c r="C74" s="1"/>
      <c r="D74" s="1"/>
      <c r="E74" s="1"/>
      <c r="F74" s="65"/>
      <c r="G74" s="66"/>
    </row>
    <row r="75" spans="2:7">
      <c r="B75" s="7"/>
      <c r="C75" s="1"/>
      <c r="D75" s="1"/>
      <c r="E75" s="1"/>
      <c r="F75" s="65"/>
      <c r="G75" s="66"/>
    </row>
    <row r="76" spans="2:7">
      <c r="B76" s="7"/>
      <c r="C76" s="1"/>
      <c r="D76" s="1"/>
      <c r="E76" s="1"/>
      <c r="F76" s="65"/>
      <c r="G76" s="66"/>
    </row>
    <row r="77" spans="2:7">
      <c r="B77" s="7" t="s">
        <v>248</v>
      </c>
      <c r="C77" s="1"/>
      <c r="D77" s="1"/>
      <c r="E77" s="1"/>
      <c r="F77" s="65"/>
      <c r="G77" s="66"/>
    </row>
    <row r="78" spans="2:7">
      <c r="B78" s="7"/>
      <c r="C78" s="1"/>
      <c r="D78" s="1"/>
      <c r="E78" s="1"/>
      <c r="F78" s="65"/>
      <c r="G78" s="66"/>
    </row>
    <row r="79" spans="2:7">
      <c r="B79" s="7"/>
      <c r="C79" s="1"/>
      <c r="D79" s="1"/>
      <c r="E79" s="1"/>
      <c r="F79" s="65"/>
      <c r="G79" s="66"/>
    </row>
    <row r="80" spans="2:7">
      <c r="B80" s="7"/>
      <c r="C80" s="1"/>
      <c r="D80" s="1"/>
      <c r="E80" s="1"/>
      <c r="F80" s="65"/>
      <c r="G80" s="66"/>
    </row>
    <row r="81" spans="2:7">
      <c r="B81" s="7" t="s">
        <v>249</v>
      </c>
      <c r="C81" s="1"/>
      <c r="D81" s="1"/>
      <c r="E81" s="1"/>
      <c r="F81" s="65"/>
      <c r="G81" s="66"/>
    </row>
    <row r="82" spans="2:7">
      <c r="B82" s="7"/>
      <c r="C82" s="1"/>
      <c r="D82" s="1"/>
      <c r="E82" s="1"/>
      <c r="F82" s="65"/>
      <c r="G82" s="66"/>
    </row>
    <row r="83" spans="2:7">
      <c r="B83" s="7"/>
      <c r="C83" s="1"/>
      <c r="D83" s="1"/>
      <c r="E83" s="1"/>
      <c r="F83" s="65"/>
      <c r="G83" s="66"/>
    </row>
    <row r="84" spans="2:7">
      <c r="B84" s="7"/>
      <c r="C84" s="1"/>
      <c r="D84" s="1"/>
      <c r="E84" s="1"/>
      <c r="F84" s="65"/>
      <c r="G84" s="66"/>
    </row>
    <row r="85" spans="2:7">
      <c r="B85" s="7" t="s">
        <v>250</v>
      </c>
      <c r="C85" s="1"/>
      <c r="D85" s="1"/>
      <c r="E85" s="1"/>
      <c r="F85" s="65"/>
      <c r="G85" s="66"/>
    </row>
    <row r="86" spans="2:7">
      <c r="B86" s="7"/>
      <c r="C86" s="1"/>
      <c r="D86" s="1"/>
      <c r="E86" s="1"/>
      <c r="F86" s="65"/>
      <c r="G86" s="66"/>
    </row>
    <row r="87" spans="2:7">
      <c r="B87" s="7"/>
      <c r="C87" s="1"/>
      <c r="D87" s="1"/>
      <c r="E87" s="1"/>
      <c r="F87" s="65"/>
      <c r="G87" s="66"/>
    </row>
    <row r="88" spans="2:7">
      <c r="B88" s="7"/>
      <c r="C88" s="1"/>
      <c r="D88" s="1"/>
      <c r="E88" s="1"/>
      <c r="F88" s="65"/>
      <c r="G88" s="66"/>
    </row>
    <row r="89" spans="2:7">
      <c r="B89" s="7" t="s">
        <v>251</v>
      </c>
      <c r="C89" s="1"/>
      <c r="D89" s="1"/>
      <c r="E89" s="1"/>
      <c r="F89" s="65"/>
      <c r="G89" s="66"/>
    </row>
    <row r="90" spans="2:7">
      <c r="B90" s="7"/>
      <c r="C90" s="1"/>
      <c r="D90" s="1"/>
      <c r="E90" s="1"/>
      <c r="F90" s="65"/>
      <c r="G90" s="66"/>
    </row>
    <row r="91" spans="2:7">
      <c r="B91" s="7"/>
      <c r="C91" s="1"/>
      <c r="D91" s="1"/>
      <c r="E91" s="1"/>
      <c r="F91" s="65"/>
      <c r="G91" s="66"/>
    </row>
    <row r="92" spans="2:7">
      <c r="B92" s="7"/>
      <c r="C92" s="1"/>
      <c r="D92" s="1"/>
      <c r="E92" s="1"/>
      <c r="F92" s="65"/>
      <c r="G92" s="66"/>
    </row>
  </sheetData>
  <pageMargins left="0.45" right="0.2" top="0.75" bottom="0.75" header="0.3" footer="0.3"/>
  <pageSetup orientation="portrait" r:id="rId1"/>
</worksheet>
</file>

<file path=xl/worksheets/sheet21.xml><?xml version="1.0" encoding="utf-8"?>
<worksheet xmlns="http://schemas.openxmlformats.org/spreadsheetml/2006/main" xmlns:r="http://schemas.openxmlformats.org/officeDocument/2006/relationships">
  <sheetPr codeName="Sheet7">
    <tabColor rgb="FF92D050"/>
  </sheetPr>
  <dimension ref="B1:F15"/>
  <sheetViews>
    <sheetView workbookViewId="0"/>
  </sheetViews>
  <sheetFormatPr defaultRowHeight="15"/>
  <cols>
    <col min="4" max="4" width="37" customWidth="1"/>
    <col min="5" max="5" width="18" customWidth="1"/>
    <col min="6" max="6" width="16.7109375" customWidth="1"/>
  </cols>
  <sheetData>
    <row r="1" spans="2:6" ht="18.75">
      <c r="B1" s="126" t="str">
        <f>PL!B1</f>
        <v>ABC LTD</v>
      </c>
      <c r="C1" s="126"/>
      <c r="D1" s="126"/>
      <c r="E1" s="126"/>
      <c r="F1" s="126"/>
    </row>
    <row r="2" spans="2:6" ht="15.75" thickBot="1">
      <c r="B2" s="127" t="str">
        <f>'1'!B2</f>
        <v>Notes to financial statements for the year ended 31/03/2012</v>
      </c>
      <c r="C2" s="127"/>
      <c r="D2" s="127"/>
      <c r="E2" s="127"/>
      <c r="F2" s="127"/>
    </row>
    <row r="3" spans="2:6" ht="15.75" thickBot="1">
      <c r="B3" s="127"/>
      <c r="C3" s="127"/>
      <c r="D3" s="127"/>
      <c r="E3" s="127"/>
      <c r="F3" s="127"/>
    </row>
    <row r="4" spans="2:6" ht="16.5" thickBot="1">
      <c r="B4" s="36" t="str">
        <f>CONCATENATE(BS!D18,".  DEFERRED TAX ASSET / LIABILITIES")</f>
        <v xml:space="preserve"> .  DEFERRED TAX ASSET / LIABILITIES</v>
      </c>
      <c r="C4" s="25"/>
      <c r="D4" s="25"/>
      <c r="E4" s="31" t="s">
        <v>94</v>
      </c>
      <c r="F4" s="35" t="s">
        <v>95</v>
      </c>
    </row>
    <row r="5" spans="2:6">
      <c r="B5" s="67" t="s">
        <v>252</v>
      </c>
      <c r="C5" s="1"/>
      <c r="D5" s="1"/>
      <c r="E5" s="65"/>
      <c r="F5" s="66"/>
    </row>
    <row r="6" spans="2:6">
      <c r="B6" s="40" t="s">
        <v>416</v>
      </c>
      <c r="C6" s="1"/>
      <c r="D6" s="1"/>
      <c r="E6" s="11">
        <f>TB!C91</f>
        <v>0</v>
      </c>
      <c r="F6" s="133">
        <f>TB!E91</f>
        <v>0</v>
      </c>
    </row>
    <row r="7" spans="2:6">
      <c r="B7" s="40" t="s">
        <v>362</v>
      </c>
      <c r="C7" s="1"/>
      <c r="D7" s="1"/>
      <c r="E7" s="133">
        <f>TB!C92+'31'!E8</f>
        <v>0</v>
      </c>
      <c r="F7" s="133">
        <f>TB!E92</f>
        <v>0</v>
      </c>
    </row>
    <row r="8" spans="2:6">
      <c r="B8" s="23"/>
      <c r="C8" s="1"/>
      <c r="D8" s="1"/>
      <c r="E8" s="15">
        <f>SUM(E6:E7)</f>
        <v>0</v>
      </c>
      <c r="F8" s="15">
        <f>SUM(F6:F7)</f>
        <v>0</v>
      </c>
    </row>
    <row r="9" spans="2:6">
      <c r="B9" s="23"/>
      <c r="C9" s="1"/>
      <c r="D9" s="1"/>
      <c r="E9" s="65"/>
      <c r="F9" s="66"/>
    </row>
    <row r="10" spans="2:6">
      <c r="B10" s="67" t="s">
        <v>253</v>
      </c>
      <c r="C10" s="1"/>
      <c r="D10" s="1"/>
      <c r="E10" s="65"/>
      <c r="F10" s="66"/>
    </row>
    <row r="11" spans="2:6">
      <c r="B11" s="40" t="s">
        <v>21</v>
      </c>
      <c r="C11" s="1"/>
      <c r="D11" s="1"/>
      <c r="E11" s="11">
        <f>TB!B95</f>
        <v>0</v>
      </c>
      <c r="F11" s="133">
        <f>TB!D95</f>
        <v>0</v>
      </c>
    </row>
    <row r="12" spans="2:6">
      <c r="B12" s="40" t="s">
        <v>362</v>
      </c>
      <c r="C12" s="1"/>
      <c r="D12" s="1"/>
      <c r="E12" s="133">
        <f>TB!B96</f>
        <v>0</v>
      </c>
      <c r="F12" s="133">
        <f>TB!D96</f>
        <v>0</v>
      </c>
    </row>
    <row r="13" spans="2:6">
      <c r="B13" s="23"/>
      <c r="C13" s="1"/>
      <c r="D13" s="1"/>
      <c r="E13" s="15">
        <f>SUM(E11:E12)</f>
        <v>0</v>
      </c>
      <c r="F13" s="15">
        <f>SUM(F11:F12)</f>
        <v>0</v>
      </c>
    </row>
    <row r="14" spans="2:6">
      <c r="B14" s="23"/>
      <c r="C14" s="1"/>
      <c r="D14" s="1"/>
      <c r="E14" s="65"/>
      <c r="F14" s="66"/>
    </row>
    <row r="15" spans="2:6" ht="15.75" thickBot="1">
      <c r="B15" s="44"/>
      <c r="C15" s="44"/>
      <c r="D15" s="44"/>
      <c r="E15" s="46">
        <f>E8-E13</f>
        <v>0</v>
      </c>
      <c r="F15" s="45">
        <f>F8-F13</f>
        <v>0</v>
      </c>
    </row>
  </sheetData>
  <pageMargins left="0.45" right="0.2" top="0.75" bottom="0.75" header="0.3" footer="0.3"/>
  <pageSetup orientation="portrait" r:id="rId1"/>
</worksheet>
</file>

<file path=xl/worksheets/sheet22.xml><?xml version="1.0" encoding="utf-8"?>
<worksheet xmlns="http://schemas.openxmlformats.org/spreadsheetml/2006/main" xmlns:r="http://schemas.openxmlformats.org/officeDocument/2006/relationships">
  <sheetPr codeName="Sheet8">
    <tabColor rgb="FF92D050"/>
  </sheetPr>
  <dimension ref="B1:F9"/>
  <sheetViews>
    <sheetView workbookViewId="0"/>
  </sheetViews>
  <sheetFormatPr defaultRowHeight="15"/>
  <cols>
    <col min="4" max="4" width="24.7109375" customWidth="1"/>
    <col min="5" max="5" width="16" customWidth="1"/>
    <col min="6" max="6" width="16.5703125" customWidth="1"/>
  </cols>
  <sheetData>
    <row r="1" spans="2:6" ht="18.75">
      <c r="B1" s="126" t="str">
        <f>PL!B1</f>
        <v>ABC LTD</v>
      </c>
      <c r="C1" s="126"/>
      <c r="D1" s="126"/>
      <c r="E1" s="126"/>
      <c r="F1" s="126"/>
    </row>
    <row r="2" spans="2:6" ht="15.75" thickBot="1">
      <c r="B2" s="127" t="str">
        <f>'1'!B2</f>
        <v>Notes to financial statements for the year ended 31/03/2012</v>
      </c>
      <c r="C2" s="127"/>
      <c r="D2" s="127"/>
      <c r="E2" s="127"/>
      <c r="F2" s="127"/>
    </row>
    <row r="4" spans="2:6" ht="16.5" thickBot="1">
      <c r="B4" s="36" t="str">
        <f>CONCATENATE(BS!D19,".  OTHER LONG TERM LIABILITIES")</f>
        <v xml:space="preserve"> .  OTHER LONG TERM LIABILITIES</v>
      </c>
      <c r="C4" s="25"/>
      <c r="D4" s="25"/>
      <c r="E4" s="31" t="s">
        <v>94</v>
      </c>
      <c r="F4" s="35" t="s">
        <v>95</v>
      </c>
    </row>
    <row r="5" spans="2:6">
      <c r="B5" s="1" t="s">
        <v>15</v>
      </c>
      <c r="C5" s="1"/>
      <c r="D5" s="1"/>
      <c r="E5" s="11">
        <f>TB!C99</f>
        <v>0</v>
      </c>
      <c r="F5" s="133">
        <f>TB!E99</f>
        <v>0</v>
      </c>
    </row>
    <row r="6" spans="2:6">
      <c r="B6" s="68" t="s">
        <v>11</v>
      </c>
      <c r="C6" s="1"/>
      <c r="D6" s="1"/>
      <c r="E6" s="133">
        <f>TB!C100</f>
        <v>0</v>
      </c>
      <c r="F6" s="133">
        <f>TB!E100</f>
        <v>0</v>
      </c>
    </row>
    <row r="7" spans="2:6">
      <c r="B7" s="23"/>
      <c r="C7" s="1"/>
      <c r="D7" s="1"/>
      <c r="E7" s="65"/>
      <c r="F7" s="66"/>
    </row>
    <row r="8" spans="2:6" ht="15.75" thickBot="1">
      <c r="B8" s="64"/>
      <c r="C8" s="44"/>
      <c r="D8" s="44"/>
      <c r="E8" s="46">
        <f>SUM(E5:E6)</f>
        <v>0</v>
      </c>
      <c r="F8" s="45">
        <f>SUM(F5:F6)</f>
        <v>0</v>
      </c>
    </row>
    <row r="9" spans="2:6">
      <c r="B9" s="7" t="s">
        <v>222</v>
      </c>
      <c r="C9" s="1"/>
      <c r="D9" s="1"/>
      <c r="E9" s="65"/>
      <c r="F9" s="66"/>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sheetPr codeName="Sheet9">
    <tabColor rgb="FF92D050"/>
  </sheetPr>
  <dimension ref="B1:F14"/>
  <sheetViews>
    <sheetView workbookViewId="0">
      <selection activeCell="E13" sqref="E13"/>
    </sheetView>
  </sheetViews>
  <sheetFormatPr defaultRowHeight="15"/>
  <cols>
    <col min="4" max="4" width="28.28515625" customWidth="1"/>
    <col min="5" max="6" width="16.140625" customWidth="1"/>
  </cols>
  <sheetData>
    <row r="1" spans="2:6" ht="18.75">
      <c r="B1" s="126" t="str">
        <f>PL!B1</f>
        <v>ABC LTD</v>
      </c>
      <c r="C1" s="126"/>
      <c r="D1" s="126"/>
      <c r="E1" s="126"/>
      <c r="F1" s="126"/>
    </row>
    <row r="2" spans="2:6" ht="15.75" thickBot="1">
      <c r="B2" s="127" t="str">
        <f>'1'!B2</f>
        <v>Notes to financial statements for the year ended 31/03/2012</v>
      </c>
      <c r="C2" s="127"/>
      <c r="D2" s="127"/>
      <c r="E2" s="127"/>
      <c r="F2" s="127"/>
    </row>
    <row r="3" spans="2:6" ht="15.75" thickBot="1">
      <c r="B3" s="127"/>
      <c r="C3" s="127"/>
      <c r="D3" s="127"/>
      <c r="E3" s="127"/>
      <c r="F3" s="127"/>
    </row>
    <row r="4" spans="2:6" ht="16.5" thickBot="1">
      <c r="B4" s="36" t="str">
        <f>CONCATENATE(BS!D20,".  LONG TERM PROVISIONS")</f>
        <v xml:space="preserve"> .  LONG TERM PROVISIONS</v>
      </c>
      <c r="C4" s="25"/>
      <c r="D4" s="25"/>
      <c r="E4" s="31" t="s">
        <v>94</v>
      </c>
      <c r="F4" s="35" t="s">
        <v>95</v>
      </c>
    </row>
    <row r="5" spans="2:6">
      <c r="B5" s="67" t="s">
        <v>254</v>
      </c>
      <c r="C5" s="1"/>
      <c r="D5" s="1"/>
      <c r="E5" s="65"/>
      <c r="F5" s="66"/>
    </row>
    <row r="6" spans="2:6">
      <c r="B6" s="1" t="s">
        <v>417</v>
      </c>
      <c r="C6" s="1"/>
      <c r="D6" s="1"/>
      <c r="E6" s="11">
        <f>TB!C104</f>
        <v>0</v>
      </c>
      <c r="F6" s="133">
        <f>TB!E104</f>
        <v>0</v>
      </c>
    </row>
    <row r="7" spans="2:6">
      <c r="B7" s="23"/>
      <c r="C7" s="1"/>
      <c r="D7" s="1"/>
      <c r="E7" s="15">
        <f>SUM(E6)</f>
        <v>0</v>
      </c>
      <c r="F7" s="60">
        <f>SUM(F6)</f>
        <v>0</v>
      </c>
    </row>
    <row r="8" spans="2:6">
      <c r="B8" s="23"/>
      <c r="C8" s="1"/>
      <c r="D8" s="1"/>
      <c r="E8" s="65"/>
      <c r="F8" s="66"/>
    </row>
    <row r="9" spans="2:6">
      <c r="B9" s="67" t="s">
        <v>255</v>
      </c>
      <c r="C9" s="1"/>
      <c r="D9" s="1"/>
      <c r="E9" s="65"/>
      <c r="F9" s="66"/>
    </row>
    <row r="10" spans="2:6">
      <c r="B10" s="68" t="s">
        <v>362</v>
      </c>
      <c r="C10" s="1"/>
      <c r="D10" s="1"/>
      <c r="E10" s="11">
        <f>TB!C107</f>
        <v>0</v>
      </c>
      <c r="F10" s="133">
        <f>TB!E107</f>
        <v>0</v>
      </c>
    </row>
    <row r="11" spans="2:6">
      <c r="B11" s="23"/>
      <c r="C11" s="1"/>
      <c r="D11" s="1"/>
      <c r="E11" s="15">
        <f>SUM(E10)</f>
        <v>0</v>
      </c>
      <c r="F11" s="60">
        <f>SUM(F10)</f>
        <v>0</v>
      </c>
    </row>
    <row r="12" spans="2:6">
      <c r="B12" s="23"/>
      <c r="C12" s="1"/>
      <c r="D12" s="1"/>
      <c r="E12" s="65"/>
      <c r="F12" s="66"/>
    </row>
    <row r="13" spans="2:6" ht="15.75" thickBot="1">
      <c r="B13" s="64"/>
      <c r="C13" s="44"/>
      <c r="D13" s="44"/>
      <c r="E13" s="46">
        <f>E11+E7</f>
        <v>0</v>
      </c>
      <c r="F13" s="45">
        <f>F11+F7</f>
        <v>0</v>
      </c>
    </row>
    <row r="14" spans="2:6">
      <c r="B14" s="7" t="s">
        <v>222</v>
      </c>
      <c r="C14" s="1"/>
      <c r="D14" s="1"/>
      <c r="E14" s="65"/>
      <c r="F14" s="66"/>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sheetPr codeName="Sheet10">
    <tabColor rgb="FF92D050"/>
  </sheetPr>
  <dimension ref="B1:G53"/>
  <sheetViews>
    <sheetView topLeftCell="A29" workbookViewId="0">
      <selection activeCell="A52" sqref="A52"/>
    </sheetView>
  </sheetViews>
  <sheetFormatPr defaultRowHeight="15"/>
  <cols>
    <col min="1" max="1" width="3.7109375" customWidth="1"/>
    <col min="4" max="4" width="33" customWidth="1"/>
    <col min="5" max="5" width="15.42578125" customWidth="1"/>
    <col min="6" max="6" width="14.85546875" customWidth="1"/>
  </cols>
  <sheetData>
    <row r="1" spans="2:7" ht="18.75">
      <c r="B1" s="126" t="str">
        <f>PL!B1</f>
        <v>ABC LTD</v>
      </c>
      <c r="C1" s="126"/>
      <c r="D1" s="126"/>
      <c r="E1" s="126"/>
      <c r="F1" s="126"/>
      <c r="G1" s="126"/>
    </row>
    <row r="2" spans="2:7" ht="15.75" thickBot="1">
      <c r="B2" s="127" t="str">
        <f>'1'!B2</f>
        <v>Notes to financial statements for the year ended 31/03/2012</v>
      </c>
      <c r="C2" s="127"/>
      <c r="D2" s="127"/>
      <c r="E2" s="127"/>
      <c r="F2" s="127"/>
      <c r="G2" s="127"/>
    </row>
    <row r="3" spans="2:7" ht="15.75" thickBot="1">
      <c r="B3" s="127"/>
      <c r="C3" s="127"/>
      <c r="D3" s="127"/>
      <c r="E3" s="127"/>
      <c r="F3" s="127"/>
      <c r="G3" s="128"/>
    </row>
    <row r="4" spans="2:7" ht="16.5" thickBot="1">
      <c r="B4" s="36" t="str">
        <f>CONCATENATE(BS!D23,".  SHORT TERM BORROWINGS")</f>
        <v xml:space="preserve"> .  SHORT TERM BORROWINGS</v>
      </c>
      <c r="C4" s="25"/>
      <c r="D4" s="25"/>
      <c r="E4" s="31" t="s">
        <v>94</v>
      </c>
      <c r="F4" s="35" t="s">
        <v>95</v>
      </c>
    </row>
    <row r="5" spans="2:7">
      <c r="B5" s="67" t="s">
        <v>256</v>
      </c>
      <c r="C5" s="1"/>
      <c r="D5" s="1"/>
      <c r="E5" s="65"/>
      <c r="F5" s="66"/>
    </row>
    <row r="6" spans="2:7">
      <c r="B6" s="40" t="s">
        <v>413</v>
      </c>
      <c r="C6" s="1"/>
      <c r="D6" s="1"/>
      <c r="E6" s="11">
        <f>TB!C111</f>
        <v>0</v>
      </c>
      <c r="F6" s="133">
        <f>TB!E111</f>
        <v>0</v>
      </c>
    </row>
    <row r="7" spans="2:7">
      <c r="B7" s="23"/>
      <c r="C7" s="1"/>
      <c r="D7" s="1"/>
      <c r="E7" s="15">
        <f>SUM(E6)</f>
        <v>0</v>
      </c>
      <c r="F7" s="15">
        <f>SUM(F6)</f>
        <v>0</v>
      </c>
    </row>
    <row r="8" spans="2:7">
      <c r="B8" s="23"/>
      <c r="C8" s="1"/>
      <c r="D8" s="1"/>
      <c r="E8" s="65"/>
      <c r="F8" s="66"/>
    </row>
    <row r="9" spans="2:7">
      <c r="B9" s="67" t="s">
        <v>257</v>
      </c>
      <c r="C9" s="1"/>
      <c r="D9" s="1"/>
      <c r="E9" s="65"/>
      <c r="F9" s="66"/>
    </row>
    <row r="10" spans="2:7">
      <c r="B10" s="40" t="s">
        <v>418</v>
      </c>
      <c r="C10" s="1"/>
      <c r="D10" s="1"/>
      <c r="E10" s="11">
        <f>TB!C114</f>
        <v>0</v>
      </c>
      <c r="F10" s="133">
        <f>TB!E114</f>
        <v>0</v>
      </c>
    </row>
    <row r="11" spans="2:7">
      <c r="B11" s="23"/>
      <c r="C11" s="1"/>
      <c r="D11" s="1"/>
      <c r="E11" s="15">
        <f>SUM(E10)</f>
        <v>0</v>
      </c>
      <c r="F11" s="15">
        <f>SUM(F10)</f>
        <v>0</v>
      </c>
    </row>
    <row r="12" spans="2:7">
      <c r="B12" s="23"/>
      <c r="C12" s="1"/>
      <c r="D12" s="1"/>
      <c r="E12" s="65"/>
      <c r="F12" s="66"/>
    </row>
    <row r="13" spans="2:7">
      <c r="B13" s="67" t="s">
        <v>258</v>
      </c>
      <c r="C13" s="1"/>
      <c r="D13" s="1"/>
      <c r="E13" s="65"/>
      <c r="F13" s="66"/>
    </row>
    <row r="14" spans="2:7">
      <c r="B14" s="40"/>
      <c r="C14" s="1"/>
      <c r="D14" s="1"/>
      <c r="E14" s="11">
        <f>TB!C117</f>
        <v>0</v>
      </c>
      <c r="F14" s="133">
        <f>TB!E117</f>
        <v>0</v>
      </c>
    </row>
    <row r="15" spans="2:7">
      <c r="B15" s="23"/>
      <c r="C15" s="1"/>
      <c r="D15" s="1"/>
      <c r="E15" s="15">
        <f>SUM(E14)</f>
        <v>0</v>
      </c>
      <c r="F15" s="15">
        <f>SUM(F14)</f>
        <v>0</v>
      </c>
    </row>
    <row r="16" spans="2:7">
      <c r="B16" s="23"/>
      <c r="C16" s="1"/>
      <c r="D16" s="1"/>
      <c r="E16" s="65"/>
      <c r="F16" s="66"/>
    </row>
    <row r="17" spans="2:6">
      <c r="B17" s="67" t="s">
        <v>259</v>
      </c>
      <c r="C17" s="1"/>
      <c r="D17" s="1"/>
      <c r="E17" s="65"/>
      <c r="F17" s="66"/>
    </row>
    <row r="18" spans="2:6">
      <c r="B18" s="40"/>
      <c r="C18" s="1"/>
      <c r="D18" s="1"/>
      <c r="E18" s="11">
        <f>TB!C120</f>
        <v>0</v>
      </c>
      <c r="F18" s="133">
        <f>TB!E120</f>
        <v>0</v>
      </c>
    </row>
    <row r="19" spans="2:6">
      <c r="B19" s="23"/>
      <c r="C19" s="1"/>
      <c r="D19" s="1"/>
      <c r="E19" s="15">
        <f>SUM(E18)</f>
        <v>0</v>
      </c>
      <c r="F19" s="15">
        <f>SUM(F18)</f>
        <v>0</v>
      </c>
    </row>
    <row r="20" spans="2:6">
      <c r="B20" s="23"/>
      <c r="C20" s="1"/>
      <c r="D20" s="1"/>
      <c r="E20" s="65"/>
      <c r="F20" s="66"/>
    </row>
    <row r="21" spans="2:6">
      <c r="B21" s="67" t="s">
        <v>260</v>
      </c>
      <c r="C21" s="1"/>
      <c r="D21" s="1"/>
      <c r="E21" s="65"/>
      <c r="F21" s="66"/>
    </row>
    <row r="22" spans="2:6">
      <c r="B22" s="40"/>
      <c r="C22" s="1"/>
      <c r="D22" s="1"/>
      <c r="E22" s="11">
        <f>TB!C123</f>
        <v>0</v>
      </c>
      <c r="F22" s="133">
        <f>TB!E123</f>
        <v>0</v>
      </c>
    </row>
    <row r="23" spans="2:6">
      <c r="B23" s="23"/>
      <c r="C23" s="1"/>
      <c r="D23" s="1"/>
      <c r="E23" s="15">
        <f>SUM(E22)</f>
        <v>0</v>
      </c>
      <c r="F23" s="15">
        <f>SUM(F22)</f>
        <v>0</v>
      </c>
    </row>
    <row r="24" spans="2:6">
      <c r="B24" s="23"/>
      <c r="C24" s="1"/>
      <c r="D24" s="1"/>
      <c r="E24" s="65"/>
      <c r="F24" s="66"/>
    </row>
    <row r="25" spans="2:6">
      <c r="B25" s="67" t="s">
        <v>261</v>
      </c>
      <c r="C25" s="1"/>
      <c r="D25" s="1"/>
      <c r="E25" s="65"/>
      <c r="F25" s="66"/>
    </row>
    <row r="26" spans="2:6">
      <c r="B26" s="40"/>
      <c r="C26" s="1"/>
      <c r="D26" s="1"/>
      <c r="E26" s="11">
        <f>TB!C126</f>
        <v>0</v>
      </c>
      <c r="F26" s="133">
        <f>TB!E126</f>
        <v>0</v>
      </c>
    </row>
    <row r="27" spans="2:6">
      <c r="B27" s="23"/>
      <c r="C27" s="1"/>
      <c r="D27" s="1"/>
      <c r="E27" s="15">
        <f>SUM(E26)</f>
        <v>0</v>
      </c>
      <c r="F27" s="15">
        <f>SUM(F26)</f>
        <v>0</v>
      </c>
    </row>
    <row r="28" spans="2:6">
      <c r="B28" s="23"/>
      <c r="C28" s="1"/>
      <c r="D28" s="1"/>
      <c r="E28" s="65"/>
      <c r="F28" s="66"/>
    </row>
    <row r="29" spans="2:6">
      <c r="B29" s="67" t="s">
        <v>262</v>
      </c>
      <c r="C29" s="1"/>
      <c r="D29" s="1"/>
      <c r="E29" s="11"/>
      <c r="F29" s="42"/>
    </row>
    <row r="30" spans="2:6">
      <c r="B30" s="40"/>
      <c r="C30" s="1"/>
      <c r="D30" s="1"/>
      <c r="E30" s="11">
        <f>TB!C129</f>
        <v>0</v>
      </c>
      <c r="F30" s="133">
        <f>TB!E129</f>
        <v>0</v>
      </c>
    </row>
    <row r="31" spans="2:6">
      <c r="B31" s="68"/>
      <c r="C31" s="1"/>
      <c r="D31" s="1"/>
      <c r="E31" s="15">
        <f>SUM(E30)</f>
        <v>0</v>
      </c>
      <c r="F31" s="15">
        <f>SUM(F30)</f>
        <v>0</v>
      </c>
    </row>
    <row r="32" spans="2:6">
      <c r="B32" s="68"/>
      <c r="C32" s="1"/>
      <c r="D32" s="1"/>
      <c r="E32" s="65"/>
      <c r="F32" s="66"/>
    </row>
    <row r="33" spans="2:6">
      <c r="B33" s="67" t="s">
        <v>263</v>
      </c>
      <c r="C33" s="1"/>
      <c r="D33" s="1"/>
      <c r="E33" s="11"/>
      <c r="F33" s="42"/>
    </row>
    <row r="34" spans="2:6">
      <c r="B34" s="40"/>
      <c r="C34" s="1"/>
      <c r="D34" s="1"/>
      <c r="E34" s="11">
        <f>TB!C132</f>
        <v>0</v>
      </c>
      <c r="F34" s="133">
        <f>TB!E132</f>
        <v>0</v>
      </c>
    </row>
    <row r="35" spans="2:6">
      <c r="B35" s="68"/>
      <c r="C35" s="1"/>
      <c r="D35" s="1"/>
      <c r="E35" s="15">
        <f>SUM(E34)</f>
        <v>0</v>
      </c>
      <c r="F35" s="15">
        <f>SUM(F34)</f>
        <v>0</v>
      </c>
    </row>
    <row r="36" spans="2:6">
      <c r="B36" s="23"/>
      <c r="C36" s="1"/>
      <c r="D36" s="1"/>
      <c r="E36" s="65"/>
      <c r="F36" s="66"/>
    </row>
    <row r="37" spans="2:6" ht="15.75" thickBot="1">
      <c r="B37" s="64"/>
      <c r="C37" s="44"/>
      <c r="D37" s="44"/>
      <c r="E37" s="46">
        <f>E35+E31+E27+E23+E19+E15+E11+E7</f>
        <v>0</v>
      </c>
      <c r="F37" s="46">
        <f>F35+F31+F27+F23+F19+F15+F11+F7</f>
        <v>0</v>
      </c>
    </row>
    <row r="38" spans="2:6">
      <c r="B38" s="7"/>
      <c r="C38" s="1"/>
      <c r="D38" s="1"/>
      <c r="E38" s="65"/>
      <c r="F38" s="66"/>
    </row>
    <row r="39" spans="2:6">
      <c r="B39" s="7"/>
      <c r="C39" s="1"/>
      <c r="D39" s="1"/>
      <c r="E39" s="65"/>
      <c r="F39" s="66"/>
    </row>
    <row r="40" spans="2:6">
      <c r="B40" s="7" t="s">
        <v>264</v>
      </c>
      <c r="C40" s="1"/>
      <c r="D40" s="1"/>
      <c r="E40" s="65"/>
      <c r="F40" s="66"/>
    </row>
    <row r="41" spans="2:6">
      <c r="B41" s="7"/>
      <c r="C41" s="1"/>
      <c r="D41" s="1"/>
      <c r="E41" s="65"/>
      <c r="F41" s="66"/>
    </row>
    <row r="42" spans="2:6">
      <c r="B42" s="7"/>
      <c r="C42" s="1"/>
      <c r="D42" s="1"/>
      <c r="E42" s="65"/>
      <c r="F42" s="66"/>
    </row>
    <row r="43" spans="2:6">
      <c r="B43" s="7"/>
      <c r="C43" s="1"/>
      <c r="D43" s="1"/>
      <c r="E43" s="65"/>
      <c r="F43" s="66"/>
    </row>
    <row r="44" spans="2:6">
      <c r="B44" s="7"/>
      <c r="C44" s="1"/>
      <c r="D44" s="1"/>
      <c r="E44" s="65"/>
      <c r="F44" s="66"/>
    </row>
    <row r="45" spans="2:6">
      <c r="B45" s="7"/>
      <c r="C45" s="1"/>
      <c r="D45" s="1"/>
      <c r="E45" s="65"/>
      <c r="F45" s="66"/>
    </row>
    <row r="46" spans="2:6">
      <c r="B46" s="7"/>
      <c r="C46" s="1"/>
      <c r="D46" s="1"/>
      <c r="E46" s="65"/>
      <c r="F46" s="66"/>
    </row>
    <row r="47" spans="2:6">
      <c r="B47" s="7" t="s">
        <v>265</v>
      </c>
      <c r="C47" s="1"/>
      <c r="D47" s="1"/>
      <c r="E47" s="65"/>
      <c r="F47" s="66"/>
    </row>
    <row r="48" spans="2:6">
      <c r="B48" s="7"/>
      <c r="C48" s="1"/>
      <c r="D48" s="1"/>
      <c r="E48" s="65"/>
      <c r="F48" s="66"/>
    </row>
    <row r="49" spans="2:6">
      <c r="B49" s="7"/>
      <c r="C49" s="1"/>
      <c r="D49" s="1"/>
      <c r="E49" s="65"/>
      <c r="F49" s="66"/>
    </row>
    <row r="50" spans="2:6">
      <c r="B50" s="7"/>
      <c r="C50" s="1"/>
      <c r="D50" s="1"/>
      <c r="E50" s="65"/>
      <c r="F50" s="66"/>
    </row>
    <row r="51" spans="2:6">
      <c r="B51" s="7" t="s">
        <v>266</v>
      </c>
      <c r="C51" s="1"/>
      <c r="D51" s="1"/>
      <c r="E51" s="65"/>
      <c r="F51" s="66"/>
    </row>
    <row r="52" spans="2:6">
      <c r="B52" s="7"/>
      <c r="C52" s="1"/>
      <c r="D52" s="1"/>
      <c r="E52" s="65"/>
      <c r="F52" s="66"/>
    </row>
    <row r="53" spans="2:6">
      <c r="B53" s="23"/>
      <c r="C53" s="1"/>
      <c r="D53" s="1"/>
      <c r="E53" s="65"/>
      <c r="F53" s="66"/>
    </row>
  </sheetData>
  <pageMargins left="0.22" right="0" top="0.02" bottom="0.13" header="0.3" footer="0.3"/>
  <pageSetup orientation="portrait" r:id="rId1"/>
</worksheet>
</file>

<file path=xl/worksheets/sheet25.xml><?xml version="1.0" encoding="utf-8"?>
<worksheet xmlns="http://schemas.openxmlformats.org/spreadsheetml/2006/main" xmlns:r="http://schemas.openxmlformats.org/officeDocument/2006/relationships">
  <sheetPr codeName="Sheet11">
    <tabColor rgb="FF92D050"/>
  </sheetPr>
  <dimension ref="B1:G32"/>
  <sheetViews>
    <sheetView topLeftCell="B1" workbookViewId="0"/>
  </sheetViews>
  <sheetFormatPr defaultRowHeight="15"/>
  <cols>
    <col min="1" max="1" width="0" hidden="1" customWidth="1"/>
    <col min="2" max="2" width="11" customWidth="1"/>
    <col min="5" max="5" width="33.28515625" customWidth="1"/>
    <col min="6" max="6" width="10.42578125" customWidth="1"/>
    <col min="7" max="7" width="16.85546875" customWidth="1"/>
  </cols>
  <sheetData>
    <row r="1" spans="2:7" ht="18.75">
      <c r="B1" s="126" t="str">
        <f>PL!B1</f>
        <v>ABC LTD</v>
      </c>
      <c r="C1" s="126"/>
      <c r="D1" s="126"/>
      <c r="E1" s="126"/>
      <c r="F1" s="126"/>
      <c r="G1" s="126"/>
    </row>
    <row r="2" spans="2:7" ht="15.75" thickBot="1">
      <c r="B2" s="127" t="str">
        <f>'1'!B2</f>
        <v>Notes to financial statements for the year ended 31/03/2012</v>
      </c>
      <c r="C2" s="127"/>
      <c r="D2" s="127"/>
      <c r="E2" s="127"/>
      <c r="F2" s="127"/>
      <c r="G2" s="127"/>
    </row>
    <row r="3" spans="2:7">
      <c r="B3" s="128"/>
      <c r="C3" s="128"/>
      <c r="D3" s="128"/>
      <c r="E3" s="128"/>
      <c r="F3" s="128"/>
      <c r="G3" s="128"/>
    </row>
    <row r="4" spans="2:7">
      <c r="B4" s="128"/>
      <c r="C4" s="128"/>
      <c r="D4" s="128"/>
      <c r="E4" s="128"/>
      <c r="F4" s="128"/>
      <c r="G4" s="128"/>
    </row>
    <row r="5" spans="2:7" ht="16.5" thickBot="1">
      <c r="B5" s="36" t="str">
        <f>CONCATENATE(BS!D25,".  OTHER CURRENT LIABILITIES")</f>
        <v xml:space="preserve"> .  OTHER CURRENT LIABILITIES</v>
      </c>
      <c r="C5" s="25"/>
      <c r="D5" s="25"/>
      <c r="E5" s="25"/>
      <c r="F5" s="31" t="s">
        <v>94</v>
      </c>
      <c r="G5" s="35" t="s">
        <v>95</v>
      </c>
    </row>
    <row r="6" spans="2:7">
      <c r="B6" s="68" t="s">
        <v>267</v>
      </c>
      <c r="C6" s="1"/>
      <c r="D6" s="1"/>
      <c r="E6" s="1"/>
      <c r="F6" s="11">
        <f>TB!C138</f>
        <v>0</v>
      </c>
      <c r="G6" s="138">
        <f>TB!E138</f>
        <v>0</v>
      </c>
    </row>
    <row r="7" spans="2:7">
      <c r="B7" s="68" t="s">
        <v>268</v>
      </c>
      <c r="C7" s="1"/>
      <c r="D7" s="1"/>
      <c r="E7" s="1"/>
      <c r="F7" s="138">
        <f>TB!C139</f>
        <v>0</v>
      </c>
      <c r="G7" s="138">
        <f>TB!E139</f>
        <v>0</v>
      </c>
    </row>
    <row r="8" spans="2:7">
      <c r="B8" s="68" t="s">
        <v>269</v>
      </c>
      <c r="C8" s="1"/>
      <c r="D8" s="1"/>
      <c r="E8" s="1"/>
      <c r="F8" s="138">
        <f>TB!C140</f>
        <v>0</v>
      </c>
      <c r="G8" s="138">
        <f>TB!E140</f>
        <v>0</v>
      </c>
    </row>
    <row r="9" spans="2:7">
      <c r="B9" s="68" t="s">
        <v>270</v>
      </c>
      <c r="C9" s="1"/>
      <c r="D9" s="1"/>
      <c r="E9" s="1"/>
      <c r="F9" s="138">
        <f>TB!C141</f>
        <v>0</v>
      </c>
      <c r="G9" s="138">
        <f>TB!E141</f>
        <v>0</v>
      </c>
    </row>
    <row r="10" spans="2:7">
      <c r="B10" s="68" t="s">
        <v>271</v>
      </c>
      <c r="C10" s="1"/>
      <c r="D10" s="1"/>
      <c r="E10" s="1"/>
      <c r="F10" s="138">
        <f>TB!C142</f>
        <v>0</v>
      </c>
      <c r="G10" s="138">
        <f>TB!E142</f>
        <v>0</v>
      </c>
    </row>
    <row r="11" spans="2:7">
      <c r="B11" s="68" t="s">
        <v>272</v>
      </c>
      <c r="C11" s="1"/>
      <c r="D11" s="1"/>
      <c r="E11" s="1"/>
      <c r="F11" s="138">
        <f>TB!C143</f>
        <v>0</v>
      </c>
      <c r="G11" s="138">
        <f>TB!E143</f>
        <v>0</v>
      </c>
    </row>
    <row r="12" spans="2:7">
      <c r="B12" s="68" t="s">
        <v>273</v>
      </c>
      <c r="C12" s="1"/>
      <c r="D12" s="1"/>
      <c r="E12" s="1"/>
      <c r="F12" s="138">
        <f>TB!C144</f>
        <v>0</v>
      </c>
      <c r="G12" s="138">
        <f>TB!E144</f>
        <v>0</v>
      </c>
    </row>
    <row r="13" spans="2:7">
      <c r="B13" s="68" t="s">
        <v>274</v>
      </c>
      <c r="C13" s="1"/>
      <c r="D13" s="1"/>
      <c r="E13" s="1"/>
      <c r="F13" s="138">
        <f>TB!C145</f>
        <v>0</v>
      </c>
      <c r="G13" s="138">
        <f>TB!E145</f>
        <v>0</v>
      </c>
    </row>
    <row r="14" spans="2:7">
      <c r="B14" s="23"/>
      <c r="C14" s="1"/>
      <c r="D14" s="1"/>
      <c r="E14" s="1"/>
      <c r="F14" s="65"/>
      <c r="G14" s="66"/>
    </row>
    <row r="15" spans="2:7" ht="15.75" thickBot="1">
      <c r="B15" s="64"/>
      <c r="C15" s="44"/>
      <c r="D15" s="44"/>
      <c r="E15" s="44"/>
      <c r="F15" s="46">
        <f>SUM(F6:F14)</f>
        <v>0</v>
      </c>
      <c r="G15" s="45">
        <f>SUM(G6:G14)</f>
        <v>0</v>
      </c>
    </row>
    <row r="16" spans="2:7">
      <c r="B16" s="7"/>
      <c r="C16" s="1"/>
      <c r="D16" s="1"/>
      <c r="E16" s="1"/>
      <c r="F16" s="65"/>
      <c r="G16" s="66"/>
    </row>
    <row r="17" spans="2:7">
      <c r="B17" s="7"/>
      <c r="C17" s="1"/>
      <c r="D17" s="1"/>
      <c r="E17" s="1"/>
      <c r="F17" s="65"/>
      <c r="G17" s="66"/>
    </row>
    <row r="18" spans="2:7">
      <c r="B18" s="7" t="s">
        <v>275</v>
      </c>
      <c r="C18" s="1"/>
      <c r="D18" s="1"/>
      <c r="E18" s="1"/>
      <c r="F18" s="65"/>
      <c r="G18" s="66"/>
    </row>
    <row r="19" spans="2:7" ht="15.75" thickBot="1">
      <c r="B19" s="7"/>
      <c r="C19" s="1"/>
      <c r="D19" s="1"/>
      <c r="E19" s="1"/>
      <c r="F19" s="31" t="s">
        <v>94</v>
      </c>
      <c r="G19" s="35" t="s">
        <v>95</v>
      </c>
    </row>
    <row r="20" spans="2:7">
      <c r="B20" s="1" t="s">
        <v>276</v>
      </c>
      <c r="C20" s="1"/>
      <c r="D20" s="1"/>
      <c r="E20" s="1"/>
      <c r="F20" s="65"/>
      <c r="G20" s="66"/>
    </row>
    <row r="21" spans="2:7">
      <c r="B21" s="1" t="s">
        <v>277</v>
      </c>
      <c r="C21" s="1"/>
      <c r="D21" s="1"/>
      <c r="E21" s="1"/>
      <c r="F21" s="65"/>
      <c r="G21" s="66"/>
    </row>
    <row r="22" spans="2:7">
      <c r="B22" s="1" t="s">
        <v>278</v>
      </c>
      <c r="C22" s="1"/>
      <c r="D22" s="1"/>
      <c r="E22" s="1"/>
      <c r="F22" s="65"/>
      <c r="G22" s="66"/>
    </row>
    <row r="23" spans="2:7">
      <c r="B23" s="1" t="s">
        <v>279</v>
      </c>
      <c r="C23" s="1"/>
      <c r="D23" s="1"/>
      <c r="E23" s="1"/>
      <c r="F23" s="65"/>
      <c r="G23" s="66"/>
    </row>
    <row r="24" spans="2:7">
      <c r="B24" s="1" t="s">
        <v>280</v>
      </c>
      <c r="C24" s="1"/>
      <c r="D24" s="1"/>
      <c r="E24" s="1"/>
      <c r="F24" s="65"/>
      <c r="G24" s="66"/>
    </row>
    <row r="25" spans="2:7">
      <c r="B25" s="1" t="s">
        <v>281</v>
      </c>
      <c r="C25" s="1"/>
      <c r="D25" s="1"/>
      <c r="E25" s="1"/>
      <c r="F25" s="65"/>
      <c r="G25" s="66"/>
    </row>
    <row r="26" spans="2:7">
      <c r="B26" s="1" t="s">
        <v>282</v>
      </c>
      <c r="C26" s="1"/>
      <c r="D26" s="1"/>
      <c r="E26" s="1"/>
      <c r="F26" s="65"/>
      <c r="G26" s="66"/>
    </row>
    <row r="27" spans="2:7">
      <c r="B27" s="1" t="s">
        <v>283</v>
      </c>
      <c r="C27" s="1"/>
      <c r="D27" s="1"/>
      <c r="E27" s="1"/>
      <c r="F27" s="65"/>
      <c r="G27" s="66"/>
    </row>
    <row r="28" spans="2:7" ht="15" customHeight="1">
      <c r="B28" s="69" t="s">
        <v>284</v>
      </c>
      <c r="C28" s="69"/>
      <c r="D28" s="69"/>
      <c r="E28" s="69"/>
      <c r="F28" s="65"/>
      <c r="G28" s="66"/>
    </row>
    <row r="29" spans="2:7">
      <c r="B29" s="69"/>
      <c r="C29" s="69"/>
      <c r="D29" s="69"/>
      <c r="E29" s="69"/>
      <c r="F29" s="65"/>
      <c r="G29" s="66"/>
    </row>
    <row r="30" spans="2:7">
      <c r="B30" s="69"/>
      <c r="C30" s="69"/>
      <c r="D30" s="69"/>
      <c r="E30" s="69"/>
      <c r="F30" s="65"/>
      <c r="G30" s="66"/>
    </row>
    <row r="31" spans="2:7" ht="26.25">
      <c r="B31" s="70" t="s">
        <v>285</v>
      </c>
      <c r="C31" s="69"/>
      <c r="D31" s="69"/>
      <c r="E31" s="69"/>
      <c r="F31" s="65"/>
      <c r="G31" s="66"/>
    </row>
    <row r="32" spans="2:7">
      <c r="B32" s="69"/>
      <c r="C32" s="69"/>
      <c r="D32" s="69"/>
      <c r="E32" s="69"/>
      <c r="F32" s="65"/>
      <c r="G32" s="66"/>
    </row>
  </sheetData>
  <pageMargins left="0.7" right="0.18" top="0.75" bottom="0.75" header="0.3" footer="0.3"/>
  <pageSetup orientation="portrait" r:id="rId1"/>
</worksheet>
</file>

<file path=xl/worksheets/sheet26.xml><?xml version="1.0" encoding="utf-8"?>
<worksheet xmlns="http://schemas.openxmlformats.org/spreadsheetml/2006/main" xmlns:r="http://schemas.openxmlformats.org/officeDocument/2006/relationships">
  <sheetPr codeName="Sheet12">
    <tabColor rgb="FF92D050"/>
  </sheetPr>
  <dimension ref="B1:G26"/>
  <sheetViews>
    <sheetView topLeftCell="B11" workbookViewId="0">
      <selection activeCell="F19" sqref="F19"/>
    </sheetView>
  </sheetViews>
  <sheetFormatPr defaultRowHeight="15"/>
  <cols>
    <col min="1" max="1" width="0" hidden="1" customWidth="1"/>
    <col min="6" max="6" width="19.28515625" customWidth="1"/>
    <col min="7" max="7" width="21.28515625" customWidth="1"/>
  </cols>
  <sheetData>
    <row r="1" spans="2:7" ht="18.75">
      <c r="B1" s="126" t="str">
        <f>PL!B1</f>
        <v>ABC LTD</v>
      </c>
      <c r="C1" s="126"/>
      <c r="D1" s="126"/>
      <c r="E1" s="126"/>
      <c r="F1" s="126"/>
      <c r="G1" s="126"/>
    </row>
    <row r="2" spans="2:7" ht="15.75" thickBot="1">
      <c r="B2" s="127" t="str">
        <f>'1'!B2</f>
        <v>Notes to financial statements for the year ended 31/03/2012</v>
      </c>
      <c r="C2" s="127"/>
      <c r="D2" s="127"/>
      <c r="E2" s="127"/>
      <c r="F2" s="127"/>
      <c r="G2" s="127"/>
    </row>
    <row r="5" spans="2:7" ht="16.5" thickBot="1">
      <c r="B5" s="36" t="str">
        <f>CONCATENATE(BS!D26,".  SHORT TERM PROVISIONS")</f>
        <v xml:space="preserve"> .  SHORT TERM PROVISIONS</v>
      </c>
      <c r="C5" s="25"/>
      <c r="D5" s="25"/>
      <c r="E5" s="25"/>
      <c r="F5" s="92" t="s">
        <v>94</v>
      </c>
      <c r="G5" s="92" t="s">
        <v>95</v>
      </c>
    </row>
    <row r="6" spans="2:7">
      <c r="B6" s="67" t="s">
        <v>254</v>
      </c>
      <c r="C6" s="1"/>
      <c r="D6" s="1"/>
      <c r="E6" s="1"/>
      <c r="F6" s="65"/>
      <c r="G6" s="66"/>
    </row>
    <row r="7" spans="2:7">
      <c r="B7" s="1" t="s">
        <v>419</v>
      </c>
      <c r="C7" s="1"/>
      <c r="D7" s="1"/>
      <c r="E7" s="1"/>
      <c r="F7" s="11">
        <f>TB!C150</f>
        <v>0</v>
      </c>
      <c r="G7" s="138">
        <f>TB!E150</f>
        <v>0</v>
      </c>
    </row>
    <row r="8" spans="2:7">
      <c r="B8" s="23"/>
      <c r="C8" s="1"/>
      <c r="D8" s="1"/>
      <c r="E8" s="1"/>
      <c r="F8" s="15">
        <f>SUM(F7)</f>
        <v>0</v>
      </c>
      <c r="G8" s="15">
        <f>SUM(G7)</f>
        <v>0</v>
      </c>
    </row>
    <row r="9" spans="2:7">
      <c r="B9" s="23"/>
      <c r="C9" s="1"/>
      <c r="D9" s="1"/>
      <c r="E9" s="1"/>
      <c r="F9" s="65"/>
      <c r="G9" s="66"/>
    </row>
    <row r="10" spans="2:7">
      <c r="B10" s="67" t="s">
        <v>286</v>
      </c>
      <c r="C10" s="1"/>
      <c r="D10" s="1"/>
      <c r="E10" s="1"/>
      <c r="F10" s="65"/>
      <c r="G10" s="66"/>
    </row>
    <row r="11" spans="2:7">
      <c r="B11" s="1"/>
      <c r="C11" s="1"/>
      <c r="D11" s="1"/>
      <c r="E11" s="1"/>
      <c r="F11" s="11">
        <f>TB!C151</f>
        <v>0</v>
      </c>
      <c r="G11" s="138">
        <f>TB!E151</f>
        <v>0</v>
      </c>
    </row>
    <row r="12" spans="2:7">
      <c r="B12" s="23"/>
      <c r="C12" s="1"/>
      <c r="D12" s="1"/>
      <c r="E12" s="1"/>
      <c r="F12" s="15">
        <f>SUM(F11)</f>
        <v>0</v>
      </c>
      <c r="G12" s="15">
        <f>SUM(G11)</f>
        <v>0</v>
      </c>
    </row>
    <row r="13" spans="2:7">
      <c r="B13" s="23"/>
      <c r="C13" s="1"/>
      <c r="D13" s="1"/>
      <c r="E13" s="1"/>
      <c r="F13" s="65"/>
      <c r="G13" s="66"/>
    </row>
    <row r="14" spans="2:7">
      <c r="B14" s="67" t="s">
        <v>287</v>
      </c>
      <c r="C14" s="1"/>
      <c r="D14" s="1"/>
      <c r="E14" s="1"/>
      <c r="F14" s="65"/>
      <c r="G14" s="66"/>
    </row>
    <row r="15" spans="2:7">
      <c r="B15" s="1"/>
      <c r="C15" s="1"/>
      <c r="D15" s="1"/>
      <c r="E15" s="1"/>
      <c r="F15" s="11">
        <f>TB!C152</f>
        <v>0</v>
      </c>
      <c r="G15" s="138">
        <f>TB!E152</f>
        <v>0</v>
      </c>
    </row>
    <row r="16" spans="2:7">
      <c r="B16" s="23"/>
      <c r="C16" s="1"/>
      <c r="D16" s="1"/>
      <c r="E16" s="1"/>
      <c r="F16" s="15">
        <f>SUM(F15)</f>
        <v>0</v>
      </c>
      <c r="G16" s="15">
        <f>SUM(G15)</f>
        <v>0</v>
      </c>
    </row>
    <row r="17" spans="2:7">
      <c r="B17" s="23"/>
      <c r="C17" s="1"/>
      <c r="D17" s="1"/>
      <c r="E17" s="1"/>
      <c r="F17" s="65"/>
      <c r="G17" s="66"/>
    </row>
    <row r="18" spans="2:7">
      <c r="B18" s="67" t="s">
        <v>288</v>
      </c>
      <c r="C18" s="1"/>
      <c r="D18" s="1"/>
      <c r="E18" s="1"/>
      <c r="F18" s="65"/>
      <c r="G18" s="66"/>
    </row>
    <row r="19" spans="2:7">
      <c r="B19" s="1"/>
      <c r="C19" s="1"/>
      <c r="D19" s="1"/>
      <c r="E19" s="1"/>
      <c r="F19" s="11">
        <f>'31'!E7</f>
        <v>0</v>
      </c>
      <c r="G19" s="138">
        <f>TB!E153</f>
        <v>0</v>
      </c>
    </row>
    <row r="20" spans="2:7">
      <c r="B20" s="23"/>
      <c r="C20" s="1"/>
      <c r="D20" s="1"/>
      <c r="E20" s="1"/>
      <c r="F20" s="15">
        <f>SUM(F19)</f>
        <v>0</v>
      </c>
      <c r="G20" s="15">
        <f>SUM(G19)</f>
        <v>0</v>
      </c>
    </row>
    <row r="21" spans="2:7">
      <c r="B21" s="23"/>
      <c r="C21" s="1"/>
      <c r="D21" s="1"/>
      <c r="E21" s="1"/>
      <c r="F21" s="65"/>
      <c r="G21" s="66"/>
    </row>
    <row r="22" spans="2:7">
      <c r="B22" s="67" t="s">
        <v>289</v>
      </c>
      <c r="C22" s="1"/>
      <c r="D22" s="1"/>
      <c r="E22" s="1"/>
      <c r="F22" s="65"/>
      <c r="G22" s="66"/>
    </row>
    <row r="23" spans="2:7">
      <c r="B23" s="1"/>
      <c r="C23" s="1"/>
      <c r="D23" s="1"/>
      <c r="E23" s="1"/>
      <c r="F23" s="11">
        <f>TB!C154</f>
        <v>0</v>
      </c>
      <c r="G23" s="138">
        <f>TB!E154</f>
        <v>0</v>
      </c>
    </row>
    <row r="24" spans="2:7">
      <c r="B24" s="23"/>
      <c r="C24" s="1"/>
      <c r="D24" s="1"/>
      <c r="E24" s="1"/>
      <c r="F24" s="15">
        <f>SUM(F23)</f>
        <v>0</v>
      </c>
      <c r="G24" s="15">
        <f>SUM(G23)</f>
        <v>0</v>
      </c>
    </row>
    <row r="25" spans="2:7">
      <c r="B25" s="23"/>
      <c r="C25" s="1"/>
      <c r="D25" s="1"/>
      <c r="E25" s="1"/>
      <c r="F25" s="65"/>
      <c r="G25" s="15"/>
    </row>
    <row r="26" spans="2:7" ht="15.75" thickBot="1">
      <c r="B26" s="64"/>
      <c r="C26" s="44"/>
      <c r="D26" s="44"/>
      <c r="E26" s="44"/>
      <c r="F26" s="46">
        <f>F8+F12+F16+F20+F24</f>
        <v>0</v>
      </c>
      <c r="G26" s="46">
        <f>G8+G12+G16+G20+G24</f>
        <v>0</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sheetPr>
    <tabColor rgb="FF92D050"/>
    <pageSetUpPr fitToPage="1"/>
  </sheetPr>
  <dimension ref="A1:R50"/>
  <sheetViews>
    <sheetView view="pageBreakPreview" zoomScaleSheetLayoutView="100" workbookViewId="0">
      <selection activeCell="A20" sqref="A20"/>
    </sheetView>
  </sheetViews>
  <sheetFormatPr defaultRowHeight="11.25"/>
  <cols>
    <col min="1" max="1" width="16" style="251" customWidth="1"/>
    <col min="2" max="2" width="8.28515625" style="252" customWidth="1"/>
    <col min="3" max="3" width="14" style="251" bestFit="1" customWidth="1"/>
    <col min="4" max="4" width="12.85546875" style="251" bestFit="1" customWidth="1"/>
    <col min="5" max="5" width="10.140625" style="251" bestFit="1" customWidth="1"/>
    <col min="6" max="6" width="13.7109375" style="251" bestFit="1" customWidth="1"/>
    <col min="7" max="7" width="11.5703125" style="251" bestFit="1" customWidth="1"/>
    <col min="8" max="8" width="11" style="251" customWidth="1"/>
    <col min="9" max="9" width="10.28515625" style="251" bestFit="1" customWidth="1"/>
    <col min="10" max="10" width="13.7109375" style="251" bestFit="1" customWidth="1"/>
    <col min="11" max="12" width="14.28515625" style="251" bestFit="1" customWidth="1"/>
    <col min="13" max="14" width="9.28515625" style="251" hidden="1" customWidth="1"/>
    <col min="15" max="15" width="9.140625" style="251"/>
    <col min="16" max="17" width="9.28515625" style="867" bestFit="1" customWidth="1"/>
    <col min="18" max="16384" width="9.140625" style="251"/>
  </cols>
  <sheetData>
    <row r="1" spans="1:18" ht="12">
      <c r="A1" s="264" t="str">
        <f>[7]master!B1</f>
        <v>ANISHA IMPEX PRIVATE LIMITED</v>
      </c>
      <c r="B1" s="263"/>
      <c r="C1" s="262"/>
      <c r="D1" s="262"/>
      <c r="E1" s="262"/>
      <c r="F1" s="262"/>
      <c r="G1" s="262"/>
      <c r="H1" s="262"/>
      <c r="I1" s="262"/>
      <c r="J1" s="262"/>
      <c r="K1" s="262"/>
      <c r="L1" s="262"/>
    </row>
    <row r="2" spans="1:18" ht="15">
      <c r="A2" s="707"/>
      <c r="H2" s="262" t="s">
        <v>874</v>
      </c>
      <c r="I2" s="262"/>
      <c r="J2" s="262"/>
      <c r="K2" s="262"/>
      <c r="L2" s="262"/>
    </row>
    <row r="3" spans="1:18" ht="12">
      <c r="A3" s="264" t="s">
        <v>873</v>
      </c>
      <c r="B3" s="263"/>
      <c r="C3" s="262"/>
      <c r="D3" s="262"/>
      <c r="E3" s="262"/>
      <c r="F3" s="262"/>
      <c r="G3" s="262"/>
      <c r="H3" s="262"/>
      <c r="I3" s="262"/>
      <c r="J3" s="262"/>
      <c r="K3" s="262"/>
      <c r="L3" s="262"/>
    </row>
    <row r="5" spans="1:18">
      <c r="A5" s="258" t="s">
        <v>290</v>
      </c>
      <c r="B5" s="261" t="s">
        <v>872</v>
      </c>
      <c r="C5" s="938" t="s">
        <v>291</v>
      </c>
      <c r="D5" s="938"/>
      <c r="E5" s="938"/>
      <c r="F5" s="938"/>
      <c r="G5" s="938" t="s">
        <v>292</v>
      </c>
      <c r="H5" s="938"/>
      <c r="I5" s="938"/>
      <c r="J5" s="938"/>
      <c r="K5" s="938" t="s">
        <v>294</v>
      </c>
      <c r="L5" s="938"/>
    </row>
    <row r="6" spans="1:18" ht="40.5" customHeight="1">
      <c r="A6" s="258"/>
      <c r="B6" s="261"/>
      <c r="C6" s="260" t="s">
        <v>1665</v>
      </c>
      <c r="D6" s="258" t="s">
        <v>296</v>
      </c>
      <c r="E6" s="260" t="s">
        <v>1666</v>
      </c>
      <c r="F6" s="710" t="s">
        <v>1667</v>
      </c>
      <c r="G6" s="260" t="s">
        <v>1662</v>
      </c>
      <c r="H6" s="258" t="s">
        <v>296</v>
      </c>
      <c r="I6" s="260" t="s">
        <v>1666</v>
      </c>
      <c r="J6" s="710" t="s">
        <v>1667</v>
      </c>
      <c r="K6" s="710" t="s">
        <v>1663</v>
      </c>
      <c r="L6" s="260" t="s">
        <v>1664</v>
      </c>
    </row>
    <row r="7" spans="1:18" ht="12.75">
      <c r="A7" s="255"/>
      <c r="B7" s="254"/>
      <c r="C7" s="255"/>
      <c r="D7" s="255"/>
      <c r="E7" s="255"/>
      <c r="F7" s="711" t="s">
        <v>464</v>
      </c>
      <c r="G7" s="255"/>
      <c r="H7" s="255"/>
      <c r="I7" s="255"/>
      <c r="J7" s="711" t="s">
        <v>464</v>
      </c>
      <c r="K7" s="713" t="s">
        <v>464</v>
      </c>
      <c r="L7" s="255"/>
      <c r="P7" s="890" t="s">
        <v>1832</v>
      </c>
    </row>
    <row r="8" spans="1:18" ht="15">
      <c r="A8" s="893" t="s">
        <v>1839</v>
      </c>
      <c r="B8" s="888" t="s">
        <v>464</v>
      </c>
      <c r="C8" s="878"/>
      <c r="D8" s="255"/>
      <c r="E8" s="255"/>
      <c r="F8" s="851"/>
      <c r="G8" s="879"/>
      <c r="H8" s="853"/>
      <c r="I8" s="255"/>
      <c r="J8" s="851"/>
      <c r="K8" s="852"/>
      <c r="L8" s="880"/>
      <c r="P8" s="867" t="s">
        <v>464</v>
      </c>
    </row>
    <row r="9" spans="1:18" ht="15">
      <c r="A9" s="850" t="s">
        <v>1840</v>
      </c>
      <c r="B9" s="888">
        <v>0</v>
      </c>
      <c r="C9" s="895">
        <v>9466664</v>
      </c>
      <c r="D9" s="255">
        <v>0</v>
      </c>
      <c r="E9" s="255"/>
      <c r="F9" s="851">
        <f t="shared" ref="F9:F10" si="0">C9+D9-E9</f>
        <v>9466664</v>
      </c>
      <c r="G9" s="879">
        <v>0</v>
      </c>
      <c r="H9" s="853">
        <f t="shared" ref="H9" si="1">ROUND(L9*B9,0)+ROUND(R9,0)</f>
        <v>0</v>
      </c>
      <c r="I9" s="255"/>
      <c r="J9" s="851">
        <f t="shared" ref="J9:J10" si="2">G9+H9</f>
        <v>0</v>
      </c>
      <c r="K9" s="852">
        <f t="shared" ref="K9:K10" si="3">F9-J9</f>
        <v>9466664</v>
      </c>
      <c r="L9" s="880">
        <v>9466664</v>
      </c>
    </row>
    <row r="10" spans="1:18" ht="15">
      <c r="A10" s="894" t="s">
        <v>1841</v>
      </c>
      <c r="B10" s="888">
        <v>0</v>
      </c>
      <c r="C10" s="895">
        <v>2508700</v>
      </c>
      <c r="D10" s="255">
        <v>0</v>
      </c>
      <c r="E10" s="255"/>
      <c r="F10" s="851">
        <f t="shared" si="0"/>
        <v>2508700</v>
      </c>
      <c r="G10" s="879">
        <v>0</v>
      </c>
      <c r="H10" s="853">
        <f>ROUND(L10*B10,0)+ROUND(R10,0)</f>
        <v>0</v>
      </c>
      <c r="I10" s="255"/>
      <c r="J10" s="851">
        <f t="shared" si="2"/>
        <v>0</v>
      </c>
      <c r="K10" s="852">
        <f t="shared" si="3"/>
        <v>2508700</v>
      </c>
      <c r="L10" s="880">
        <v>2508700</v>
      </c>
      <c r="P10" s="889" t="s">
        <v>1830</v>
      </c>
      <c r="Q10" s="867">
        <f>365-30-31-30-31-28</f>
        <v>215</v>
      </c>
      <c r="R10" s="867">
        <f>D10*B10*Q10/365</f>
        <v>0</v>
      </c>
    </row>
    <row r="11" spans="1:18" ht="12">
      <c r="A11" s="887"/>
      <c r="B11" s="888" t="s">
        <v>464</v>
      </c>
      <c r="C11" s="255"/>
      <c r="D11" s="255"/>
      <c r="E11" s="255"/>
      <c r="F11" s="851"/>
      <c r="H11" s="853"/>
      <c r="I11" s="255"/>
      <c r="J11" s="851"/>
      <c r="K11" s="852"/>
      <c r="P11" s="889"/>
      <c r="R11" s="867"/>
    </row>
    <row r="12" spans="1:18" ht="12.75">
      <c r="A12" s="896" t="s">
        <v>423</v>
      </c>
      <c r="B12" s="254" t="s">
        <v>464</v>
      </c>
      <c r="C12" s="255"/>
      <c r="D12" s="255"/>
      <c r="E12" s="255"/>
      <c r="F12" s="851"/>
      <c r="H12" s="853"/>
      <c r="I12" s="255"/>
      <c r="J12" s="851"/>
      <c r="K12" s="852"/>
      <c r="M12" s="251">
        <v>20</v>
      </c>
      <c r="N12" s="251">
        <v>40614</v>
      </c>
    </row>
    <row r="13" spans="1:18" ht="12.75">
      <c r="A13" s="850" t="s">
        <v>1840</v>
      </c>
      <c r="B13" s="254">
        <v>0.05</v>
      </c>
      <c r="C13" s="255">
        <v>1663336</v>
      </c>
      <c r="D13" s="255">
        <v>0</v>
      </c>
      <c r="E13" s="255"/>
      <c r="F13" s="851">
        <f t="shared" ref="F13:F15" si="4">C13+D13-E13</f>
        <v>1663336</v>
      </c>
      <c r="G13" s="251">
        <v>243769.28</v>
      </c>
      <c r="H13" s="853">
        <f t="shared" ref="H13:H15" si="5">ROUND(L13*B13,0)+ROUND(R13,0)</f>
        <v>70978</v>
      </c>
      <c r="I13" s="255"/>
      <c r="J13" s="851">
        <f t="shared" ref="J13:J15" si="6">G13+H13</f>
        <v>314747.28000000003</v>
      </c>
      <c r="K13" s="852">
        <f t="shared" ref="K13:K15" si="7">F13-J13</f>
        <v>1348588.72</v>
      </c>
      <c r="L13" s="251">
        <v>1419566.72</v>
      </c>
      <c r="M13" s="251">
        <f>20+31</f>
        <v>51</v>
      </c>
      <c r="N13" s="251">
        <v>40583</v>
      </c>
    </row>
    <row r="14" spans="1:18" ht="15">
      <c r="A14" s="894" t="s">
        <v>1841</v>
      </c>
      <c r="B14" s="254">
        <v>0.05</v>
      </c>
      <c r="C14" s="255">
        <v>1520000</v>
      </c>
      <c r="D14" s="255">
        <v>0</v>
      </c>
      <c r="E14" s="255"/>
      <c r="F14" s="851">
        <f t="shared" si="4"/>
        <v>1520000</v>
      </c>
      <c r="G14" s="251">
        <v>429501.77</v>
      </c>
      <c r="H14" s="853">
        <f t="shared" si="5"/>
        <v>54525</v>
      </c>
      <c r="I14" s="255"/>
      <c r="J14" s="851">
        <f t="shared" si="6"/>
        <v>484026.77</v>
      </c>
      <c r="K14" s="852">
        <f t="shared" si="7"/>
        <v>1035973.23</v>
      </c>
      <c r="L14" s="251">
        <v>1090498.23</v>
      </c>
      <c r="M14" s="251">
        <f>17+31</f>
        <v>48</v>
      </c>
      <c r="N14" s="251">
        <v>40586</v>
      </c>
    </row>
    <row r="15" spans="1:18" ht="15">
      <c r="A15" s="894" t="s">
        <v>1842</v>
      </c>
      <c r="B15" s="254">
        <v>0.05</v>
      </c>
      <c r="C15" s="255">
        <v>3248000</v>
      </c>
      <c r="D15" s="255">
        <v>0</v>
      </c>
      <c r="E15" s="255"/>
      <c r="F15" s="851">
        <f t="shared" si="4"/>
        <v>3248000</v>
      </c>
      <c r="G15" s="251">
        <v>143268</v>
      </c>
      <c r="H15" s="853">
        <f t="shared" si="5"/>
        <v>155237</v>
      </c>
      <c r="I15" s="255"/>
      <c r="J15" s="851">
        <f t="shared" si="6"/>
        <v>298505</v>
      </c>
      <c r="K15" s="852">
        <f t="shared" si="7"/>
        <v>2949495</v>
      </c>
      <c r="L15" s="251">
        <v>3104732</v>
      </c>
    </row>
    <row r="16" spans="1:18" ht="12.75">
      <c r="A16" s="850"/>
      <c r="B16" s="254"/>
      <c r="C16" s="255"/>
      <c r="D16" s="255"/>
      <c r="E16" s="255"/>
      <c r="F16" s="851"/>
      <c r="H16" s="853"/>
      <c r="I16" s="255"/>
      <c r="J16" s="851"/>
      <c r="K16" s="852"/>
    </row>
    <row r="17" spans="1:17" ht="12.75">
      <c r="A17" s="850" t="s">
        <v>1843</v>
      </c>
      <c r="B17" s="254">
        <v>0.4</v>
      </c>
      <c r="C17" s="255">
        <v>190060</v>
      </c>
      <c r="D17" s="255">
        <v>0</v>
      </c>
      <c r="E17" s="255"/>
      <c r="F17" s="851">
        <f t="shared" ref="F17:F18" si="8">C17+D17-E17</f>
        <v>190060</v>
      </c>
      <c r="G17" s="251">
        <v>112098.23000000001</v>
      </c>
      <c r="H17" s="853">
        <f t="shared" ref="H17:H18" si="9">ROUND(L17*B17,0)+ROUND(R17,0)</f>
        <v>31185</v>
      </c>
      <c r="I17" s="255"/>
      <c r="J17" s="851">
        <f t="shared" ref="J17:J18" si="10">G17+H17</f>
        <v>143283.23000000001</v>
      </c>
      <c r="K17" s="852">
        <f t="shared" ref="K17:K18" si="11">F17-J17</f>
        <v>46776.76999999999</v>
      </c>
      <c r="L17" s="251">
        <v>77961.76999999999</v>
      </c>
      <c r="M17" s="251">
        <f>365-30-23</f>
        <v>312</v>
      </c>
      <c r="N17" s="259">
        <v>4.8</v>
      </c>
    </row>
    <row r="18" spans="1:17" ht="12.75">
      <c r="A18" s="850" t="s">
        <v>1844</v>
      </c>
      <c r="B18" s="254">
        <v>0.4</v>
      </c>
      <c r="C18" s="255">
        <v>321400</v>
      </c>
      <c r="D18" s="255">
        <v>0</v>
      </c>
      <c r="E18" s="255"/>
      <c r="F18" s="851">
        <f t="shared" si="8"/>
        <v>321400</v>
      </c>
      <c r="G18" s="251">
        <v>89500.247534246562</v>
      </c>
      <c r="H18" s="853">
        <f t="shared" si="9"/>
        <v>92760</v>
      </c>
      <c r="I18" s="255"/>
      <c r="J18" s="851">
        <f t="shared" si="10"/>
        <v>182260.24753424656</v>
      </c>
      <c r="K18" s="852">
        <f t="shared" si="11"/>
        <v>139139.75246575344</v>
      </c>
      <c r="L18" s="251">
        <v>231899.75246575344</v>
      </c>
    </row>
    <row r="19" spans="1:17">
      <c r="A19" s="255"/>
      <c r="B19" s="254"/>
      <c r="C19" s="255"/>
      <c r="D19" s="255"/>
      <c r="E19" s="255"/>
      <c r="F19" s="711"/>
      <c r="H19" s="255"/>
      <c r="I19" s="255"/>
      <c r="J19" s="711"/>
      <c r="K19" s="713"/>
      <c r="O19" s="708"/>
      <c r="Q19" s="867">
        <f>D19*B19*P19/365</f>
        <v>0</v>
      </c>
    </row>
    <row r="20" spans="1:17" ht="12.75">
      <c r="A20" s="850" t="s">
        <v>1845</v>
      </c>
      <c r="B20" s="254">
        <v>0.1391</v>
      </c>
      <c r="C20" s="255">
        <v>1991700</v>
      </c>
      <c r="D20" s="255">
        <v>0</v>
      </c>
      <c r="E20" s="255"/>
      <c r="F20" s="851">
        <f t="shared" ref="F20" si="12">C20+D20-E20</f>
        <v>1991700</v>
      </c>
      <c r="G20" s="251">
        <v>95587</v>
      </c>
      <c r="H20" s="853">
        <f t="shared" ref="H20" si="13">ROUND(L20*B20,0)+ROUND(R20,0)</f>
        <v>263749</v>
      </c>
      <c r="I20" s="255"/>
      <c r="J20" s="851">
        <f t="shared" ref="J20" si="14">G20+H20</f>
        <v>359336</v>
      </c>
      <c r="K20" s="852">
        <f t="shared" ref="K20" si="15">F20-J20</f>
        <v>1632364</v>
      </c>
      <c r="L20" s="251">
        <v>1896113</v>
      </c>
    </row>
    <row r="21" spans="1:17">
      <c r="A21" s="255"/>
      <c r="B21" s="254"/>
      <c r="C21" s="255"/>
      <c r="D21" s="255"/>
      <c r="E21" s="255"/>
      <c r="F21" s="711"/>
      <c r="H21" s="255"/>
      <c r="I21" s="255"/>
      <c r="J21" s="711"/>
      <c r="K21" s="713"/>
    </row>
    <row r="22" spans="1:17">
      <c r="A22" s="255"/>
      <c r="B22" s="254"/>
      <c r="C22" s="255"/>
      <c r="D22" s="255"/>
      <c r="E22" s="255"/>
      <c r="F22" s="711"/>
      <c r="H22" s="255"/>
      <c r="I22" s="255"/>
      <c r="J22" s="711"/>
      <c r="K22" s="713"/>
    </row>
    <row r="23" spans="1:17">
      <c r="A23" s="255"/>
      <c r="B23" s="254"/>
      <c r="C23" s="255"/>
      <c r="D23" s="255"/>
      <c r="E23" s="255"/>
      <c r="F23" s="711"/>
      <c r="H23" s="255"/>
      <c r="I23" s="255"/>
      <c r="J23" s="711"/>
      <c r="K23" s="713"/>
      <c r="O23" s="708"/>
      <c r="Q23" s="867">
        <f>D23*B23*P23/365</f>
        <v>0</v>
      </c>
    </row>
    <row r="24" spans="1:17">
      <c r="A24" s="255"/>
      <c r="B24" s="254"/>
      <c r="C24" s="255"/>
      <c r="D24" s="255"/>
      <c r="E24" s="255"/>
      <c r="F24" s="711"/>
      <c r="H24" s="255"/>
      <c r="I24" s="255"/>
      <c r="J24" s="711"/>
      <c r="K24" s="713"/>
    </row>
    <row r="25" spans="1:17">
      <c r="A25" s="255"/>
      <c r="B25" s="254"/>
      <c r="C25" s="255"/>
      <c r="D25" s="255"/>
      <c r="E25" s="255"/>
      <c r="F25" s="711"/>
      <c r="H25" s="255"/>
      <c r="I25" s="255"/>
      <c r="J25" s="711"/>
      <c r="K25" s="713"/>
    </row>
    <row r="26" spans="1:17">
      <c r="A26" s="255"/>
      <c r="B26" s="254"/>
      <c r="C26" s="255"/>
      <c r="D26" s="255"/>
      <c r="E26" s="255"/>
      <c r="F26" s="711"/>
      <c r="H26" s="255"/>
      <c r="I26" s="255"/>
      <c r="J26" s="711"/>
      <c r="K26" s="713"/>
      <c r="O26" s="709"/>
      <c r="Q26" s="867">
        <f>D26*B26*P26/365</f>
        <v>0</v>
      </c>
    </row>
    <row r="27" spans="1:17">
      <c r="A27" s="255"/>
      <c r="B27" s="254"/>
      <c r="C27" s="255"/>
      <c r="D27" s="255"/>
      <c r="E27" s="255"/>
      <c r="F27" s="711"/>
      <c r="H27" s="255"/>
      <c r="I27" s="255"/>
      <c r="J27" s="711"/>
      <c r="K27" s="713"/>
      <c r="O27" s="708"/>
      <c r="Q27" s="867">
        <f>D27*B27*P27/365</f>
        <v>0</v>
      </c>
    </row>
    <row r="28" spans="1:17">
      <c r="A28" s="255"/>
      <c r="B28" s="254"/>
      <c r="C28" s="255"/>
      <c r="D28" s="255"/>
      <c r="E28" s="255"/>
      <c r="F28" s="711"/>
      <c r="H28" s="255"/>
      <c r="I28" s="255"/>
      <c r="J28" s="711"/>
      <c r="K28" s="713"/>
    </row>
    <row r="29" spans="1:17">
      <c r="A29" s="255"/>
      <c r="B29" s="254"/>
      <c r="C29" s="255"/>
      <c r="D29" s="255"/>
      <c r="E29" s="255"/>
      <c r="F29" s="711"/>
      <c r="H29" s="255"/>
      <c r="I29" s="255"/>
      <c r="J29" s="711"/>
      <c r="K29" s="713"/>
    </row>
    <row r="30" spans="1:17">
      <c r="A30" s="255"/>
      <c r="B30" s="254"/>
      <c r="C30" s="255"/>
      <c r="D30" s="255"/>
      <c r="E30" s="255"/>
      <c r="F30" s="711"/>
      <c r="H30" s="255"/>
      <c r="I30" s="255"/>
      <c r="J30" s="711"/>
      <c r="K30" s="713"/>
    </row>
    <row r="31" spans="1:17">
      <c r="A31" s="255"/>
      <c r="B31" s="254"/>
      <c r="C31" s="255"/>
      <c r="D31" s="255"/>
      <c r="E31" s="255"/>
      <c r="F31" s="711"/>
      <c r="H31" s="255"/>
      <c r="I31" s="255"/>
      <c r="J31" s="711"/>
      <c r="K31" s="713"/>
      <c r="O31" s="709"/>
      <c r="Q31" s="867">
        <f>D31*B31*P31/365</f>
        <v>0</v>
      </c>
    </row>
    <row r="32" spans="1:17">
      <c r="A32" s="255"/>
      <c r="B32" s="254"/>
      <c r="C32" s="255"/>
      <c r="D32" s="255"/>
      <c r="E32" s="255"/>
      <c r="F32" s="711"/>
      <c r="H32" s="255"/>
      <c r="I32" s="255"/>
      <c r="J32" s="711"/>
      <c r="K32" s="713"/>
    </row>
    <row r="33" spans="1:17">
      <c r="A33" s="255"/>
      <c r="B33" s="254"/>
      <c r="C33" s="255"/>
      <c r="D33" s="255"/>
      <c r="E33" s="255"/>
      <c r="F33" s="711"/>
      <c r="H33" s="255"/>
      <c r="I33" s="255"/>
      <c r="J33" s="711"/>
      <c r="K33" s="713"/>
      <c r="O33" s="708"/>
      <c r="Q33" s="867">
        <f>D33*B33*P33/365</f>
        <v>0</v>
      </c>
    </row>
    <row r="34" spans="1:17">
      <c r="A34" s="255"/>
      <c r="B34" s="254"/>
      <c r="C34" s="255"/>
      <c r="D34" s="255"/>
      <c r="E34" s="255"/>
      <c r="F34" s="711"/>
      <c r="H34" s="255"/>
      <c r="I34" s="255"/>
      <c r="J34" s="711"/>
      <c r="K34" s="713"/>
    </row>
    <row r="35" spans="1:17">
      <c r="A35" s="255"/>
      <c r="B35" s="254"/>
      <c r="C35" s="255"/>
      <c r="D35" s="255"/>
      <c r="E35" s="255"/>
      <c r="F35" s="711"/>
      <c r="H35" s="255"/>
      <c r="I35" s="255"/>
      <c r="J35" s="711"/>
      <c r="K35" s="713"/>
    </row>
    <row r="36" spans="1:17">
      <c r="A36" s="255"/>
      <c r="B36" s="254"/>
      <c r="C36" s="255"/>
      <c r="D36" s="255"/>
      <c r="E36" s="255"/>
      <c r="F36" s="711"/>
      <c r="G36" s="255"/>
      <c r="H36" s="255"/>
      <c r="I36" s="255"/>
      <c r="J36" s="711"/>
      <c r="K36" s="713"/>
      <c r="L36" s="255"/>
    </row>
    <row r="37" spans="1:17" ht="12" thickBot="1">
      <c r="A37" s="258" t="s">
        <v>424</v>
      </c>
      <c r="B37" s="257"/>
      <c r="C37" s="256">
        <f t="shared" ref="C37:L37" si="16">SUM(C7:C35)</f>
        <v>20909860</v>
      </c>
      <c r="D37" s="256">
        <f t="shared" si="16"/>
        <v>0</v>
      </c>
      <c r="E37" s="256">
        <f t="shared" si="16"/>
        <v>0</v>
      </c>
      <c r="F37" s="712">
        <f t="shared" si="16"/>
        <v>20909860</v>
      </c>
      <c r="G37" s="256">
        <f t="shared" si="16"/>
        <v>1113724.5275342464</v>
      </c>
      <c r="H37" s="256">
        <f t="shared" si="16"/>
        <v>668434</v>
      </c>
      <c r="I37" s="256">
        <f t="shared" si="16"/>
        <v>0</v>
      </c>
      <c r="J37" s="712">
        <f t="shared" si="16"/>
        <v>1782158.5275342467</v>
      </c>
      <c r="K37" s="712">
        <f t="shared" si="16"/>
        <v>19127701.472465757</v>
      </c>
      <c r="L37" s="256">
        <f t="shared" si="16"/>
        <v>19796135.472465757</v>
      </c>
    </row>
    <row r="38" spans="1:17" ht="15.75" thickTop="1">
      <c r="A38" s="116" t="s">
        <v>301</v>
      </c>
      <c r="B38" s="254"/>
      <c r="C38" s="879">
        <v>15385160</v>
      </c>
      <c r="D38" s="879">
        <v>5524700</v>
      </c>
      <c r="E38" s="253">
        <v>0</v>
      </c>
      <c r="F38" s="879">
        <v>20909860</v>
      </c>
      <c r="G38" s="879">
        <v>613811.87</v>
      </c>
      <c r="H38" s="879">
        <v>499912.65753424657</v>
      </c>
      <c r="I38" s="879">
        <v>0</v>
      </c>
      <c r="J38" s="879">
        <v>1113724.5275342464</v>
      </c>
      <c r="K38" s="880">
        <v>19796135.472465757</v>
      </c>
      <c r="L38" s="880">
        <v>14771348.130000001</v>
      </c>
    </row>
    <row r="39" spans="1:17" ht="12.75">
      <c r="A39" s="7" t="s">
        <v>222</v>
      </c>
    </row>
    <row r="42" spans="1:17">
      <c r="A42" s="867"/>
      <c r="B42" s="868"/>
      <c r="C42" s="867"/>
      <c r="D42" s="867"/>
      <c r="E42" s="867"/>
      <c r="F42" s="867"/>
      <c r="G42" s="867"/>
      <c r="H42" s="867"/>
      <c r="I42" s="869"/>
      <c r="J42" s="869"/>
      <c r="K42" s="870" t="str">
        <f>master!B16</f>
        <v>31/03/2012</v>
      </c>
      <c r="L42" s="870" t="str">
        <f>master!B17</f>
        <v>31/03/2011</v>
      </c>
    </row>
    <row r="43" spans="1:17">
      <c r="A43" s="869" t="s">
        <v>1712</v>
      </c>
      <c r="B43" s="868"/>
      <c r="C43" s="867"/>
      <c r="D43" s="867"/>
      <c r="E43" s="867"/>
      <c r="F43" s="867"/>
      <c r="G43" s="867"/>
      <c r="H43" s="867"/>
      <c r="I43" s="869"/>
      <c r="J43" s="869"/>
      <c r="K43" s="869"/>
      <c r="L43" s="869"/>
    </row>
    <row r="44" spans="1:17">
      <c r="A44" s="869" t="s">
        <v>1713</v>
      </c>
      <c r="B44" s="868"/>
      <c r="C44" s="867"/>
      <c r="D44" s="867"/>
      <c r="E44" s="867"/>
      <c r="F44" s="867"/>
      <c r="G44" s="867"/>
      <c r="H44" s="867"/>
      <c r="I44" s="869" t="s">
        <v>294</v>
      </c>
      <c r="J44" s="869"/>
      <c r="K44" s="869">
        <f>K37*0</f>
        <v>0</v>
      </c>
      <c r="L44" s="869">
        <f>L37*0</f>
        <v>0</v>
      </c>
    </row>
    <row r="45" spans="1:17">
      <c r="A45" s="867"/>
      <c r="B45" s="868"/>
      <c r="C45" s="867"/>
      <c r="D45" s="867"/>
      <c r="E45" s="867"/>
      <c r="F45" s="867"/>
      <c r="G45" s="867"/>
      <c r="H45" s="867"/>
      <c r="I45" s="869"/>
      <c r="J45" s="869"/>
      <c r="K45" s="869"/>
      <c r="L45" s="869"/>
    </row>
    <row r="46" spans="1:17">
      <c r="A46" s="867"/>
      <c r="B46" s="868"/>
      <c r="C46" s="867"/>
      <c r="D46" s="867"/>
      <c r="E46" s="867"/>
      <c r="F46" s="867"/>
      <c r="G46" s="867"/>
      <c r="H46" s="867"/>
      <c r="I46" s="869" t="s">
        <v>1711</v>
      </c>
      <c r="J46" s="869"/>
      <c r="K46" s="869">
        <f>H37*0</f>
        <v>0</v>
      </c>
      <c r="L46" s="869">
        <f>H38*0</f>
        <v>0</v>
      </c>
    </row>
    <row r="47" spans="1:17">
      <c r="A47" s="867"/>
      <c r="B47" s="868"/>
      <c r="C47" s="867"/>
      <c r="D47" s="867"/>
      <c r="E47" s="867"/>
      <c r="F47" s="867"/>
      <c r="G47" s="867"/>
      <c r="H47" s="867"/>
      <c r="I47" s="867"/>
      <c r="J47" s="867"/>
      <c r="K47" s="867"/>
      <c r="L47" s="867"/>
    </row>
    <row r="48" spans="1:17">
      <c r="A48" s="867"/>
      <c r="B48" s="868"/>
      <c r="C48" s="867"/>
      <c r="D48" s="867"/>
      <c r="E48" s="867"/>
      <c r="F48" s="867"/>
      <c r="G48" s="867"/>
      <c r="H48" s="867"/>
      <c r="I48" s="867"/>
      <c r="J48" s="867"/>
      <c r="K48" s="867"/>
      <c r="L48" s="867"/>
    </row>
    <row r="49" spans="1:12" ht="12.75">
      <c r="A49" s="869" t="s">
        <v>1812</v>
      </c>
      <c r="B49" s="868"/>
      <c r="C49" s="867"/>
      <c r="D49" s="867"/>
      <c r="E49" s="867"/>
      <c r="F49" s="867"/>
      <c r="G49" s="871" t="s">
        <v>1813</v>
      </c>
      <c r="H49" s="867"/>
      <c r="I49" s="867"/>
      <c r="J49" s="867"/>
      <c r="K49" s="867"/>
      <c r="L49" s="867"/>
    </row>
    <row r="50" spans="1:12">
      <c r="A50" s="867"/>
      <c r="B50" s="868"/>
      <c r="C50" s="867"/>
      <c r="D50" s="867"/>
      <c r="E50" s="867"/>
      <c r="F50" s="867"/>
      <c r="G50" s="867"/>
      <c r="H50" s="867"/>
      <c r="I50" s="867"/>
      <c r="J50" s="867"/>
      <c r="K50" s="867"/>
      <c r="L50" s="867"/>
    </row>
  </sheetData>
  <mergeCells count="3">
    <mergeCell ref="C5:F5"/>
    <mergeCell ref="G5:J5"/>
    <mergeCell ref="K5:L5"/>
  </mergeCells>
  <hyperlinks>
    <hyperlink ref="G49" location="FA!Print_Area" display="Sheet FA"/>
    <hyperlink ref="P7" location="depit!A1" display="Sheet Depit"/>
  </hyperlinks>
  <pageMargins left="0.25" right="0" top="1" bottom="1" header="0.5" footer="0.5"/>
  <pageSetup scale="91" orientation="landscape" horizontalDpi="1200" verticalDpi="1200" r:id="rId1"/>
  <headerFooter alignWithMargins="0"/>
</worksheet>
</file>

<file path=xl/worksheets/sheet28.xml><?xml version="1.0" encoding="utf-8"?>
<worksheet xmlns="http://schemas.openxmlformats.org/spreadsheetml/2006/main" xmlns:r="http://schemas.openxmlformats.org/officeDocument/2006/relationships">
  <sheetPr codeName="Sheet14">
    <tabColor rgb="FF92D050"/>
  </sheetPr>
  <dimension ref="B1:P19"/>
  <sheetViews>
    <sheetView topLeftCell="A5" workbookViewId="0">
      <selection activeCell="A5" sqref="A5"/>
    </sheetView>
  </sheetViews>
  <sheetFormatPr defaultRowHeight="12.75"/>
  <cols>
    <col min="1" max="1" width="2" style="1" customWidth="1"/>
    <col min="2" max="2" width="19.28515625" style="1" customWidth="1"/>
    <col min="3" max="3" width="10.5703125" style="1" customWidth="1"/>
    <col min="4" max="4" width="7.42578125" style="1" customWidth="1"/>
    <col min="5" max="5" width="9.5703125" style="1" customWidth="1"/>
    <col min="6" max="6" width="11.5703125" style="1" customWidth="1"/>
    <col min="7" max="7" width="11" style="1" customWidth="1"/>
    <col min="8" max="8" width="8.42578125" style="1" customWidth="1"/>
    <col min="9" max="9" width="9.5703125" style="1" customWidth="1"/>
    <col min="10" max="10" width="9.140625" style="1"/>
    <col min="11" max="12" width="3.5703125" style="1" customWidth="1"/>
    <col min="13" max="13" width="3.7109375" style="1" customWidth="1"/>
    <col min="14" max="14" width="4.140625" style="1" customWidth="1"/>
    <col min="15" max="15" width="11" style="1" customWidth="1"/>
    <col min="16" max="16" width="10.42578125" style="1" customWidth="1"/>
    <col min="17" max="16384" width="9.140625" style="1"/>
  </cols>
  <sheetData>
    <row r="1" spans="2:16" ht="18.75">
      <c r="B1" s="126" t="str">
        <f>PL!B1</f>
        <v>ABC LTD</v>
      </c>
      <c r="C1" s="126"/>
      <c r="D1" s="126"/>
      <c r="E1" s="126"/>
      <c r="F1" s="126"/>
      <c r="G1" s="126"/>
    </row>
    <row r="2" spans="2:16" ht="15.75" thickBot="1">
      <c r="B2" s="127" t="str">
        <f>'1'!B2</f>
        <v>Notes to financial statements for the year ended 31/03/2012</v>
      </c>
      <c r="C2" s="127"/>
      <c r="D2" s="127"/>
      <c r="E2" s="127"/>
      <c r="F2" s="127"/>
      <c r="G2" s="127"/>
      <c r="H2" s="127"/>
      <c r="I2" s="127"/>
      <c r="J2" s="127"/>
      <c r="K2" s="127"/>
      <c r="L2" s="127"/>
      <c r="M2" s="127"/>
      <c r="N2" s="127"/>
      <c r="O2" s="127"/>
      <c r="P2" s="127"/>
    </row>
    <row r="5" spans="2:16" ht="18.75">
      <c r="B5" s="94" t="str">
        <f>CONCATENATE(BS!D35,".  INTANGIBLE FIXED ASSETS ")</f>
        <v xml:space="preserve"> .  INTANGIBLE FIXED ASSETS </v>
      </c>
      <c r="G5" s="9"/>
      <c r="H5" s="9"/>
      <c r="I5" s="9"/>
    </row>
    <row r="6" spans="2:16" ht="15">
      <c r="B6" s="95" t="s">
        <v>290</v>
      </c>
      <c r="C6" s="93" t="s">
        <v>291</v>
      </c>
      <c r="D6" s="93"/>
      <c r="E6" s="93"/>
      <c r="F6" s="93"/>
      <c r="G6" s="93" t="s">
        <v>292</v>
      </c>
      <c r="H6" s="93"/>
      <c r="I6" s="93"/>
      <c r="J6" s="93"/>
      <c r="K6" s="81"/>
      <c r="L6" s="93" t="s">
        <v>293</v>
      </c>
      <c r="M6" s="33"/>
      <c r="N6" s="33"/>
      <c r="O6" s="33" t="s">
        <v>294</v>
      </c>
      <c r="P6" s="33"/>
    </row>
    <row r="7" spans="2:16" ht="49.5" customHeight="1">
      <c r="B7" s="97"/>
      <c r="C7" s="98" t="s">
        <v>420</v>
      </c>
      <c r="D7" s="99" t="s">
        <v>296</v>
      </c>
      <c r="E7" s="100" t="s">
        <v>297</v>
      </c>
      <c r="F7" s="101" t="s">
        <v>421</v>
      </c>
      <c r="G7" s="98" t="s">
        <v>420</v>
      </c>
      <c r="H7" s="99" t="s">
        <v>296</v>
      </c>
      <c r="I7" s="100" t="s">
        <v>297</v>
      </c>
      <c r="J7" s="101" t="s">
        <v>421</v>
      </c>
      <c r="K7" s="98" t="s">
        <v>295</v>
      </c>
      <c r="L7" s="98" t="s">
        <v>299</v>
      </c>
      <c r="M7" s="98" t="s">
        <v>300</v>
      </c>
      <c r="N7" s="101" t="s">
        <v>298</v>
      </c>
      <c r="O7" s="101" t="s">
        <v>422</v>
      </c>
      <c r="P7" s="98" t="s">
        <v>425</v>
      </c>
    </row>
    <row r="8" spans="2:16" ht="29.25" customHeight="1">
      <c r="B8" s="117" t="s">
        <v>426</v>
      </c>
      <c r="C8" s="118">
        <v>0</v>
      </c>
      <c r="D8" s="118">
        <v>0</v>
      </c>
      <c r="E8" s="118">
        <v>0</v>
      </c>
      <c r="F8" s="118">
        <f>C8+D8-E8</f>
        <v>0</v>
      </c>
      <c r="G8" s="118">
        <v>0</v>
      </c>
      <c r="H8" s="118">
        <v>0</v>
      </c>
      <c r="I8" s="118">
        <v>0</v>
      </c>
      <c r="J8" s="118">
        <f>G8+H8-I8</f>
        <v>0</v>
      </c>
      <c r="K8" s="119"/>
      <c r="L8" s="119"/>
      <c r="M8" s="98"/>
      <c r="N8" s="101"/>
      <c r="O8" s="107">
        <f t="shared" ref="O8:O13" si="0">F8-J8</f>
        <v>0</v>
      </c>
      <c r="P8" s="108">
        <f t="shared" ref="P8:P13" si="1">C8-G8</f>
        <v>0</v>
      </c>
    </row>
    <row r="9" spans="2:16" ht="29.25" customHeight="1">
      <c r="B9" s="117" t="s">
        <v>427</v>
      </c>
      <c r="C9" s="118"/>
      <c r="D9" s="118"/>
      <c r="E9" s="118"/>
      <c r="F9" s="118">
        <f t="shared" ref="F9:F16" si="2">C9+D9-E9</f>
        <v>0</v>
      </c>
      <c r="G9" s="118"/>
      <c r="H9" s="118"/>
      <c r="I9" s="118"/>
      <c r="J9" s="118">
        <f t="shared" ref="J9:J15" si="3">G9+H9-I9</f>
        <v>0</v>
      </c>
      <c r="K9" s="119"/>
      <c r="L9" s="119"/>
      <c r="M9" s="98"/>
      <c r="N9" s="101"/>
      <c r="O9" s="101">
        <f t="shared" si="0"/>
        <v>0</v>
      </c>
      <c r="P9" s="98">
        <f t="shared" si="1"/>
        <v>0</v>
      </c>
    </row>
    <row r="10" spans="2:16" ht="29.25" customHeight="1">
      <c r="B10" s="117" t="s">
        <v>428</v>
      </c>
      <c r="C10" s="118"/>
      <c r="D10" s="118"/>
      <c r="E10" s="118"/>
      <c r="F10" s="118">
        <f t="shared" si="2"/>
        <v>0</v>
      </c>
      <c r="G10" s="118"/>
      <c r="H10" s="118"/>
      <c r="I10" s="118"/>
      <c r="J10" s="118">
        <f t="shared" si="3"/>
        <v>0</v>
      </c>
      <c r="K10" s="119"/>
      <c r="L10" s="119"/>
      <c r="M10" s="98"/>
      <c r="N10" s="101"/>
      <c r="O10" s="101">
        <f t="shared" si="0"/>
        <v>0</v>
      </c>
      <c r="P10" s="98">
        <f t="shared" si="1"/>
        <v>0</v>
      </c>
    </row>
    <row r="11" spans="2:16" ht="29.25" customHeight="1">
      <c r="B11" s="117" t="s">
        <v>429</v>
      </c>
      <c r="C11" s="118"/>
      <c r="D11" s="118"/>
      <c r="E11" s="118"/>
      <c r="F11" s="118">
        <f t="shared" si="2"/>
        <v>0</v>
      </c>
      <c r="G11" s="118"/>
      <c r="H11" s="118"/>
      <c r="I11" s="118"/>
      <c r="J11" s="118">
        <f t="shared" si="3"/>
        <v>0</v>
      </c>
      <c r="K11" s="119"/>
      <c r="L11" s="119"/>
      <c r="M11" s="98"/>
      <c r="N11" s="101"/>
      <c r="O11" s="101">
        <f t="shared" si="0"/>
        <v>0</v>
      </c>
      <c r="P11" s="98">
        <f t="shared" si="1"/>
        <v>0</v>
      </c>
    </row>
    <row r="12" spans="2:16" ht="29.25" customHeight="1">
      <c r="B12" s="117" t="s">
        <v>430</v>
      </c>
      <c r="C12" s="118"/>
      <c r="D12" s="118"/>
      <c r="E12" s="118"/>
      <c r="F12" s="118">
        <f t="shared" si="2"/>
        <v>0</v>
      </c>
      <c r="G12" s="118"/>
      <c r="H12" s="118"/>
      <c r="I12" s="118"/>
      <c r="J12" s="118">
        <f t="shared" si="3"/>
        <v>0</v>
      </c>
      <c r="K12" s="119"/>
      <c r="L12" s="119"/>
      <c r="M12" s="98"/>
      <c r="N12" s="101"/>
      <c r="O12" s="101">
        <f t="shared" si="0"/>
        <v>0</v>
      </c>
      <c r="P12" s="98">
        <f t="shared" si="1"/>
        <v>0</v>
      </c>
    </row>
    <row r="13" spans="2:16" ht="29.25" customHeight="1">
      <c r="B13" s="117" t="s">
        <v>431</v>
      </c>
      <c r="C13" s="118">
        <v>0</v>
      </c>
      <c r="D13" s="118">
        <v>0</v>
      </c>
      <c r="E13" s="118">
        <v>0</v>
      </c>
      <c r="F13" s="118">
        <f t="shared" si="2"/>
        <v>0</v>
      </c>
      <c r="G13" s="118">
        <v>0</v>
      </c>
      <c r="H13" s="118">
        <v>0</v>
      </c>
      <c r="I13" s="118">
        <v>0</v>
      </c>
      <c r="J13" s="118">
        <f t="shared" si="3"/>
        <v>0</v>
      </c>
      <c r="K13" s="119"/>
      <c r="L13" s="119"/>
      <c r="M13" s="98"/>
      <c r="N13" s="101"/>
      <c r="O13" s="101">
        <f t="shared" si="0"/>
        <v>0</v>
      </c>
      <c r="P13" s="98">
        <f t="shared" si="1"/>
        <v>0</v>
      </c>
    </row>
    <row r="14" spans="2:16" ht="29.25" customHeight="1">
      <c r="B14" s="117" t="s">
        <v>432</v>
      </c>
      <c r="C14" s="118"/>
      <c r="D14" s="118"/>
      <c r="E14" s="118"/>
      <c r="F14" s="118">
        <f t="shared" si="2"/>
        <v>0</v>
      </c>
      <c r="G14" s="118"/>
      <c r="H14" s="118"/>
      <c r="I14" s="118"/>
      <c r="J14" s="118">
        <f t="shared" si="3"/>
        <v>0</v>
      </c>
      <c r="K14" s="119"/>
      <c r="L14" s="119"/>
      <c r="M14" s="98"/>
      <c r="N14" s="101"/>
      <c r="O14" s="101"/>
      <c r="P14" s="98"/>
    </row>
    <row r="15" spans="2:16" ht="29.25" customHeight="1">
      <c r="B15" s="117" t="s">
        <v>433</v>
      </c>
      <c r="C15" s="118"/>
      <c r="D15" s="118"/>
      <c r="E15" s="118"/>
      <c r="F15" s="118">
        <f t="shared" si="2"/>
        <v>0</v>
      </c>
      <c r="G15" s="118"/>
      <c r="H15" s="118"/>
      <c r="I15" s="118"/>
      <c r="J15" s="118">
        <f t="shared" si="3"/>
        <v>0</v>
      </c>
      <c r="K15" s="119"/>
      <c r="L15" s="119"/>
      <c r="M15" s="98"/>
      <c r="N15" s="101"/>
      <c r="O15" s="101"/>
      <c r="P15" s="98"/>
    </row>
    <row r="16" spans="2:16" ht="29.25" customHeight="1">
      <c r="B16" s="117" t="s">
        <v>434</v>
      </c>
      <c r="C16" s="118"/>
      <c r="D16" s="118"/>
      <c r="E16" s="118"/>
      <c r="F16" s="118">
        <f t="shared" si="2"/>
        <v>0</v>
      </c>
      <c r="G16" s="118"/>
      <c r="H16" s="118"/>
      <c r="I16" s="118"/>
      <c r="J16" s="118"/>
      <c r="K16" s="119"/>
      <c r="L16" s="119"/>
      <c r="M16" s="98"/>
      <c r="N16" s="101"/>
      <c r="O16" s="101"/>
      <c r="P16" s="98"/>
    </row>
    <row r="17" spans="2:16" ht="15.75">
      <c r="B17" s="96" t="s">
        <v>424</v>
      </c>
      <c r="C17" s="102">
        <f t="shared" ref="C17:P17" si="4">SUM(C8:C16)</f>
        <v>0</v>
      </c>
      <c r="D17" s="102">
        <f t="shared" si="4"/>
        <v>0</v>
      </c>
      <c r="E17" s="102">
        <f t="shared" si="4"/>
        <v>0</v>
      </c>
      <c r="F17" s="103">
        <f t="shared" si="4"/>
        <v>0</v>
      </c>
      <c r="G17" s="102">
        <f t="shared" si="4"/>
        <v>0</v>
      </c>
      <c r="H17" s="102">
        <f t="shared" si="4"/>
        <v>0</v>
      </c>
      <c r="I17" s="102">
        <f t="shared" si="4"/>
        <v>0</v>
      </c>
      <c r="J17" s="103">
        <f t="shared" si="4"/>
        <v>0</v>
      </c>
      <c r="K17" s="102">
        <f t="shared" si="4"/>
        <v>0</v>
      </c>
      <c r="L17" s="102">
        <f t="shared" si="4"/>
        <v>0</v>
      </c>
      <c r="M17" s="102">
        <f t="shared" si="4"/>
        <v>0</v>
      </c>
      <c r="N17" s="102">
        <f t="shared" si="4"/>
        <v>0</v>
      </c>
      <c r="O17" s="102">
        <f t="shared" si="4"/>
        <v>0</v>
      </c>
      <c r="P17" s="102">
        <f t="shared" si="4"/>
        <v>0</v>
      </c>
    </row>
    <row r="18" spans="2:16" ht="17.25" customHeight="1">
      <c r="B18" s="102" t="s">
        <v>301</v>
      </c>
      <c r="C18" s="104">
        <v>0</v>
      </c>
      <c r="D18" s="104">
        <v>0</v>
      </c>
      <c r="E18" s="104">
        <v>0</v>
      </c>
      <c r="F18" s="105">
        <v>0</v>
      </c>
      <c r="G18" s="106">
        <v>0</v>
      </c>
      <c r="H18" s="106">
        <v>0</v>
      </c>
      <c r="I18" s="106">
        <v>0</v>
      </c>
      <c r="J18" s="105">
        <v>0</v>
      </c>
      <c r="K18" s="106"/>
      <c r="L18" s="106"/>
      <c r="M18" s="106"/>
      <c r="N18" s="105"/>
      <c r="O18" s="105">
        <v>0</v>
      </c>
      <c r="P18" s="104">
        <v>0</v>
      </c>
    </row>
    <row r="19" spans="2:16">
      <c r="B19" s="7" t="s">
        <v>222</v>
      </c>
      <c r="G19" s="9"/>
      <c r="H19" s="9"/>
      <c r="I19" s="9"/>
    </row>
  </sheetData>
  <pageMargins left="0.18" right="0.18" top="0.75" bottom="0.75" header="0.3" footer="0.3"/>
  <pageSetup orientation="landscape" r:id="rId1"/>
</worksheet>
</file>

<file path=xl/worksheets/sheet29.xml><?xml version="1.0" encoding="utf-8"?>
<worksheet xmlns="http://schemas.openxmlformats.org/spreadsheetml/2006/main" xmlns:r="http://schemas.openxmlformats.org/officeDocument/2006/relationships">
  <sheetPr codeName="Sheet15">
    <tabColor rgb="FF92D050"/>
  </sheetPr>
  <dimension ref="B1:G129"/>
  <sheetViews>
    <sheetView topLeftCell="B1" workbookViewId="0">
      <selection activeCell="L25" sqref="L25"/>
    </sheetView>
  </sheetViews>
  <sheetFormatPr defaultRowHeight="15"/>
  <cols>
    <col min="1" max="1" width="0" hidden="1" customWidth="1"/>
    <col min="5" max="5" width="28.7109375" customWidth="1"/>
    <col min="6" max="6" width="15.28515625" customWidth="1"/>
    <col min="7" max="7" width="15.42578125" customWidth="1"/>
  </cols>
  <sheetData>
    <row r="1" spans="2:7" ht="18.75">
      <c r="B1" s="126" t="str">
        <f>PL!B1</f>
        <v>ABC LTD</v>
      </c>
      <c r="C1" s="126"/>
      <c r="D1" s="126"/>
      <c r="E1" s="126"/>
      <c r="F1" s="126"/>
      <c r="G1" s="126"/>
    </row>
    <row r="2" spans="2:7" ht="15.75" thickBot="1">
      <c r="B2" s="127" t="str">
        <f>'1'!B2</f>
        <v>Notes to financial statements for the year ended 31/03/2012</v>
      </c>
      <c r="C2" s="127"/>
      <c r="D2" s="127"/>
      <c r="E2" s="127"/>
      <c r="F2" s="127"/>
      <c r="G2" s="127"/>
    </row>
    <row r="5" spans="2:7" ht="16.5" thickBot="1">
      <c r="B5" s="36" t="str">
        <f>CONCATENATE(BS!D38,".  NON-CURRENT INVESTMENTS")</f>
        <v xml:space="preserve"> .  NON-CURRENT INVESTMENTS</v>
      </c>
      <c r="C5" s="25"/>
      <c r="D5" s="25"/>
      <c r="E5" s="25"/>
      <c r="F5" s="109" t="s">
        <v>94</v>
      </c>
      <c r="G5" s="110" t="s">
        <v>95</v>
      </c>
    </row>
    <row r="6" spans="2:7">
      <c r="B6" s="8" t="s">
        <v>302</v>
      </c>
      <c r="C6" s="2"/>
      <c r="D6" s="2"/>
      <c r="E6" s="2"/>
      <c r="F6" s="6"/>
      <c r="G6" s="16"/>
    </row>
    <row r="7" spans="2:7">
      <c r="B7" s="71" t="s">
        <v>303</v>
      </c>
      <c r="C7" s="2"/>
      <c r="D7" s="2"/>
      <c r="E7" s="2"/>
      <c r="F7" s="6"/>
      <c r="G7" s="16"/>
    </row>
    <row r="8" spans="2:7">
      <c r="B8" s="72" t="s">
        <v>304</v>
      </c>
      <c r="C8" s="1"/>
      <c r="D8" s="1"/>
      <c r="E8" s="1"/>
      <c r="F8" s="9"/>
      <c r="G8" s="1"/>
    </row>
    <row r="9" spans="2:7">
      <c r="B9" s="73"/>
      <c r="C9" s="1"/>
      <c r="D9" s="1"/>
      <c r="E9" s="1"/>
      <c r="F9" s="11">
        <f>TB!B169</f>
        <v>0</v>
      </c>
      <c r="G9" s="138">
        <f>TB!D169</f>
        <v>0</v>
      </c>
    </row>
    <row r="10" spans="2:7">
      <c r="B10" s="71"/>
      <c r="C10" s="2"/>
      <c r="D10" s="2"/>
      <c r="E10" s="2"/>
      <c r="F10" s="6"/>
      <c r="G10" s="16"/>
    </row>
    <row r="11" spans="2:7">
      <c r="B11" s="72" t="s">
        <v>305</v>
      </c>
      <c r="C11" s="1"/>
      <c r="D11" s="1"/>
      <c r="E11" s="1"/>
      <c r="F11" s="9"/>
      <c r="G11" s="1"/>
    </row>
    <row r="12" spans="2:7">
      <c r="B12" s="73"/>
      <c r="C12" s="1"/>
      <c r="D12" s="1"/>
      <c r="E12" s="1"/>
      <c r="F12" s="138">
        <f>TB!B172</f>
        <v>0</v>
      </c>
      <c r="G12" s="138">
        <f>TB!D172</f>
        <v>0</v>
      </c>
    </row>
    <row r="13" spans="2:7">
      <c r="B13" s="74"/>
      <c r="C13" s="2"/>
      <c r="D13" s="2"/>
      <c r="E13" s="2"/>
      <c r="F13" s="6"/>
      <c r="G13" s="16"/>
    </row>
    <row r="14" spans="2:7">
      <c r="B14" s="72" t="s">
        <v>306</v>
      </c>
      <c r="C14" s="1"/>
      <c r="D14" s="1"/>
      <c r="E14" s="1"/>
      <c r="F14" s="9"/>
      <c r="G14" s="1"/>
    </row>
    <row r="15" spans="2:7">
      <c r="B15" s="73"/>
      <c r="C15" s="1"/>
      <c r="D15" s="1"/>
      <c r="E15" s="1"/>
      <c r="F15" s="138">
        <f>TB!B175</f>
        <v>0</v>
      </c>
      <c r="G15" s="138">
        <f>TB!D175</f>
        <v>0</v>
      </c>
    </row>
    <row r="16" spans="2:7">
      <c r="B16" s="74"/>
      <c r="C16" s="2"/>
      <c r="D16" s="2"/>
      <c r="E16" s="2"/>
      <c r="F16" s="6"/>
      <c r="G16" s="16"/>
    </row>
    <row r="17" spans="2:7">
      <c r="B17" s="72" t="s">
        <v>307</v>
      </c>
      <c r="C17" s="1"/>
      <c r="D17" s="1"/>
      <c r="E17" s="1"/>
      <c r="F17" s="9"/>
      <c r="G17" s="1"/>
    </row>
    <row r="18" spans="2:7">
      <c r="B18" s="73"/>
      <c r="C18" s="1"/>
      <c r="D18" s="1"/>
      <c r="E18" s="1"/>
      <c r="F18" s="138">
        <f>TB!B178</f>
        <v>0</v>
      </c>
      <c r="G18" s="138">
        <f>TB!D178</f>
        <v>0</v>
      </c>
    </row>
    <row r="19" spans="2:7">
      <c r="B19" s="74"/>
      <c r="C19" s="2"/>
      <c r="D19" s="2"/>
      <c r="E19" s="2"/>
      <c r="F19" s="6"/>
      <c r="G19" s="16"/>
    </row>
    <row r="20" spans="2:7">
      <c r="B20" s="72" t="s">
        <v>308</v>
      </c>
      <c r="C20" s="1"/>
      <c r="D20" s="1"/>
      <c r="E20" s="1"/>
      <c r="F20" s="9"/>
      <c r="G20" s="1"/>
    </row>
    <row r="21" spans="2:7">
      <c r="B21" s="73"/>
      <c r="C21" s="1"/>
      <c r="D21" s="1"/>
      <c r="E21" s="1"/>
      <c r="F21" s="138">
        <f>TB!B181</f>
        <v>0</v>
      </c>
      <c r="G21" s="138">
        <f>TB!D181</f>
        <v>0</v>
      </c>
    </row>
    <row r="22" spans="2:7">
      <c r="B22" s="71"/>
      <c r="C22" s="2"/>
      <c r="D22" s="2"/>
      <c r="E22" s="2"/>
      <c r="F22" s="15">
        <f>SUM(F8:F21)</f>
        <v>0</v>
      </c>
      <c r="G22" s="41">
        <f>SUM(G8:G21)</f>
        <v>0</v>
      </c>
    </row>
    <row r="23" spans="2:7">
      <c r="B23" s="71"/>
      <c r="C23" s="2"/>
      <c r="D23" s="2"/>
      <c r="E23" s="2"/>
      <c r="F23" s="6"/>
      <c r="G23" s="16"/>
    </row>
    <row r="24" spans="2:7">
      <c r="B24" s="71" t="s">
        <v>309</v>
      </c>
      <c r="C24" s="2"/>
      <c r="D24" s="2"/>
      <c r="E24" s="2"/>
      <c r="F24" s="6"/>
      <c r="G24" s="16"/>
    </row>
    <row r="25" spans="2:7">
      <c r="B25" s="72" t="s">
        <v>304</v>
      </c>
      <c r="C25" s="1"/>
      <c r="D25" s="1"/>
      <c r="E25" s="1"/>
      <c r="F25" s="9"/>
      <c r="G25" s="1"/>
    </row>
    <row r="26" spans="2:7">
      <c r="B26" s="73"/>
      <c r="C26" s="1"/>
      <c r="D26" s="1"/>
      <c r="E26" s="1"/>
      <c r="F26" s="138">
        <f>TB!B185</f>
        <v>0</v>
      </c>
      <c r="G26" s="138">
        <f>TB!D185</f>
        <v>0</v>
      </c>
    </row>
    <row r="27" spans="2:7">
      <c r="B27" s="74"/>
      <c r="C27" s="2"/>
      <c r="D27" s="2"/>
      <c r="E27" s="2"/>
      <c r="F27" s="6"/>
      <c r="G27" s="16"/>
    </row>
    <row r="28" spans="2:7">
      <c r="B28" s="72" t="s">
        <v>305</v>
      </c>
      <c r="C28" s="1"/>
      <c r="D28" s="1"/>
      <c r="E28" s="1"/>
      <c r="F28" s="9"/>
      <c r="G28" s="1"/>
    </row>
    <row r="29" spans="2:7">
      <c r="B29" s="73"/>
      <c r="C29" s="1"/>
      <c r="D29" s="1"/>
      <c r="E29" s="1"/>
      <c r="F29" s="138">
        <f>TB!B188</f>
        <v>0</v>
      </c>
      <c r="G29" s="138">
        <f>TB!D188</f>
        <v>0</v>
      </c>
    </row>
    <row r="30" spans="2:7">
      <c r="B30" s="74"/>
      <c r="C30" s="2"/>
      <c r="D30" s="2"/>
      <c r="E30" s="2"/>
      <c r="F30" s="6"/>
      <c r="G30" s="16"/>
    </row>
    <row r="31" spans="2:7">
      <c r="B31" s="72" t="s">
        <v>306</v>
      </c>
      <c r="C31" s="1"/>
      <c r="D31" s="1"/>
      <c r="E31" s="1"/>
      <c r="F31" s="9"/>
      <c r="G31" s="1"/>
    </row>
    <row r="32" spans="2:7">
      <c r="B32" s="73"/>
      <c r="C32" s="1"/>
      <c r="D32" s="1"/>
      <c r="E32" s="1"/>
      <c r="F32" s="138">
        <f>TB!B191</f>
        <v>0</v>
      </c>
      <c r="G32" s="138">
        <f>TB!D191</f>
        <v>0</v>
      </c>
    </row>
    <row r="33" spans="2:7">
      <c r="B33" s="74"/>
      <c r="C33" s="2"/>
      <c r="D33" s="2"/>
      <c r="E33" s="2"/>
      <c r="F33" s="6"/>
      <c r="G33" s="16"/>
    </row>
    <row r="34" spans="2:7">
      <c r="B34" s="72" t="s">
        <v>307</v>
      </c>
      <c r="C34" s="1"/>
      <c r="D34" s="1"/>
      <c r="E34" s="1"/>
      <c r="F34" s="9"/>
      <c r="G34" s="1"/>
    </row>
    <row r="35" spans="2:7">
      <c r="B35" s="73"/>
      <c r="C35" s="1"/>
      <c r="D35" s="1"/>
      <c r="E35" s="1"/>
      <c r="F35" s="138">
        <f>TB!B194</f>
        <v>0</v>
      </c>
      <c r="G35" s="138">
        <f>TB!D194</f>
        <v>0</v>
      </c>
    </row>
    <row r="36" spans="2:7">
      <c r="B36" s="74"/>
      <c r="C36" s="2"/>
      <c r="D36" s="2"/>
      <c r="E36" s="2"/>
      <c r="F36" s="6"/>
      <c r="G36" s="16"/>
    </row>
    <row r="37" spans="2:7">
      <c r="B37" s="72" t="s">
        <v>308</v>
      </c>
      <c r="C37" s="1"/>
      <c r="D37" s="1"/>
      <c r="E37" s="1"/>
      <c r="F37" s="9"/>
      <c r="G37" s="1"/>
    </row>
    <row r="38" spans="2:7">
      <c r="B38" s="73"/>
      <c r="C38" s="1"/>
      <c r="D38" s="1"/>
      <c r="E38" s="1"/>
      <c r="F38" s="138">
        <f>TB!B197</f>
        <v>0</v>
      </c>
      <c r="G38" s="138">
        <f>TB!D197</f>
        <v>0</v>
      </c>
    </row>
    <row r="39" spans="2:7">
      <c r="B39" s="71"/>
      <c r="C39" s="2"/>
      <c r="D39" s="2"/>
      <c r="E39" s="2"/>
      <c r="F39" s="15">
        <f>SUM(F25:F38)</f>
        <v>0</v>
      </c>
      <c r="G39" s="41">
        <f>SUM(G25:G38)</f>
        <v>0</v>
      </c>
    </row>
    <row r="40" spans="2:7">
      <c r="B40" s="71"/>
      <c r="C40" s="2"/>
      <c r="D40" s="2"/>
      <c r="E40" s="2"/>
      <c r="F40" s="6"/>
      <c r="G40" s="16"/>
    </row>
    <row r="41" spans="2:7">
      <c r="B41" s="71" t="s">
        <v>310</v>
      </c>
      <c r="C41" s="2"/>
      <c r="D41" s="2"/>
      <c r="E41" s="2"/>
      <c r="F41" s="6"/>
      <c r="G41" s="16"/>
    </row>
    <row r="42" spans="2:7">
      <c r="B42" s="75" t="s">
        <v>311</v>
      </c>
      <c r="C42" s="2"/>
      <c r="D42" s="2"/>
      <c r="E42" s="2"/>
      <c r="F42" s="17"/>
      <c r="G42" s="3"/>
    </row>
    <row r="43" spans="2:7">
      <c r="B43" s="73"/>
      <c r="C43" s="2"/>
      <c r="D43" s="2"/>
      <c r="E43" s="2"/>
      <c r="F43" s="138">
        <f>TB!B201</f>
        <v>0</v>
      </c>
      <c r="G43" s="138">
        <f>TB!D201</f>
        <v>0</v>
      </c>
    </row>
    <row r="44" spans="2:7">
      <c r="B44" s="74"/>
      <c r="C44" s="2"/>
      <c r="D44" s="2"/>
      <c r="E44" s="2"/>
      <c r="F44" s="6"/>
      <c r="G44" s="16"/>
    </row>
    <row r="45" spans="2:7">
      <c r="B45" s="75" t="s">
        <v>312</v>
      </c>
      <c r="C45" s="2"/>
      <c r="D45" s="2"/>
      <c r="E45" s="2"/>
      <c r="F45" s="11"/>
      <c r="G45" s="42"/>
    </row>
    <row r="46" spans="2:7">
      <c r="B46" s="73"/>
      <c r="C46" s="2"/>
      <c r="D46" s="2"/>
      <c r="E46" s="2"/>
      <c r="F46" s="138">
        <f>TB!B204</f>
        <v>0</v>
      </c>
      <c r="G46" s="138">
        <f>TB!D204</f>
        <v>0</v>
      </c>
    </row>
    <row r="47" spans="2:7">
      <c r="B47" s="76"/>
      <c r="C47" s="2"/>
      <c r="D47" s="2"/>
      <c r="E47" s="2"/>
      <c r="F47" s="11"/>
      <c r="G47" s="42"/>
    </row>
    <row r="48" spans="2:7">
      <c r="B48" s="75" t="s">
        <v>313</v>
      </c>
      <c r="C48" s="2"/>
      <c r="D48" s="2"/>
      <c r="E48" s="2"/>
      <c r="F48" s="11"/>
      <c r="G48" s="42"/>
    </row>
    <row r="49" spans="2:7">
      <c r="B49" s="73"/>
      <c r="C49" s="2"/>
      <c r="D49" s="2"/>
      <c r="E49" s="2"/>
      <c r="F49" s="138">
        <f>TB!B207</f>
        <v>0</v>
      </c>
      <c r="G49" s="138">
        <f>TB!D207</f>
        <v>0</v>
      </c>
    </row>
    <row r="50" spans="2:7">
      <c r="B50" s="76"/>
      <c r="C50" s="2"/>
      <c r="D50" s="2"/>
      <c r="E50" s="2"/>
      <c r="F50" s="11"/>
      <c r="G50" s="42"/>
    </row>
    <row r="51" spans="2:7">
      <c r="B51" s="75" t="s">
        <v>314</v>
      </c>
      <c r="C51" s="2"/>
      <c r="D51" s="2"/>
      <c r="E51" s="2"/>
      <c r="F51" s="11"/>
      <c r="G51" s="42"/>
    </row>
    <row r="52" spans="2:7">
      <c r="B52" s="73"/>
      <c r="C52" s="2"/>
      <c r="D52" s="2"/>
      <c r="E52" s="2"/>
      <c r="F52" s="138">
        <f>TB!B210</f>
        <v>0</v>
      </c>
      <c r="G52" s="138">
        <f>TB!D210</f>
        <v>0</v>
      </c>
    </row>
    <row r="53" spans="2:7">
      <c r="B53" s="71"/>
      <c r="C53" s="2"/>
      <c r="D53" s="2"/>
      <c r="E53" s="2"/>
      <c r="F53" s="15">
        <f>SUM(F41:F52)</f>
        <v>0</v>
      </c>
      <c r="G53" s="41">
        <f>SUM(G41:G52)</f>
        <v>0</v>
      </c>
    </row>
    <row r="54" spans="2:7">
      <c r="B54" s="8"/>
      <c r="C54" s="2"/>
      <c r="D54" s="2"/>
      <c r="E54" s="2"/>
      <c r="F54" s="6"/>
      <c r="G54" s="16"/>
    </row>
    <row r="55" spans="2:7">
      <c r="B55" s="8" t="s">
        <v>315</v>
      </c>
      <c r="C55" s="2"/>
      <c r="D55" s="2"/>
      <c r="E55" s="2"/>
      <c r="F55" s="6"/>
      <c r="G55" s="16"/>
    </row>
    <row r="56" spans="2:7">
      <c r="B56" s="71" t="s">
        <v>303</v>
      </c>
      <c r="C56" s="2"/>
      <c r="D56" s="2"/>
      <c r="E56" s="2"/>
      <c r="F56" s="6"/>
      <c r="G56" s="16"/>
    </row>
    <row r="57" spans="2:7">
      <c r="B57" s="72" t="s">
        <v>316</v>
      </c>
      <c r="C57" s="2"/>
      <c r="D57" s="2"/>
      <c r="E57" s="2"/>
      <c r="F57" s="4"/>
      <c r="G57" s="2"/>
    </row>
    <row r="58" spans="2:7">
      <c r="B58" s="73"/>
      <c r="C58" s="2"/>
      <c r="D58" s="2"/>
      <c r="E58" s="2"/>
      <c r="F58" s="138">
        <f>TB!B215</f>
        <v>0</v>
      </c>
      <c r="G58" s="138">
        <f>TB!D215</f>
        <v>0</v>
      </c>
    </row>
    <row r="59" spans="2:7">
      <c r="B59" s="74"/>
      <c r="C59" s="2"/>
      <c r="D59" s="2"/>
      <c r="E59" s="2"/>
      <c r="F59" s="6"/>
      <c r="G59" s="16"/>
    </row>
    <row r="60" spans="2:7">
      <c r="B60" s="72" t="s">
        <v>305</v>
      </c>
      <c r="C60" s="2"/>
      <c r="D60" s="2"/>
      <c r="E60" s="2"/>
      <c r="F60" s="4"/>
      <c r="G60" s="2"/>
    </row>
    <row r="61" spans="2:7">
      <c r="B61" s="73"/>
      <c r="C61" s="2"/>
      <c r="D61" s="2"/>
      <c r="E61" s="2"/>
      <c r="F61" s="138">
        <f>TB!B218</f>
        <v>0</v>
      </c>
      <c r="G61" s="138">
        <f>TB!D218</f>
        <v>0</v>
      </c>
    </row>
    <row r="62" spans="2:7">
      <c r="B62" s="74"/>
      <c r="C62" s="2"/>
      <c r="D62" s="2"/>
      <c r="E62" s="2"/>
      <c r="F62" s="6"/>
      <c r="G62" s="16"/>
    </row>
    <row r="63" spans="2:7">
      <c r="B63" s="72" t="s">
        <v>306</v>
      </c>
      <c r="C63" s="2"/>
      <c r="D63" s="2"/>
      <c r="E63" s="2"/>
      <c r="F63" s="4"/>
      <c r="G63" s="2"/>
    </row>
    <row r="64" spans="2:7">
      <c r="B64" s="73"/>
      <c r="C64" s="2"/>
      <c r="D64" s="2"/>
      <c r="E64" s="2"/>
      <c r="F64" s="138">
        <f>TB!B221</f>
        <v>0</v>
      </c>
      <c r="G64" s="138">
        <f>TB!D221</f>
        <v>0</v>
      </c>
    </row>
    <row r="65" spans="2:7">
      <c r="B65" s="74"/>
      <c r="C65" s="2"/>
      <c r="D65" s="2"/>
      <c r="E65" s="2"/>
      <c r="F65" s="6"/>
      <c r="G65" s="16"/>
    </row>
    <row r="66" spans="2:7">
      <c r="B66" s="72" t="s">
        <v>307</v>
      </c>
      <c r="C66" s="2"/>
      <c r="D66" s="2"/>
      <c r="E66" s="2"/>
      <c r="F66" s="4"/>
      <c r="G66" s="2"/>
    </row>
    <row r="67" spans="2:7">
      <c r="B67" s="73"/>
      <c r="C67" s="2"/>
      <c r="D67" s="2"/>
      <c r="E67" s="2"/>
      <c r="F67" s="138">
        <f>TB!B224</f>
        <v>0</v>
      </c>
      <c r="G67" s="138">
        <f>TB!D224</f>
        <v>0</v>
      </c>
    </row>
    <row r="68" spans="2:7">
      <c r="B68" s="74"/>
      <c r="C68" s="2"/>
      <c r="D68" s="2"/>
      <c r="E68" s="2"/>
      <c r="F68" s="6"/>
      <c r="G68" s="16"/>
    </row>
    <row r="69" spans="2:7">
      <c r="B69" s="72" t="s">
        <v>317</v>
      </c>
      <c r="C69" s="1"/>
      <c r="D69" s="1"/>
      <c r="E69" s="1"/>
      <c r="F69" s="9"/>
      <c r="G69" s="1"/>
    </row>
    <row r="70" spans="2:7">
      <c r="B70" s="73"/>
      <c r="C70" s="1"/>
      <c r="D70" s="1"/>
      <c r="E70" s="1"/>
      <c r="F70" s="138">
        <f>TB!B227</f>
        <v>0</v>
      </c>
      <c r="G70" s="138">
        <f>TB!D227</f>
        <v>0</v>
      </c>
    </row>
    <row r="71" spans="2:7">
      <c r="B71" s="77"/>
      <c r="C71" s="1"/>
      <c r="D71" s="1"/>
      <c r="E71" s="1"/>
      <c r="F71" s="9"/>
      <c r="G71" s="1"/>
    </row>
    <row r="72" spans="2:7">
      <c r="B72" s="72" t="s">
        <v>318</v>
      </c>
      <c r="C72" s="2"/>
      <c r="D72" s="2"/>
      <c r="E72" s="2"/>
      <c r="F72" s="4"/>
      <c r="G72" s="2"/>
    </row>
    <row r="73" spans="2:7">
      <c r="B73" s="73"/>
      <c r="C73" s="2"/>
      <c r="D73" s="2"/>
      <c r="E73" s="2"/>
      <c r="F73" s="138">
        <f>TB!B230</f>
        <v>0</v>
      </c>
      <c r="G73" s="138">
        <f>TB!D230</f>
        <v>0</v>
      </c>
    </row>
    <row r="74" spans="2:7">
      <c r="B74" s="74"/>
      <c r="C74" s="2"/>
      <c r="D74" s="2"/>
      <c r="E74" s="2"/>
      <c r="F74" s="6"/>
      <c r="G74" s="16"/>
    </row>
    <row r="75" spans="2:7">
      <c r="B75" s="72" t="s">
        <v>308</v>
      </c>
      <c r="C75" s="2"/>
      <c r="D75" s="2"/>
      <c r="E75" s="2"/>
      <c r="F75" s="4"/>
      <c r="G75" s="2"/>
    </row>
    <row r="76" spans="2:7">
      <c r="B76" s="73"/>
      <c r="C76" s="2"/>
      <c r="D76" s="2"/>
      <c r="E76" s="2"/>
      <c r="F76" s="138">
        <f>TB!B233</f>
        <v>0</v>
      </c>
      <c r="G76" s="138">
        <f>TB!D233</f>
        <v>0</v>
      </c>
    </row>
    <row r="77" spans="2:7">
      <c r="B77" s="78"/>
      <c r="C77" s="2"/>
      <c r="D77" s="2"/>
      <c r="E77" s="2"/>
      <c r="F77" s="15">
        <f>SUM(F58:F76)</f>
        <v>0</v>
      </c>
      <c r="G77" s="41">
        <f>SUM(G58:G76)</f>
        <v>0</v>
      </c>
    </row>
    <row r="78" spans="2:7">
      <c r="B78" s="71"/>
      <c r="C78" s="2"/>
      <c r="D78" s="2"/>
      <c r="E78" s="2"/>
      <c r="F78" s="6"/>
      <c r="G78" s="16"/>
    </row>
    <row r="79" spans="2:7">
      <c r="B79" s="71" t="s">
        <v>309</v>
      </c>
      <c r="C79" s="2"/>
      <c r="D79" s="2"/>
      <c r="E79" s="2"/>
      <c r="F79" s="6"/>
      <c r="G79" s="16"/>
    </row>
    <row r="80" spans="2:7">
      <c r="B80" s="72" t="s">
        <v>304</v>
      </c>
      <c r="C80" s="2"/>
      <c r="D80" s="2"/>
      <c r="E80" s="2"/>
      <c r="F80" s="4"/>
      <c r="G80" s="2"/>
    </row>
    <row r="81" spans="2:7">
      <c r="B81" s="73"/>
      <c r="C81" s="2"/>
      <c r="D81" s="2"/>
      <c r="E81" s="2"/>
      <c r="F81" s="138">
        <f>TB!B237</f>
        <v>0</v>
      </c>
      <c r="G81" s="138">
        <f>TB!D237</f>
        <v>0</v>
      </c>
    </row>
    <row r="82" spans="2:7">
      <c r="B82" s="74"/>
      <c r="C82" s="2"/>
      <c r="D82" s="2"/>
      <c r="E82" s="2"/>
      <c r="F82" s="6"/>
      <c r="G82" s="16"/>
    </row>
    <row r="83" spans="2:7">
      <c r="B83" s="72" t="s">
        <v>319</v>
      </c>
      <c r="C83" s="2"/>
      <c r="D83" s="2"/>
      <c r="E83" s="2"/>
      <c r="F83" s="4"/>
      <c r="G83" s="2"/>
    </row>
    <row r="84" spans="2:7">
      <c r="B84" s="73"/>
      <c r="C84" s="2"/>
      <c r="D84" s="2"/>
      <c r="E84" s="2"/>
      <c r="F84" s="138">
        <f>TB!B240</f>
        <v>0</v>
      </c>
      <c r="G84" s="138">
        <f>TB!D240</f>
        <v>0</v>
      </c>
    </row>
    <row r="85" spans="2:7">
      <c r="B85" s="74"/>
      <c r="C85" s="2"/>
      <c r="D85" s="2"/>
      <c r="E85" s="2"/>
      <c r="F85" s="6"/>
      <c r="G85" s="16"/>
    </row>
    <row r="86" spans="2:7">
      <c r="B86" s="72" t="s">
        <v>306</v>
      </c>
      <c r="C86" s="2"/>
      <c r="D86" s="2"/>
      <c r="E86" s="2"/>
      <c r="F86" s="4"/>
      <c r="G86" s="2"/>
    </row>
    <row r="87" spans="2:7">
      <c r="B87" s="73"/>
      <c r="C87" s="2"/>
      <c r="D87" s="2"/>
      <c r="E87" s="2"/>
      <c r="F87" s="138">
        <f>TB!B243</f>
        <v>0</v>
      </c>
      <c r="G87" s="138">
        <f>TB!D243</f>
        <v>0</v>
      </c>
    </row>
    <row r="88" spans="2:7">
      <c r="B88" s="74"/>
      <c r="C88" s="2"/>
      <c r="D88" s="2"/>
      <c r="E88" s="2"/>
      <c r="F88" s="6"/>
      <c r="G88" s="16"/>
    </row>
    <row r="89" spans="2:7">
      <c r="B89" s="72" t="s">
        <v>307</v>
      </c>
      <c r="C89" s="2"/>
      <c r="D89" s="2"/>
      <c r="E89" s="2"/>
      <c r="F89" s="4"/>
      <c r="G89" s="2"/>
    </row>
    <row r="90" spans="2:7">
      <c r="B90" s="73"/>
      <c r="C90" s="2"/>
      <c r="D90" s="2"/>
      <c r="E90" s="2"/>
      <c r="F90" s="138">
        <f>TB!B246</f>
        <v>0</v>
      </c>
      <c r="G90" s="138">
        <f>TB!D246</f>
        <v>0</v>
      </c>
    </row>
    <row r="91" spans="2:7">
      <c r="B91" s="79"/>
      <c r="C91" s="2"/>
      <c r="D91" s="2"/>
      <c r="E91" s="2"/>
      <c r="F91" s="17"/>
      <c r="G91" s="3"/>
    </row>
    <row r="92" spans="2:7">
      <c r="B92" s="72" t="s">
        <v>317</v>
      </c>
      <c r="C92" s="1"/>
      <c r="D92" s="1"/>
      <c r="E92" s="1"/>
      <c r="F92" s="9"/>
      <c r="G92" s="1"/>
    </row>
    <row r="93" spans="2:7">
      <c r="B93" s="73"/>
      <c r="C93" s="1"/>
      <c r="D93" s="1"/>
      <c r="E93" s="1"/>
      <c r="F93" s="138">
        <f>TB!B249</f>
        <v>0</v>
      </c>
      <c r="G93" s="138">
        <f>TB!D249</f>
        <v>0</v>
      </c>
    </row>
    <row r="94" spans="2:7">
      <c r="B94" s="77"/>
      <c r="C94" s="1"/>
      <c r="D94" s="1"/>
      <c r="E94" s="1"/>
      <c r="F94" s="9"/>
      <c r="G94" s="1"/>
    </row>
    <row r="95" spans="2:7">
      <c r="B95" s="72" t="s">
        <v>318</v>
      </c>
      <c r="C95" s="2"/>
      <c r="D95" s="2"/>
      <c r="E95" s="2"/>
      <c r="F95" s="4"/>
      <c r="G95" s="2"/>
    </row>
    <row r="96" spans="2:7">
      <c r="B96" s="73"/>
      <c r="C96" s="2"/>
      <c r="D96" s="2"/>
      <c r="E96" s="2"/>
      <c r="F96" s="138">
        <f>TB!B252</f>
        <v>0</v>
      </c>
      <c r="G96" s="138">
        <f>TB!D252</f>
        <v>0</v>
      </c>
    </row>
    <row r="97" spans="2:7">
      <c r="B97" s="74"/>
      <c r="C97" s="2"/>
      <c r="D97" s="2"/>
      <c r="E97" s="2"/>
      <c r="F97" s="6"/>
      <c r="G97" s="16"/>
    </row>
    <row r="98" spans="2:7">
      <c r="B98" s="72" t="s">
        <v>308</v>
      </c>
      <c r="C98" s="2"/>
      <c r="D98" s="2"/>
      <c r="E98" s="2"/>
      <c r="F98" s="4"/>
      <c r="G98" s="2"/>
    </row>
    <row r="99" spans="2:7">
      <c r="B99" s="73"/>
      <c r="C99" s="2"/>
      <c r="D99" s="2"/>
      <c r="E99" s="2"/>
      <c r="F99" s="138">
        <f>TB!B255</f>
        <v>0</v>
      </c>
      <c r="G99" s="138">
        <f>TB!D255</f>
        <v>0</v>
      </c>
    </row>
    <row r="100" spans="2:7">
      <c r="B100" s="78"/>
      <c r="C100" s="2"/>
      <c r="D100" s="2"/>
      <c r="E100" s="2"/>
      <c r="F100" s="15">
        <f>SUM(F81:F99)</f>
        <v>0</v>
      </c>
      <c r="G100" s="41">
        <f>SUM(G81:G99)</f>
        <v>0</v>
      </c>
    </row>
    <row r="101" spans="2:7">
      <c r="B101" s="71"/>
      <c r="C101" s="2"/>
      <c r="D101" s="2"/>
      <c r="E101" s="2"/>
      <c r="F101" s="6"/>
      <c r="G101" s="16"/>
    </row>
    <row r="102" spans="2:7">
      <c r="B102" s="71" t="s">
        <v>310</v>
      </c>
      <c r="C102" s="2"/>
      <c r="D102" s="2"/>
      <c r="E102" s="2"/>
      <c r="F102" s="6"/>
      <c r="G102" s="16"/>
    </row>
    <row r="103" spans="2:7">
      <c r="B103" s="75" t="s">
        <v>311</v>
      </c>
      <c r="C103" s="2"/>
      <c r="D103" s="2"/>
      <c r="E103" s="2"/>
      <c r="F103" s="17"/>
      <c r="G103" s="3"/>
    </row>
    <row r="104" spans="2:7">
      <c r="B104" s="73"/>
      <c r="C104" s="2"/>
      <c r="D104" s="2"/>
      <c r="E104" s="2"/>
      <c r="F104" s="138">
        <f>TB!B259</f>
        <v>0</v>
      </c>
      <c r="G104" s="138">
        <f>TB!D259</f>
        <v>0</v>
      </c>
    </row>
    <row r="105" spans="2:7">
      <c r="B105" s="76"/>
      <c r="C105" s="2"/>
      <c r="D105" s="2"/>
      <c r="E105" s="2"/>
      <c r="F105" s="11"/>
      <c r="G105" s="42"/>
    </row>
    <row r="106" spans="2:7">
      <c r="B106" s="75" t="s">
        <v>312</v>
      </c>
      <c r="C106" s="2"/>
      <c r="D106" s="2"/>
      <c r="E106" s="2"/>
      <c r="F106" s="11"/>
      <c r="G106" s="42"/>
    </row>
    <row r="107" spans="2:7">
      <c r="B107" s="73"/>
      <c r="C107" s="2"/>
      <c r="D107" s="2"/>
      <c r="E107" s="2"/>
      <c r="F107" s="138">
        <f>TB!B262</f>
        <v>0</v>
      </c>
      <c r="G107" s="138">
        <f>TB!D262</f>
        <v>0</v>
      </c>
    </row>
    <row r="108" spans="2:7">
      <c r="B108" s="76"/>
      <c r="C108" s="2"/>
      <c r="D108" s="2"/>
      <c r="E108" s="2"/>
      <c r="F108" s="11"/>
      <c r="G108" s="42"/>
    </row>
    <row r="109" spans="2:7">
      <c r="B109" s="75" t="s">
        <v>313</v>
      </c>
      <c r="C109" s="2"/>
      <c r="D109" s="2"/>
      <c r="E109" s="2"/>
      <c r="F109" s="11"/>
      <c r="G109" s="42"/>
    </row>
    <row r="110" spans="2:7">
      <c r="B110" s="73"/>
      <c r="C110" s="2"/>
      <c r="D110" s="2"/>
      <c r="E110" s="2"/>
      <c r="F110" s="138">
        <f>TB!B265</f>
        <v>0</v>
      </c>
      <c r="G110" s="138">
        <f>TB!D265</f>
        <v>0</v>
      </c>
    </row>
    <row r="111" spans="2:7">
      <c r="B111" s="76"/>
      <c r="C111" s="2"/>
      <c r="D111" s="2"/>
      <c r="E111" s="2"/>
      <c r="F111" s="11"/>
      <c r="G111" s="42"/>
    </row>
    <row r="112" spans="2:7">
      <c r="B112" s="75" t="s">
        <v>314</v>
      </c>
      <c r="C112" s="2"/>
      <c r="D112" s="2"/>
      <c r="E112" s="2"/>
      <c r="F112" s="11"/>
      <c r="G112" s="42"/>
    </row>
    <row r="113" spans="2:7">
      <c r="B113" s="73"/>
      <c r="C113" s="2"/>
      <c r="D113" s="2"/>
      <c r="E113" s="2"/>
      <c r="F113" s="138">
        <f>TB!B268</f>
        <v>0</v>
      </c>
      <c r="G113" s="138">
        <f>TB!D268</f>
        <v>0</v>
      </c>
    </row>
    <row r="114" spans="2:7">
      <c r="B114" s="76"/>
      <c r="C114" s="2"/>
      <c r="D114" s="2"/>
      <c r="E114" s="2"/>
      <c r="F114" s="11"/>
      <c r="G114" s="42"/>
    </row>
    <row r="115" spans="2:7">
      <c r="B115" s="75" t="s">
        <v>320</v>
      </c>
      <c r="C115" s="2"/>
      <c r="D115" s="2"/>
      <c r="E115" s="2"/>
      <c r="F115" s="11"/>
      <c r="G115" s="42"/>
    </row>
    <row r="116" spans="2:7">
      <c r="B116" s="73"/>
      <c r="C116" s="2"/>
      <c r="D116" s="2"/>
      <c r="E116" s="2"/>
      <c r="F116" s="138">
        <f>TB!B271</f>
        <v>0</v>
      </c>
      <c r="G116" s="138">
        <f>TB!D271</f>
        <v>0</v>
      </c>
    </row>
    <row r="117" spans="2:7">
      <c r="B117" s="2"/>
      <c r="C117" s="2"/>
      <c r="D117" s="2"/>
      <c r="E117" s="2"/>
      <c r="F117" s="11"/>
      <c r="G117" s="42"/>
    </row>
    <row r="118" spans="2:7">
      <c r="B118" s="2"/>
      <c r="C118" s="2"/>
      <c r="D118" s="2"/>
      <c r="E118" s="2"/>
      <c r="F118" s="15">
        <f>SUM(F103:F117)</f>
        <v>0</v>
      </c>
      <c r="G118" s="41">
        <f>SUM(G103:G117)</f>
        <v>0</v>
      </c>
    </row>
    <row r="119" spans="2:7">
      <c r="B119" s="2"/>
      <c r="C119" s="2"/>
      <c r="D119" s="2"/>
      <c r="E119" s="2"/>
      <c r="F119" s="17"/>
      <c r="G119" s="3"/>
    </row>
    <row r="120" spans="2:7">
      <c r="B120" s="8" t="s">
        <v>321</v>
      </c>
      <c r="C120" s="2"/>
      <c r="D120" s="2"/>
      <c r="E120" s="2"/>
      <c r="F120" s="138">
        <f>TB!C274</f>
        <v>0</v>
      </c>
      <c r="G120" s="138">
        <f>TB!E274</f>
        <v>0</v>
      </c>
    </row>
    <row r="121" spans="2:7">
      <c r="B121" s="13"/>
      <c r="C121" s="13"/>
      <c r="D121" s="13"/>
      <c r="E121" s="13"/>
      <c r="F121" s="80"/>
      <c r="G121" s="13"/>
    </row>
    <row r="122" spans="2:7">
      <c r="B122" s="81"/>
      <c r="C122" s="81"/>
      <c r="D122" s="81"/>
      <c r="E122" s="81"/>
      <c r="F122" s="15">
        <f>F22+F39+F53+F77+F100+F118-F120</f>
        <v>0</v>
      </c>
      <c r="G122" s="41">
        <f>G22+G39+G53+G77+G100+G118-G120</f>
        <v>0</v>
      </c>
    </row>
    <row r="123" spans="2:7">
      <c r="B123" s="1"/>
      <c r="C123" s="1"/>
      <c r="D123" s="1"/>
      <c r="E123" s="1"/>
      <c r="F123" s="9"/>
      <c r="G123" s="1"/>
    </row>
    <row r="124" spans="2:7">
      <c r="B124" s="1" t="s">
        <v>322</v>
      </c>
      <c r="C124" s="1"/>
      <c r="D124" s="1"/>
      <c r="E124" s="1"/>
      <c r="F124" s="11" t="s">
        <v>435</v>
      </c>
      <c r="G124" s="42" t="s">
        <v>435</v>
      </c>
    </row>
    <row r="125" spans="2:7">
      <c r="B125" s="1" t="s">
        <v>323</v>
      </c>
      <c r="C125" s="1"/>
      <c r="D125" s="1"/>
      <c r="E125" s="1"/>
      <c r="F125" s="11" t="s">
        <v>435</v>
      </c>
      <c r="G125" s="42" t="s">
        <v>435</v>
      </c>
    </row>
    <row r="126" spans="2:7">
      <c r="B126" s="1" t="s">
        <v>324</v>
      </c>
      <c r="C126" s="2"/>
      <c r="D126" s="2"/>
      <c r="E126" s="2"/>
      <c r="F126" s="11" t="s">
        <v>435</v>
      </c>
      <c r="G126" s="42" t="s">
        <v>435</v>
      </c>
    </row>
    <row r="127" spans="2:7" ht="15.75" thickBot="1">
      <c r="B127" s="25"/>
      <c r="C127" s="25"/>
      <c r="D127" s="25"/>
      <c r="E127" s="25"/>
      <c r="F127" s="27"/>
      <c r="G127" s="25"/>
    </row>
    <row r="128" spans="2:7">
      <c r="B128" s="5" t="s">
        <v>222</v>
      </c>
      <c r="C128" s="1"/>
      <c r="D128" s="1"/>
      <c r="E128" s="1"/>
      <c r="F128" s="9"/>
      <c r="G128" s="1"/>
    </row>
    <row r="129" spans="2:7">
      <c r="B129" s="5"/>
      <c r="C129" s="1"/>
      <c r="D129" s="1"/>
      <c r="E129" s="1"/>
      <c r="F129" s="9"/>
      <c r="G129" s="1"/>
    </row>
  </sheetData>
  <pageMargins left="0.7" right="0.18" top="0.18" bottom="0.18" header="0.3" footer="0.3"/>
  <pageSetup orientation="portrait" r:id="rId1"/>
</worksheet>
</file>

<file path=xl/worksheets/sheet3.xml><?xml version="1.0" encoding="utf-8"?>
<worksheet xmlns="http://schemas.openxmlformats.org/spreadsheetml/2006/main" xmlns:r="http://schemas.openxmlformats.org/officeDocument/2006/relationships">
  <sheetPr codeName="Sheet26"/>
  <dimension ref="A1:A55"/>
  <sheetViews>
    <sheetView workbookViewId="0"/>
  </sheetViews>
  <sheetFormatPr defaultRowHeight="12.75"/>
  <cols>
    <col min="1" max="1" width="82.28515625" style="183" customWidth="1"/>
    <col min="2" max="16384" width="9.140625" style="182"/>
  </cols>
  <sheetData>
    <row r="1" spans="1:1">
      <c r="A1" s="192" t="str">
        <f>master!B2</f>
        <v>ABC LTD</v>
      </c>
    </row>
    <row r="2" spans="1:1">
      <c r="A2" s="192" t="e">
        <f>CONCATENATE("SCHEDULE - ",'BS (2)'!B45)</f>
        <v>#REF!</v>
      </c>
    </row>
    <row r="3" spans="1:1" ht="25.5">
      <c r="A3" s="185" t="str">
        <f>CONCATENATE("NOTES TO ACCOUNTS FORMING PART OF BALANCE SHEET AS  AT ",master!B18, " AND PROFIT AND LOSS ACCOUNT FOR THE YEAR ENDED ON THAT DATE:")</f>
        <v>NOTES TO ACCOUNTS FORMING PART OF BALANCE SHEET AS  AT 31st MARCH, 2012 AND PROFIT AND LOSS ACCOUNT FOR THE YEAR ENDED ON THAT DATE:</v>
      </c>
    </row>
    <row r="5" spans="1:1">
      <c r="A5" s="192" t="s">
        <v>900</v>
      </c>
    </row>
    <row r="6" spans="1:1">
      <c r="A6" s="183" t="s">
        <v>464</v>
      </c>
    </row>
    <row r="7" spans="1:1">
      <c r="A7" s="185" t="s">
        <v>899</v>
      </c>
    </row>
    <row r="8" spans="1:1" ht="89.25">
      <c r="A8" s="183" t="s">
        <v>898</v>
      </c>
    </row>
    <row r="10" spans="1:1">
      <c r="A10" s="185" t="s">
        <v>897</v>
      </c>
    </row>
    <row r="11" spans="1:1" ht="25.5">
      <c r="A11" s="183" t="s">
        <v>896</v>
      </c>
    </row>
    <row r="13" spans="1:1">
      <c r="A13" s="185" t="s">
        <v>895</v>
      </c>
    </row>
    <row r="14" spans="1:1" ht="25.5">
      <c r="A14" s="183" t="s">
        <v>894</v>
      </c>
    </row>
    <row r="16" spans="1:1">
      <c r="A16" s="185" t="s">
        <v>893</v>
      </c>
    </row>
    <row r="17" spans="1:1">
      <c r="A17" s="183" t="s">
        <v>892</v>
      </c>
    </row>
    <row r="19" spans="1:1">
      <c r="A19" s="185" t="s">
        <v>891</v>
      </c>
    </row>
    <row r="20" spans="1:1" ht="25.5">
      <c r="A20" s="183" t="s">
        <v>890</v>
      </c>
    </row>
    <row r="22" spans="1:1">
      <c r="A22" s="185" t="s">
        <v>889</v>
      </c>
    </row>
    <row r="23" spans="1:1">
      <c r="A23" s="183" t="s">
        <v>888</v>
      </c>
    </row>
    <row r="24" spans="1:1" ht="25.5">
      <c r="A24" s="185" t="s">
        <v>887</v>
      </c>
    </row>
    <row r="25" spans="1:1">
      <c r="A25" s="185"/>
    </row>
    <row r="26" spans="1:1">
      <c r="A26" s="185" t="s">
        <v>886</v>
      </c>
    </row>
    <row r="28" spans="1:1" ht="38.25">
      <c r="A28" s="185" t="s">
        <v>885</v>
      </c>
    </row>
    <row r="29" spans="1:1">
      <c r="A29" s="184" t="s">
        <v>884</v>
      </c>
    </row>
    <row r="31" spans="1:1">
      <c r="A31" s="185" t="str">
        <f>CONCATENATE("iii)     Payment to Auditors:                      ",master!B16,"                           ",master!B17)</f>
        <v>iii)     Payment to Auditors:                      31/03/2012                           31/03/2011</v>
      </c>
    </row>
    <row r="32" spans="1:1">
      <c r="A32" s="183" t="e">
        <f>CONCATENATE("        Audit Fee                                          Rs.",#REF!,"                              ",#REF!)</f>
        <v>#REF!</v>
      </c>
    </row>
    <row r="34" spans="1:1">
      <c r="A34" s="185" t="s">
        <v>883</v>
      </c>
    </row>
    <row r="35" spans="1:1" ht="25.5">
      <c r="A35" s="183" t="s">
        <v>882</v>
      </c>
    </row>
    <row r="37" spans="1:1">
      <c r="A37" s="185" t="s">
        <v>881</v>
      </c>
    </row>
    <row r="38" spans="1:1" ht="25.5">
      <c r="A38" s="183" t="s">
        <v>880</v>
      </c>
    </row>
    <row r="40" spans="1:1">
      <c r="A40" s="183" t="s">
        <v>879</v>
      </c>
    </row>
    <row r="42" spans="1:1">
      <c r="A42" s="183" t="s">
        <v>878</v>
      </c>
    </row>
    <row r="44" spans="1:1">
      <c r="A44" s="183" t="s">
        <v>877</v>
      </c>
    </row>
    <row r="47" spans="1:1">
      <c r="A47" s="185" t="str">
        <f>CONCATENATE("FOR ",master!B2)</f>
        <v>FOR ABC LTD</v>
      </c>
    </row>
    <row r="48" spans="1:1">
      <c r="A48" s="225" t="s">
        <v>876</v>
      </c>
    </row>
    <row r="49" spans="1:1">
      <c r="A49" s="225" t="str">
        <f>CONCATENATE("For ", master!B36)</f>
        <v>For ABC &amp; CO</v>
      </c>
    </row>
    <row r="50" spans="1:1">
      <c r="A50" s="225" t="s">
        <v>776</v>
      </c>
    </row>
    <row r="51" spans="1:1">
      <c r="A51" s="185"/>
    </row>
    <row r="52" spans="1:1">
      <c r="A52" s="185" t="str">
        <f>CONCATENATE("Place : ",master!B45)</f>
        <v>Place : DELHI</v>
      </c>
    </row>
    <row r="53" spans="1:1">
      <c r="A53" s="185" t="str">
        <f>CONCATENATE("Place : ",master!B46)</f>
        <v>Place : 01/09/2012</v>
      </c>
    </row>
    <row r="54" spans="1:1">
      <c r="A54" s="225" t="e">
        <f>CONCATENATE("(Sd- ",master!B42,master!#REF!)</f>
        <v>#REF!</v>
      </c>
    </row>
    <row r="55" spans="1:1">
      <c r="A55" s="225" t="str">
        <f>CONCATENATE("M.N. ",master!B44)</f>
        <v>M.N. DELHI</v>
      </c>
    </row>
  </sheetData>
  <pageMargins left="0.75" right="0.75" top="1" bottom="1" header="0.5" footer="0.5"/>
  <pageSetup orientation="portrait" r:id="rId1"/>
  <headerFooter alignWithMargins="0"/>
</worksheet>
</file>

<file path=xl/worksheets/sheet30.xml><?xml version="1.0" encoding="utf-8"?>
<worksheet xmlns="http://schemas.openxmlformats.org/spreadsheetml/2006/main" xmlns:r="http://schemas.openxmlformats.org/officeDocument/2006/relationships">
  <sheetPr codeName="Sheet16">
    <tabColor rgb="FF92D050"/>
  </sheetPr>
  <dimension ref="B1:G86"/>
  <sheetViews>
    <sheetView workbookViewId="0">
      <selection activeCell="A23" sqref="A23"/>
    </sheetView>
  </sheetViews>
  <sheetFormatPr defaultRowHeight="15"/>
  <cols>
    <col min="1" max="1" width="2.42578125" customWidth="1"/>
    <col min="5" max="5" width="22.7109375" customWidth="1"/>
    <col min="6" max="6" width="20.42578125" customWidth="1"/>
    <col min="7" max="7" width="19.140625" customWidth="1"/>
  </cols>
  <sheetData>
    <row r="1" spans="2:7" ht="18.75">
      <c r="B1" s="126" t="str">
        <f>PL!B1</f>
        <v>ABC LTD</v>
      </c>
      <c r="C1" s="126"/>
      <c r="D1" s="126"/>
      <c r="E1" s="126"/>
      <c r="F1" s="126"/>
      <c r="G1" s="126"/>
    </row>
    <row r="2" spans="2:7" ht="15.75" thickBot="1">
      <c r="B2" s="127" t="str">
        <f>'1'!B2</f>
        <v>Notes to financial statements for the year ended 31/03/2012</v>
      </c>
      <c r="C2" s="127"/>
      <c r="D2" s="127"/>
      <c r="E2" s="127"/>
      <c r="F2" s="127"/>
      <c r="G2" s="127"/>
    </row>
    <row r="4" spans="2:7">
      <c r="B4" s="5"/>
      <c r="C4" s="1"/>
      <c r="D4" s="1"/>
      <c r="E4" s="1"/>
      <c r="F4" s="9"/>
      <c r="G4" s="1"/>
    </row>
    <row r="5" spans="2:7" ht="16.5" thickBot="1">
      <c r="B5" s="36" t="str">
        <f>CONCATENATE(BS!D40,".  LONG TERM LOANS &amp; ADVANCES")</f>
        <v xml:space="preserve"> .  LONG TERM LOANS &amp; ADVANCES</v>
      </c>
      <c r="C5" s="25"/>
      <c r="D5" s="25"/>
      <c r="E5" s="25"/>
      <c r="F5" s="37" t="s">
        <v>94</v>
      </c>
      <c r="G5" s="38" t="s">
        <v>95</v>
      </c>
    </row>
    <row r="6" spans="2:7">
      <c r="B6" s="7" t="s">
        <v>325</v>
      </c>
      <c r="C6" s="1"/>
      <c r="D6" s="1"/>
      <c r="E6" s="1"/>
      <c r="F6" s="9"/>
      <c r="G6" s="1"/>
    </row>
    <row r="7" spans="2:7">
      <c r="B7" s="4" t="s">
        <v>326</v>
      </c>
      <c r="C7" s="1"/>
      <c r="D7" s="1"/>
      <c r="E7" s="1"/>
      <c r="F7" s="39">
        <f>TB!B279</f>
        <v>0</v>
      </c>
      <c r="G7" s="138">
        <f>TB!D279</f>
        <v>0</v>
      </c>
    </row>
    <row r="8" spans="2:7">
      <c r="B8" s="4" t="s">
        <v>327</v>
      </c>
      <c r="C8" s="1"/>
      <c r="D8" s="1"/>
      <c r="E8" s="1"/>
      <c r="F8" s="138">
        <f>TB!B280</f>
        <v>0</v>
      </c>
      <c r="G8" s="138">
        <f>TB!D280</f>
        <v>0</v>
      </c>
    </row>
    <row r="9" spans="2:7">
      <c r="B9" s="4" t="s">
        <v>328</v>
      </c>
      <c r="C9" s="1"/>
      <c r="D9" s="1"/>
      <c r="E9" s="1"/>
      <c r="F9" s="138">
        <f>TB!B281</f>
        <v>0</v>
      </c>
      <c r="G9" s="138">
        <f>TB!D281</f>
        <v>0</v>
      </c>
    </row>
    <row r="10" spans="2:7">
      <c r="B10" s="4" t="s">
        <v>329</v>
      </c>
      <c r="C10" s="1"/>
      <c r="D10" s="1"/>
      <c r="E10" s="1"/>
      <c r="F10" s="138">
        <f>TB!C282</f>
        <v>0</v>
      </c>
      <c r="G10" s="138">
        <f>TB!E282</f>
        <v>0</v>
      </c>
    </row>
    <row r="11" spans="2:7">
      <c r="B11" s="5"/>
      <c r="C11" s="1"/>
      <c r="D11" s="1"/>
      <c r="E11" s="1"/>
      <c r="F11" s="41">
        <f>SUM(F7:F9)-F10</f>
        <v>0</v>
      </c>
      <c r="G11" s="137">
        <f>SUM(G7:G9)-G10</f>
        <v>0</v>
      </c>
    </row>
    <row r="12" spans="2:7">
      <c r="B12" s="5"/>
      <c r="C12" s="1"/>
      <c r="D12" s="1"/>
      <c r="E12" s="1"/>
      <c r="F12" s="9"/>
      <c r="G12" s="1"/>
    </row>
    <row r="13" spans="2:7">
      <c r="B13" s="5" t="s">
        <v>330</v>
      </c>
      <c r="C13" s="1"/>
      <c r="D13" s="1"/>
      <c r="E13" s="1"/>
      <c r="F13" s="138">
        <f>TB!B284</f>
        <v>0</v>
      </c>
      <c r="G13" s="138">
        <f>TB!D284</f>
        <v>0</v>
      </c>
    </row>
    <row r="14" spans="2:7">
      <c r="B14" s="5" t="s">
        <v>331</v>
      </c>
      <c r="C14" s="1"/>
      <c r="D14" s="1"/>
      <c r="E14" s="1"/>
      <c r="F14" s="138">
        <f>TB!B285</f>
        <v>0</v>
      </c>
      <c r="G14" s="138">
        <f>TB!D285</f>
        <v>0</v>
      </c>
    </row>
    <row r="15" spans="2:7">
      <c r="B15" s="5"/>
      <c r="C15" s="1"/>
      <c r="D15" s="1"/>
      <c r="E15" s="1"/>
      <c r="F15" s="9"/>
      <c r="G15" s="1"/>
    </row>
    <row r="16" spans="2:7">
      <c r="B16" s="5" t="s">
        <v>332</v>
      </c>
      <c r="C16" s="1"/>
      <c r="D16" s="1"/>
      <c r="E16" s="1"/>
      <c r="F16" s="9"/>
      <c r="G16" s="1"/>
    </row>
    <row r="17" spans="2:7">
      <c r="B17" s="4" t="s">
        <v>326</v>
      </c>
      <c r="C17" s="1"/>
      <c r="D17" s="1"/>
      <c r="E17" s="1"/>
      <c r="F17" s="138">
        <f>TB!B288</f>
        <v>0</v>
      </c>
      <c r="G17" s="138">
        <f>TB!D288</f>
        <v>0</v>
      </c>
    </row>
    <row r="18" spans="2:7">
      <c r="B18" s="4" t="s">
        <v>327</v>
      </c>
      <c r="C18" s="1"/>
      <c r="D18" s="1"/>
      <c r="E18" s="1"/>
      <c r="F18" s="138">
        <f>TB!B289</f>
        <v>0</v>
      </c>
      <c r="G18" s="138">
        <f>TB!D289</f>
        <v>0</v>
      </c>
    </row>
    <row r="19" spans="2:7">
      <c r="B19" s="4" t="s">
        <v>328</v>
      </c>
      <c r="C19" s="1"/>
      <c r="D19" s="1"/>
      <c r="E19" s="1"/>
      <c r="F19" s="138">
        <f>TB!B290</f>
        <v>0</v>
      </c>
      <c r="G19" s="138">
        <f>TB!D290</f>
        <v>0</v>
      </c>
    </row>
    <row r="20" spans="2:7">
      <c r="B20" s="4" t="s">
        <v>333</v>
      </c>
      <c r="C20" s="1"/>
      <c r="D20" s="1"/>
      <c r="E20" s="1"/>
      <c r="F20" s="138">
        <f>TB!C291</f>
        <v>0</v>
      </c>
      <c r="G20" s="138">
        <f>TB!E291</f>
        <v>0</v>
      </c>
    </row>
    <row r="21" spans="2:7">
      <c r="B21" s="5"/>
      <c r="C21" s="1"/>
      <c r="D21" s="1"/>
      <c r="E21" s="1"/>
      <c r="F21" s="41">
        <f>SUM(F13:F19)-F20</f>
        <v>0</v>
      </c>
      <c r="G21" s="41">
        <f>SUM(G13:G19)-G20</f>
        <v>0</v>
      </c>
    </row>
    <row r="22" spans="2:7">
      <c r="B22" s="5"/>
      <c r="C22" s="1"/>
      <c r="D22" s="1"/>
      <c r="E22" s="1"/>
      <c r="F22" s="9"/>
      <c r="G22" s="1"/>
    </row>
    <row r="23" spans="2:7">
      <c r="B23" s="5" t="s">
        <v>334</v>
      </c>
      <c r="C23" s="1"/>
      <c r="D23" s="1"/>
      <c r="E23" s="1"/>
      <c r="F23" s="9"/>
      <c r="G23" s="1"/>
    </row>
    <row r="24" spans="2:7">
      <c r="B24" s="4" t="s">
        <v>326</v>
      </c>
      <c r="C24" s="1"/>
      <c r="D24" s="1"/>
      <c r="E24" s="1"/>
      <c r="F24" s="138">
        <f>TB!B294</f>
        <v>0</v>
      </c>
      <c r="G24" s="138">
        <f>TB!D294</f>
        <v>0</v>
      </c>
    </row>
    <row r="25" spans="2:7">
      <c r="B25" s="4" t="s">
        <v>327</v>
      </c>
      <c r="C25" s="1"/>
      <c r="D25" s="1"/>
      <c r="E25" s="1"/>
      <c r="F25" s="138">
        <f>TB!B295</f>
        <v>0</v>
      </c>
      <c r="G25" s="138">
        <f>TB!D295</f>
        <v>0</v>
      </c>
    </row>
    <row r="26" spans="2:7">
      <c r="B26" s="4" t="s">
        <v>328</v>
      </c>
      <c r="C26" s="1"/>
      <c r="D26" s="1"/>
      <c r="E26" s="1"/>
      <c r="F26" s="138">
        <f>TB!B296</f>
        <v>0</v>
      </c>
      <c r="G26" s="138">
        <f>TB!D296</f>
        <v>0</v>
      </c>
    </row>
    <row r="27" spans="2:7">
      <c r="B27" s="4" t="s">
        <v>335</v>
      </c>
      <c r="C27" s="1"/>
      <c r="D27" s="1"/>
      <c r="E27" s="1"/>
      <c r="F27" s="138">
        <f>TB!C297</f>
        <v>0</v>
      </c>
      <c r="G27" s="138">
        <f>TB!E297</f>
        <v>0</v>
      </c>
    </row>
    <row r="28" spans="2:7">
      <c r="B28" s="5"/>
      <c r="C28" s="1"/>
      <c r="D28" s="1"/>
      <c r="E28" s="1"/>
      <c r="F28" s="41">
        <f>SUM(F24:F26)-F27</f>
        <v>0</v>
      </c>
      <c r="G28" s="41">
        <f>SUM(G24:G26)-G27</f>
        <v>0</v>
      </c>
    </row>
    <row r="29" spans="2:7">
      <c r="B29" s="5"/>
      <c r="C29" s="1"/>
      <c r="D29" s="1"/>
      <c r="E29" s="1"/>
      <c r="F29" s="9"/>
      <c r="G29" s="1"/>
    </row>
    <row r="30" spans="2:7">
      <c r="B30" s="5" t="s">
        <v>336</v>
      </c>
      <c r="C30" s="1"/>
      <c r="D30" s="1"/>
      <c r="E30" s="1"/>
      <c r="F30" s="9"/>
      <c r="G30" s="1"/>
    </row>
    <row r="31" spans="2:7">
      <c r="B31" s="4" t="s">
        <v>326</v>
      </c>
      <c r="C31" s="1"/>
      <c r="D31" s="1"/>
      <c r="E31" s="1"/>
      <c r="F31" s="138">
        <f>TB!B300</f>
        <v>0</v>
      </c>
      <c r="G31" s="138">
        <f>TB!D300</f>
        <v>0</v>
      </c>
    </row>
    <row r="32" spans="2:7">
      <c r="B32" s="4" t="s">
        <v>327</v>
      </c>
      <c r="C32" s="1"/>
      <c r="D32" s="1"/>
      <c r="E32" s="1"/>
      <c r="F32" s="138">
        <f>TB!B301</f>
        <v>0</v>
      </c>
      <c r="G32" s="138">
        <f>TB!D301</f>
        <v>0</v>
      </c>
    </row>
    <row r="33" spans="2:7">
      <c r="B33" s="4" t="s">
        <v>328</v>
      </c>
      <c r="C33" s="1"/>
      <c r="D33" s="1"/>
      <c r="E33" s="1"/>
      <c r="F33" s="138">
        <f>TB!B302</f>
        <v>0</v>
      </c>
      <c r="G33" s="138">
        <f>TB!D302</f>
        <v>0</v>
      </c>
    </row>
    <row r="34" spans="2:7">
      <c r="B34" s="4" t="s">
        <v>337</v>
      </c>
      <c r="C34" s="1"/>
      <c r="D34" s="1"/>
      <c r="E34" s="1"/>
      <c r="F34" s="138">
        <f>TB!C303</f>
        <v>0</v>
      </c>
      <c r="G34" s="138">
        <f>TB!E303</f>
        <v>0</v>
      </c>
    </row>
    <row r="35" spans="2:7">
      <c r="B35" s="5"/>
      <c r="C35" s="1"/>
      <c r="D35" s="1"/>
      <c r="E35" s="1"/>
      <c r="F35" s="41">
        <f>SUM(F31:F33)-F34</f>
        <v>0</v>
      </c>
      <c r="G35" s="41">
        <f>SUM(G31:G33)-G34</f>
        <v>0</v>
      </c>
    </row>
    <row r="36" spans="2:7">
      <c r="B36" s="5"/>
      <c r="C36" s="1"/>
      <c r="D36" s="1"/>
      <c r="E36" s="1"/>
      <c r="F36" s="9"/>
      <c r="G36" s="1"/>
    </row>
    <row r="37" spans="2:7">
      <c r="B37" s="5" t="s">
        <v>338</v>
      </c>
      <c r="C37" s="1"/>
      <c r="D37" s="1"/>
      <c r="E37" s="1"/>
      <c r="F37" s="9"/>
      <c r="G37" s="1"/>
    </row>
    <row r="38" spans="2:7">
      <c r="B38" s="4" t="s">
        <v>326</v>
      </c>
      <c r="C38" s="1"/>
      <c r="D38" s="1"/>
      <c r="E38" s="1"/>
      <c r="F38" s="138">
        <f>TB!B306</f>
        <v>0</v>
      </c>
      <c r="G38" s="138">
        <f>TB!D306</f>
        <v>0</v>
      </c>
    </row>
    <row r="39" spans="2:7">
      <c r="B39" s="4" t="s">
        <v>327</v>
      </c>
      <c r="C39" s="1"/>
      <c r="D39" s="1"/>
      <c r="E39" s="1"/>
      <c r="F39" s="138">
        <f>TB!B307</f>
        <v>0</v>
      </c>
      <c r="G39" s="138">
        <f>TB!D307</f>
        <v>0</v>
      </c>
    </row>
    <row r="40" spans="2:7">
      <c r="B40" s="4" t="s">
        <v>328</v>
      </c>
      <c r="C40" s="1"/>
      <c r="D40" s="1"/>
      <c r="E40" s="1"/>
      <c r="F40" s="138">
        <f>TB!B308</f>
        <v>0</v>
      </c>
      <c r="G40" s="138">
        <f>TB!D308</f>
        <v>0</v>
      </c>
    </row>
    <row r="41" spans="2:7">
      <c r="B41" s="4" t="s">
        <v>339</v>
      </c>
      <c r="C41" s="1"/>
      <c r="D41" s="1"/>
      <c r="E41" s="1"/>
      <c r="F41" s="138">
        <f>TB!C309</f>
        <v>0</v>
      </c>
      <c r="G41" s="138">
        <f>TB!E309</f>
        <v>0</v>
      </c>
    </row>
    <row r="42" spans="2:7">
      <c r="B42" s="5"/>
      <c r="C42" s="1"/>
      <c r="D42" s="1"/>
      <c r="E42" s="1"/>
      <c r="F42" s="41">
        <f>SUM(F38:F40)-F41</f>
        <v>0</v>
      </c>
      <c r="G42" s="41">
        <f>SUM(G38:G40)-G41</f>
        <v>0</v>
      </c>
    </row>
    <row r="43" spans="2:7">
      <c r="B43" s="5"/>
      <c r="C43" s="1"/>
      <c r="D43" s="1"/>
      <c r="E43" s="1"/>
      <c r="F43" s="9"/>
      <c r="G43" s="1"/>
    </row>
    <row r="44" spans="2:7">
      <c r="B44" s="5" t="s">
        <v>340</v>
      </c>
      <c r="C44" s="1"/>
      <c r="D44" s="1"/>
      <c r="E44" s="1"/>
      <c r="F44" s="9"/>
      <c r="G44" s="1"/>
    </row>
    <row r="45" spans="2:7">
      <c r="B45" s="4" t="s">
        <v>326</v>
      </c>
      <c r="C45" s="1"/>
      <c r="D45" s="1"/>
      <c r="E45" s="1"/>
      <c r="F45" s="138">
        <f>TB!B312</f>
        <v>0</v>
      </c>
      <c r="G45" s="138">
        <f>TB!D312</f>
        <v>0</v>
      </c>
    </row>
    <row r="46" spans="2:7">
      <c r="B46" s="4" t="s">
        <v>327</v>
      </c>
      <c r="C46" s="1"/>
      <c r="D46" s="1"/>
      <c r="E46" s="1"/>
      <c r="F46" s="138">
        <f>TB!B313</f>
        <v>0</v>
      </c>
      <c r="G46" s="138">
        <f>TB!D313</f>
        <v>0</v>
      </c>
    </row>
    <row r="47" spans="2:7">
      <c r="B47" s="4" t="s">
        <v>328</v>
      </c>
      <c r="C47" s="1"/>
      <c r="D47" s="1"/>
      <c r="E47" s="1"/>
      <c r="F47" s="138">
        <f>TB!B314</f>
        <v>0</v>
      </c>
      <c r="G47" s="138">
        <f>TB!D314</f>
        <v>0</v>
      </c>
    </row>
    <row r="48" spans="2:7">
      <c r="B48" s="4" t="s">
        <v>341</v>
      </c>
      <c r="C48" s="1"/>
      <c r="D48" s="1"/>
      <c r="E48" s="1"/>
      <c r="F48" s="138">
        <f>TB!C315</f>
        <v>0</v>
      </c>
      <c r="G48" s="138">
        <f>TB!E315</f>
        <v>0</v>
      </c>
    </row>
    <row r="49" spans="2:7">
      <c r="B49" s="5"/>
      <c r="C49" s="1"/>
      <c r="D49" s="1"/>
      <c r="E49" s="1"/>
      <c r="F49" s="41">
        <f>SUM(F45:F47)-F48</f>
        <v>0</v>
      </c>
      <c r="G49" s="41">
        <f>SUM(G45:G47)-G48</f>
        <v>0</v>
      </c>
    </row>
    <row r="50" spans="2:7">
      <c r="B50" s="5"/>
      <c r="C50" s="1"/>
      <c r="D50" s="1"/>
      <c r="E50" s="1"/>
      <c r="F50" s="9"/>
      <c r="G50" s="1"/>
    </row>
    <row r="51" spans="2:7">
      <c r="B51" s="5" t="s">
        <v>342</v>
      </c>
      <c r="C51" s="1"/>
      <c r="D51" s="1"/>
      <c r="E51" s="1"/>
      <c r="F51" s="9"/>
      <c r="G51" s="1"/>
    </row>
    <row r="52" spans="2:7">
      <c r="B52" s="4" t="s">
        <v>326</v>
      </c>
      <c r="C52" s="1"/>
      <c r="D52" s="1"/>
      <c r="E52" s="1"/>
      <c r="F52" s="138">
        <f>TB!B318</f>
        <v>0</v>
      </c>
      <c r="G52" s="138">
        <f>TB!D318</f>
        <v>0</v>
      </c>
    </row>
    <row r="53" spans="2:7">
      <c r="B53" s="4" t="s">
        <v>327</v>
      </c>
      <c r="C53" s="1"/>
      <c r="D53" s="1"/>
      <c r="E53" s="1"/>
      <c r="F53" s="138">
        <f>TB!B319</f>
        <v>0</v>
      </c>
      <c r="G53" s="138">
        <f>TB!D319</f>
        <v>0</v>
      </c>
    </row>
    <row r="54" spans="2:7">
      <c r="B54" s="4" t="s">
        <v>328</v>
      </c>
      <c r="C54" s="1"/>
      <c r="D54" s="1"/>
      <c r="E54" s="1"/>
      <c r="F54" s="138">
        <f>TB!B320</f>
        <v>0</v>
      </c>
      <c r="G54" s="138">
        <f>TB!D320</f>
        <v>0</v>
      </c>
    </row>
    <row r="55" spans="2:7">
      <c r="B55" s="4" t="s">
        <v>343</v>
      </c>
      <c r="C55" s="1"/>
      <c r="D55" s="1"/>
      <c r="E55" s="1"/>
      <c r="F55" s="138">
        <f>TB!C321</f>
        <v>0</v>
      </c>
      <c r="G55" s="138">
        <f>TB!E321</f>
        <v>0</v>
      </c>
    </row>
    <row r="56" spans="2:7">
      <c r="B56" s="5"/>
      <c r="C56" s="1"/>
      <c r="D56" s="1"/>
      <c r="E56" s="1"/>
      <c r="F56" s="41">
        <f>SUM(F52:F54)-F55</f>
        <v>0</v>
      </c>
      <c r="G56" s="41">
        <f>SUM(G52:G54)-G55</f>
        <v>0</v>
      </c>
    </row>
    <row r="57" spans="2:7">
      <c r="B57" s="5"/>
      <c r="C57" s="1"/>
      <c r="D57" s="1"/>
      <c r="E57" s="1"/>
      <c r="F57" s="9"/>
      <c r="G57" s="1"/>
    </row>
    <row r="58" spans="2:7">
      <c r="B58" s="5" t="s">
        <v>344</v>
      </c>
      <c r="C58" s="1"/>
      <c r="D58" s="1"/>
      <c r="E58" s="1"/>
      <c r="F58" s="9"/>
      <c r="G58" s="1"/>
    </row>
    <row r="59" spans="2:7">
      <c r="B59" s="4" t="s">
        <v>326</v>
      </c>
      <c r="C59" s="1"/>
      <c r="D59" s="1"/>
      <c r="E59" s="1"/>
      <c r="F59" s="138">
        <f>TB!B324</f>
        <v>0</v>
      </c>
      <c r="G59" s="138">
        <f>TB!D324</f>
        <v>0</v>
      </c>
    </row>
    <row r="60" spans="2:7">
      <c r="B60" s="4" t="s">
        <v>327</v>
      </c>
      <c r="C60" s="1"/>
      <c r="D60" s="1"/>
      <c r="E60" s="1"/>
      <c r="F60" s="138">
        <f>TB!B325</f>
        <v>0</v>
      </c>
      <c r="G60" s="138">
        <f>TB!D325</f>
        <v>0</v>
      </c>
    </row>
    <row r="61" spans="2:7">
      <c r="B61" s="4" t="s">
        <v>328</v>
      </c>
      <c r="C61" s="1"/>
      <c r="D61" s="1"/>
      <c r="E61" s="1"/>
      <c r="F61" s="138">
        <f>TB!B326</f>
        <v>0</v>
      </c>
      <c r="G61" s="138">
        <f>TB!D326</f>
        <v>0</v>
      </c>
    </row>
    <row r="62" spans="2:7">
      <c r="B62" s="4" t="s">
        <v>345</v>
      </c>
      <c r="C62" s="1"/>
      <c r="D62" s="1"/>
      <c r="E62" s="1"/>
      <c r="F62" s="138">
        <f>TB!C327</f>
        <v>0</v>
      </c>
      <c r="G62" s="138">
        <f>TB!E327</f>
        <v>0</v>
      </c>
    </row>
    <row r="63" spans="2:7">
      <c r="B63" s="5"/>
      <c r="C63" s="1"/>
      <c r="D63" s="1"/>
      <c r="E63" s="1"/>
      <c r="F63" s="41">
        <f>SUM(F59:F61)-F62</f>
        <v>0</v>
      </c>
      <c r="G63" s="41">
        <f>SUM(G59:G61)-G62</f>
        <v>0</v>
      </c>
    </row>
    <row r="64" spans="2:7">
      <c r="B64" s="5"/>
      <c r="C64" s="1"/>
      <c r="D64" s="1"/>
      <c r="E64" s="1"/>
      <c r="F64" s="9"/>
      <c r="G64" s="1"/>
    </row>
    <row r="65" spans="2:7">
      <c r="B65" s="5" t="s">
        <v>346</v>
      </c>
      <c r="C65" s="1"/>
      <c r="D65" s="1"/>
      <c r="E65" s="1"/>
      <c r="F65" s="9"/>
      <c r="G65" s="1"/>
    </row>
    <row r="66" spans="2:7">
      <c r="B66" s="4" t="s">
        <v>326</v>
      </c>
      <c r="C66" s="1"/>
      <c r="D66" s="1"/>
      <c r="E66" s="1"/>
      <c r="F66" s="138">
        <f>TB!B330</f>
        <v>0</v>
      </c>
      <c r="G66" s="138">
        <f>TB!D330</f>
        <v>0</v>
      </c>
    </row>
    <row r="67" spans="2:7">
      <c r="B67" s="4" t="s">
        <v>327</v>
      </c>
      <c r="C67" s="1"/>
      <c r="D67" s="1"/>
      <c r="E67" s="1"/>
      <c r="F67" s="138">
        <f>TB!B331</f>
        <v>0</v>
      </c>
      <c r="G67" s="138">
        <f>TB!D331</f>
        <v>0</v>
      </c>
    </row>
    <row r="68" spans="2:7">
      <c r="B68" s="4" t="s">
        <v>328</v>
      </c>
      <c r="C68" s="1"/>
      <c r="D68" s="1"/>
      <c r="E68" s="1"/>
      <c r="F68" s="138">
        <f>TB!B332</f>
        <v>0</v>
      </c>
      <c r="G68" s="138">
        <f>TB!D332</f>
        <v>0</v>
      </c>
    </row>
    <row r="69" spans="2:7">
      <c r="B69" s="4" t="s">
        <v>347</v>
      </c>
      <c r="C69" s="1"/>
      <c r="D69" s="1"/>
      <c r="E69" s="1"/>
      <c r="F69" s="138">
        <f>TB!C333</f>
        <v>0</v>
      </c>
      <c r="G69" s="138">
        <f>TB!E333</f>
        <v>0</v>
      </c>
    </row>
    <row r="70" spans="2:7">
      <c r="B70" s="5"/>
      <c r="C70" s="1"/>
      <c r="D70" s="1"/>
      <c r="E70" s="1"/>
      <c r="F70" s="41">
        <f>SUM(F66:F68)-F69</f>
        <v>0</v>
      </c>
      <c r="G70" s="41">
        <f>SUM(G66:G68)-G69</f>
        <v>0</v>
      </c>
    </row>
    <row r="71" spans="2:7">
      <c r="B71" s="5"/>
      <c r="C71" s="1"/>
      <c r="D71" s="1"/>
      <c r="E71" s="1"/>
      <c r="F71" s="9"/>
      <c r="G71" s="1"/>
    </row>
    <row r="72" spans="2:7" ht="15.75" thickBot="1">
      <c r="B72" s="44"/>
      <c r="C72" s="44"/>
      <c r="D72" s="44"/>
      <c r="E72" s="44"/>
      <c r="F72" s="46">
        <f>F11+F21+F28+F35+F42+F49+F56+F63+F70</f>
        <v>0</v>
      </c>
      <c r="G72" s="160">
        <f>G11+G21+G28+G35+G42+G49+G56+G63+G70</f>
        <v>0</v>
      </c>
    </row>
    <row r="73" spans="2:7">
      <c r="B73" s="7"/>
      <c r="C73" s="1"/>
      <c r="D73" s="1"/>
      <c r="E73" s="1"/>
      <c r="F73" s="9"/>
      <c r="G73" s="1"/>
    </row>
    <row r="74" spans="2:7">
      <c r="B74" s="7"/>
      <c r="C74" s="1"/>
      <c r="D74" s="1"/>
      <c r="E74" s="1"/>
      <c r="F74" s="9"/>
      <c r="G74" s="1"/>
    </row>
    <row r="75" spans="2:7">
      <c r="B75" s="7" t="s">
        <v>348</v>
      </c>
      <c r="C75" s="1"/>
      <c r="D75" s="1"/>
      <c r="E75" s="1"/>
      <c r="F75" s="9"/>
      <c r="G75" s="1"/>
    </row>
    <row r="76" spans="2:7" ht="15.75" thickBot="1">
      <c r="B76" s="7"/>
      <c r="C76" s="1"/>
      <c r="D76" s="1"/>
      <c r="E76" s="1"/>
      <c r="F76" s="37" t="s">
        <v>94</v>
      </c>
      <c r="G76" s="38" t="s">
        <v>95</v>
      </c>
    </row>
    <row r="77" spans="2:7">
      <c r="B77" s="1" t="s">
        <v>349</v>
      </c>
      <c r="C77" s="1"/>
      <c r="D77" s="1"/>
      <c r="E77" s="1"/>
      <c r="F77" s="9"/>
      <c r="G77" s="1"/>
    </row>
    <row r="78" spans="2:7">
      <c r="B78" s="1" t="s">
        <v>350</v>
      </c>
      <c r="C78" s="1"/>
      <c r="D78" s="1"/>
      <c r="E78" s="1"/>
      <c r="F78" s="9"/>
      <c r="G78" s="1"/>
    </row>
    <row r="79" spans="2:7">
      <c r="B79" s="1" t="s">
        <v>351</v>
      </c>
      <c r="C79" s="1"/>
      <c r="D79" s="1"/>
      <c r="E79" s="1"/>
      <c r="F79" s="9"/>
      <c r="G79" s="1"/>
    </row>
    <row r="80" spans="2:7">
      <c r="B80" s="1" t="s">
        <v>352</v>
      </c>
      <c r="C80" s="1"/>
      <c r="D80" s="1"/>
      <c r="E80" s="1"/>
      <c r="F80" s="9"/>
      <c r="G80" s="1"/>
    </row>
    <row r="81" spans="2:7">
      <c r="B81" s="1" t="s">
        <v>353</v>
      </c>
      <c r="C81" s="1"/>
      <c r="D81" s="1"/>
      <c r="E81" s="1"/>
      <c r="F81" s="9"/>
      <c r="G81" s="1"/>
    </row>
    <row r="82" spans="2:7">
      <c r="B82" s="1" t="s">
        <v>354</v>
      </c>
      <c r="C82" s="1"/>
      <c r="D82" s="1"/>
      <c r="E82" s="1"/>
      <c r="F82" s="9"/>
      <c r="G82" s="1"/>
    </row>
    <row r="83" spans="2:7">
      <c r="B83" s="7"/>
      <c r="C83" s="1"/>
      <c r="D83" s="1"/>
      <c r="E83" s="1"/>
      <c r="F83" s="9"/>
      <c r="G83" s="1"/>
    </row>
    <row r="84" spans="2:7">
      <c r="B84" s="7" t="s">
        <v>285</v>
      </c>
      <c r="C84" s="1"/>
      <c r="D84" s="1"/>
      <c r="E84" s="1"/>
      <c r="F84" s="9"/>
      <c r="G84" s="1"/>
    </row>
    <row r="85" spans="2:7">
      <c r="B85" s="7"/>
      <c r="C85" s="1"/>
      <c r="D85" s="1"/>
      <c r="E85" s="1"/>
      <c r="F85" s="9"/>
      <c r="G85" s="1"/>
    </row>
    <row r="86" spans="2:7">
      <c r="B86" s="7"/>
      <c r="C86" s="1"/>
      <c r="D86" s="1"/>
      <c r="E86" s="1"/>
      <c r="F86" s="9"/>
      <c r="G86" s="1"/>
    </row>
  </sheetData>
  <pageMargins left="0.21" right="0.18" top="0.18" bottom="0.18" header="0.18" footer="0.3"/>
  <pageSetup orientation="portrait" r:id="rId1"/>
</worksheet>
</file>

<file path=xl/worksheets/sheet31.xml><?xml version="1.0" encoding="utf-8"?>
<worksheet xmlns="http://schemas.openxmlformats.org/spreadsheetml/2006/main" xmlns:r="http://schemas.openxmlformats.org/officeDocument/2006/relationships">
  <sheetPr codeName="Sheet17">
    <tabColor rgb="FF92D050"/>
  </sheetPr>
  <dimension ref="B1:H29"/>
  <sheetViews>
    <sheetView workbookViewId="0"/>
  </sheetViews>
  <sheetFormatPr defaultRowHeight="15"/>
  <cols>
    <col min="6" max="6" width="21" customWidth="1"/>
    <col min="7" max="7" width="14.28515625" customWidth="1"/>
    <col min="8" max="9" width="15.5703125" customWidth="1"/>
  </cols>
  <sheetData>
    <row r="1" spans="2:8" ht="18.75">
      <c r="B1" s="126" t="str">
        <f>PL!B1</f>
        <v>ABC LTD</v>
      </c>
      <c r="C1" s="126"/>
      <c r="D1" s="126"/>
      <c r="E1" s="126"/>
      <c r="F1" s="126"/>
      <c r="G1" s="126"/>
    </row>
    <row r="2" spans="2:8" ht="15.75" thickBot="1">
      <c r="B2" s="127" t="str">
        <f>'1'!B2</f>
        <v>Notes to financial statements for the year ended 31/03/2012</v>
      </c>
      <c r="C2" s="127"/>
      <c r="D2" s="127"/>
      <c r="E2" s="127"/>
      <c r="F2" s="127"/>
      <c r="G2" s="127"/>
      <c r="H2" s="127"/>
    </row>
    <row r="5" spans="2:8" ht="16.5" thickBot="1">
      <c r="B5" s="36" t="str">
        <f>CONCATENATE(BS!D41,".  OTHER NON-CURRENT ASSETS")</f>
        <v xml:space="preserve"> .  OTHER NON-CURRENT ASSETS</v>
      </c>
      <c r="C5" s="25"/>
      <c r="D5" s="25"/>
      <c r="E5" s="25"/>
      <c r="F5" s="25"/>
      <c r="G5" s="37" t="s">
        <v>94</v>
      </c>
      <c r="H5" s="38" t="s">
        <v>95</v>
      </c>
    </row>
    <row r="6" spans="2:8">
      <c r="B6" s="7" t="s">
        <v>355</v>
      </c>
      <c r="C6" s="1"/>
      <c r="D6" s="1"/>
      <c r="E6" s="1"/>
      <c r="F6" s="1"/>
      <c r="G6" s="9"/>
      <c r="H6" s="1"/>
    </row>
    <row r="7" spans="2:8">
      <c r="B7" s="4" t="s">
        <v>326</v>
      </c>
      <c r="C7" s="1"/>
      <c r="D7" s="1"/>
      <c r="E7" s="1"/>
      <c r="F7" s="1"/>
      <c r="G7" s="39">
        <f>TB!B338</f>
        <v>0</v>
      </c>
      <c r="H7" s="138">
        <f>TB!D338</f>
        <v>0</v>
      </c>
    </row>
    <row r="8" spans="2:8">
      <c r="B8" s="4" t="s">
        <v>327</v>
      </c>
      <c r="C8" s="1"/>
      <c r="D8" s="1"/>
      <c r="E8" s="1"/>
      <c r="F8" s="1"/>
      <c r="G8" s="138">
        <f>TB!B339</f>
        <v>0</v>
      </c>
      <c r="H8" s="138">
        <f>TB!D339</f>
        <v>0</v>
      </c>
    </row>
    <row r="9" spans="2:8">
      <c r="B9" s="4" t="s">
        <v>328</v>
      </c>
      <c r="C9" s="1"/>
      <c r="D9" s="1"/>
      <c r="E9" s="1"/>
      <c r="F9" s="1"/>
      <c r="G9" s="138">
        <f>TB!B340</f>
        <v>0</v>
      </c>
      <c r="H9" s="138">
        <f>TB!D340</f>
        <v>0</v>
      </c>
    </row>
    <row r="10" spans="2:8">
      <c r="B10" s="4" t="s">
        <v>356</v>
      </c>
      <c r="C10" s="1"/>
      <c r="D10" s="1"/>
      <c r="E10" s="1"/>
      <c r="F10" s="1"/>
      <c r="G10" s="138">
        <f>TB!C341</f>
        <v>0</v>
      </c>
      <c r="H10" s="138">
        <f>TB!E341</f>
        <v>0</v>
      </c>
    </row>
    <row r="11" spans="2:8">
      <c r="B11" s="5"/>
      <c r="C11" s="1"/>
      <c r="D11" s="1"/>
      <c r="E11" s="1"/>
      <c r="F11" s="1"/>
      <c r="G11" s="41">
        <f>SUM(G7:G9)-G10</f>
        <v>0</v>
      </c>
      <c r="H11" s="137">
        <f>SUM(H7:H9)-H10</f>
        <v>0</v>
      </c>
    </row>
    <row r="12" spans="2:8">
      <c r="B12" s="7"/>
      <c r="C12" s="1"/>
      <c r="D12" s="1"/>
      <c r="E12" s="1"/>
      <c r="F12" s="1"/>
      <c r="G12" s="9"/>
      <c r="H12" s="1"/>
    </row>
    <row r="13" spans="2:8">
      <c r="B13" s="7" t="s">
        <v>357</v>
      </c>
      <c r="C13" s="1"/>
      <c r="D13" s="1"/>
      <c r="E13" s="1"/>
      <c r="F13" s="1"/>
      <c r="G13" s="138">
        <f>TB!B343</f>
        <v>0</v>
      </c>
      <c r="H13" s="138">
        <f>TB!D343</f>
        <v>0</v>
      </c>
    </row>
    <row r="14" spans="2:8">
      <c r="B14" s="7"/>
      <c r="C14" s="1"/>
      <c r="D14" s="1"/>
      <c r="E14" s="1"/>
      <c r="F14" s="1"/>
      <c r="G14" s="9"/>
      <c r="H14" s="1"/>
    </row>
    <row r="15" spans="2:8" ht="15.75" thickBot="1">
      <c r="B15" s="44"/>
      <c r="C15" s="44"/>
      <c r="D15" s="44"/>
      <c r="E15" s="44"/>
      <c r="F15" s="44"/>
      <c r="G15" s="46">
        <f>G13+G11</f>
        <v>0</v>
      </c>
      <c r="H15" s="46">
        <f>H13+H11</f>
        <v>0</v>
      </c>
    </row>
    <row r="16" spans="2:8">
      <c r="B16" s="7"/>
      <c r="C16" s="1"/>
      <c r="D16" s="1"/>
      <c r="E16" s="1"/>
      <c r="F16" s="1"/>
      <c r="G16" s="9"/>
      <c r="H16" s="1"/>
    </row>
    <row r="17" spans="2:8">
      <c r="B17" s="7"/>
      <c r="C17" s="1"/>
      <c r="D17" s="1"/>
      <c r="E17" s="1"/>
      <c r="F17" s="1"/>
      <c r="G17" s="9"/>
      <c r="H17" s="1"/>
    </row>
    <row r="18" spans="2:8">
      <c r="B18" s="7" t="s">
        <v>358</v>
      </c>
      <c r="C18" s="1"/>
      <c r="D18" s="1"/>
      <c r="E18" s="1"/>
      <c r="F18" s="1"/>
      <c r="G18" s="9"/>
      <c r="H18" s="1"/>
    </row>
    <row r="19" spans="2:8" ht="15.75" thickBot="1">
      <c r="B19" s="7"/>
      <c r="C19" s="1"/>
      <c r="D19" s="1"/>
      <c r="E19" s="1"/>
      <c r="F19" s="1"/>
      <c r="G19" s="37" t="s">
        <v>94</v>
      </c>
      <c r="H19" s="38" t="s">
        <v>95</v>
      </c>
    </row>
    <row r="20" spans="2:8">
      <c r="B20" s="1" t="s">
        <v>349</v>
      </c>
      <c r="C20" s="1"/>
      <c r="D20" s="1"/>
      <c r="E20" s="1"/>
      <c r="F20" s="1"/>
      <c r="G20" s="9"/>
      <c r="H20" s="1"/>
    </row>
    <row r="21" spans="2:8">
      <c r="B21" s="1" t="s">
        <v>350</v>
      </c>
      <c r="C21" s="1"/>
      <c r="D21" s="1"/>
      <c r="E21" s="1"/>
      <c r="F21" s="1"/>
      <c r="G21" s="9"/>
      <c r="H21" s="1"/>
    </row>
    <row r="22" spans="2:8">
      <c r="B22" s="1" t="s">
        <v>351</v>
      </c>
      <c r="C22" s="1"/>
      <c r="D22" s="1"/>
      <c r="E22" s="1"/>
      <c r="F22" s="1"/>
      <c r="G22" s="9"/>
      <c r="H22" s="1"/>
    </row>
    <row r="23" spans="2:8">
      <c r="B23" s="1" t="s">
        <v>352</v>
      </c>
      <c r="C23" s="1"/>
      <c r="D23" s="1"/>
      <c r="E23" s="1"/>
      <c r="F23" s="1"/>
      <c r="G23" s="9"/>
      <c r="H23" s="1"/>
    </row>
    <row r="24" spans="2:8">
      <c r="B24" s="1" t="s">
        <v>353</v>
      </c>
      <c r="C24" s="1"/>
      <c r="D24" s="1"/>
      <c r="E24" s="1"/>
      <c r="F24" s="1"/>
      <c r="G24" s="9"/>
      <c r="H24" s="1"/>
    </row>
    <row r="25" spans="2:8">
      <c r="B25" s="1" t="s">
        <v>354</v>
      </c>
      <c r="C25" s="1"/>
      <c r="D25" s="1"/>
      <c r="E25" s="1"/>
      <c r="F25" s="1"/>
      <c r="G25" s="9"/>
      <c r="H25" s="1"/>
    </row>
    <row r="26" spans="2:8">
      <c r="B26" s="7"/>
      <c r="C26" s="1"/>
      <c r="D26" s="1"/>
      <c r="E26" s="1"/>
      <c r="F26" s="1"/>
      <c r="G26" s="9"/>
      <c r="H26" s="1"/>
    </row>
    <row r="27" spans="2:8">
      <c r="B27" s="7" t="s">
        <v>285</v>
      </c>
      <c r="C27" s="1"/>
      <c r="D27" s="1"/>
      <c r="E27" s="1"/>
      <c r="F27" s="1"/>
      <c r="G27" s="9"/>
      <c r="H27" s="1"/>
    </row>
    <row r="28" spans="2:8">
      <c r="B28" s="7"/>
      <c r="C28" s="1"/>
      <c r="D28" s="1"/>
      <c r="E28" s="1"/>
      <c r="F28" s="1"/>
      <c r="G28" s="9"/>
      <c r="H28" s="1"/>
    </row>
    <row r="29" spans="2:8">
      <c r="B29" s="7"/>
      <c r="C29" s="1"/>
      <c r="D29" s="1"/>
      <c r="E29" s="1"/>
      <c r="F29" s="1"/>
      <c r="G29" s="9"/>
      <c r="H29" s="1"/>
    </row>
  </sheetData>
  <pageMargins left="0.45" right="0.2" top="0.75" bottom="0.75" header="0.3" footer="0.3"/>
  <pageSetup orientation="portrait" r:id="rId1"/>
</worksheet>
</file>

<file path=xl/worksheets/sheet32.xml><?xml version="1.0" encoding="utf-8"?>
<worksheet xmlns="http://schemas.openxmlformats.org/spreadsheetml/2006/main" xmlns:r="http://schemas.openxmlformats.org/officeDocument/2006/relationships">
  <sheetPr codeName="Sheet18">
    <tabColor rgb="FF92D050"/>
  </sheetPr>
  <dimension ref="B1:G82"/>
  <sheetViews>
    <sheetView topLeftCell="A100" workbookViewId="0">
      <selection activeCell="A100" sqref="A100"/>
    </sheetView>
  </sheetViews>
  <sheetFormatPr defaultRowHeight="15"/>
  <cols>
    <col min="2" max="2" width="21.85546875" customWidth="1"/>
    <col min="5" max="5" width="18.85546875" customWidth="1"/>
    <col min="6" max="7" width="18.42578125" customWidth="1"/>
  </cols>
  <sheetData>
    <row r="1" spans="2:7" ht="18.75">
      <c r="B1" s="126" t="str">
        <f>PL!B1</f>
        <v>ABC LTD</v>
      </c>
      <c r="C1" s="126"/>
      <c r="D1" s="126"/>
      <c r="E1" s="126"/>
      <c r="F1" s="126"/>
    </row>
    <row r="2" spans="2:7" ht="15.75" thickBot="1">
      <c r="B2" s="127" t="str">
        <f>'1'!B2</f>
        <v>Notes to financial statements for the year ended 31/03/2012</v>
      </c>
      <c r="C2" s="127"/>
      <c r="D2" s="127"/>
      <c r="E2" s="127"/>
      <c r="F2" s="127"/>
    </row>
    <row r="5" spans="2:7" ht="16.5" thickBot="1">
      <c r="B5" s="36" t="str">
        <f>CONCATENATE(BS!D44,".  CURRENT INVESTMENTS")</f>
        <v xml:space="preserve"> .  CURRENT INVESTMENTS</v>
      </c>
      <c r="C5" s="25"/>
      <c r="D5" s="25"/>
      <c r="E5" s="37" t="s">
        <v>94</v>
      </c>
      <c r="F5" s="38" t="s">
        <v>94</v>
      </c>
      <c r="G5" s="2"/>
    </row>
    <row r="6" spans="2:7">
      <c r="B6" s="8" t="s">
        <v>302</v>
      </c>
      <c r="C6" s="2"/>
      <c r="D6" s="2"/>
      <c r="E6" s="6"/>
      <c r="F6" s="16"/>
    </row>
    <row r="7" spans="2:7">
      <c r="B7" s="82" t="s">
        <v>316</v>
      </c>
      <c r="C7" s="2"/>
      <c r="D7" s="2"/>
      <c r="E7" s="4"/>
      <c r="F7" s="2"/>
    </row>
    <row r="8" spans="2:7">
      <c r="B8" s="23" t="s">
        <v>120</v>
      </c>
      <c r="C8" s="2"/>
      <c r="D8" s="2"/>
      <c r="E8" s="39">
        <f>TB!B349</f>
        <v>0</v>
      </c>
      <c r="F8" s="138">
        <f>TB!D349</f>
        <v>0</v>
      </c>
    </row>
    <row r="9" spans="2:7">
      <c r="B9" s="83"/>
      <c r="C9" s="2"/>
      <c r="D9" s="2"/>
      <c r="E9" s="6"/>
      <c r="F9" s="16"/>
    </row>
    <row r="10" spans="2:7">
      <c r="B10" s="82" t="s">
        <v>305</v>
      </c>
      <c r="C10" s="2"/>
      <c r="D10" s="2"/>
      <c r="E10" s="4"/>
      <c r="F10" s="2"/>
    </row>
    <row r="11" spans="2:7">
      <c r="B11" s="23" t="s">
        <v>438</v>
      </c>
      <c r="C11" s="2"/>
      <c r="D11" s="2"/>
      <c r="E11" s="138">
        <f>TB!B352</f>
        <v>0</v>
      </c>
      <c r="F11" s="138">
        <f>TB!D352</f>
        <v>0</v>
      </c>
    </row>
    <row r="12" spans="2:7">
      <c r="B12" s="83"/>
      <c r="C12" s="2"/>
      <c r="D12" s="2"/>
      <c r="E12" s="6"/>
      <c r="F12" s="16"/>
    </row>
    <row r="13" spans="2:7">
      <c r="B13" s="82" t="s">
        <v>306</v>
      </c>
      <c r="C13" s="2"/>
      <c r="D13" s="2"/>
      <c r="E13" s="4"/>
      <c r="F13" s="2"/>
    </row>
    <row r="14" spans="2:7">
      <c r="B14" s="23" t="s">
        <v>436</v>
      </c>
      <c r="C14" s="2"/>
      <c r="D14" s="2"/>
      <c r="E14" s="138">
        <f>TB!B355</f>
        <v>0</v>
      </c>
      <c r="F14" s="138">
        <f>TB!D355</f>
        <v>0</v>
      </c>
    </row>
    <row r="15" spans="2:7">
      <c r="B15" s="83"/>
      <c r="C15" s="2"/>
      <c r="D15" s="2"/>
      <c r="E15" s="6"/>
      <c r="F15" s="16"/>
    </row>
    <row r="16" spans="2:7">
      <c r="B16" s="82" t="s">
        <v>307</v>
      </c>
      <c r="C16" s="2"/>
      <c r="D16" s="2"/>
      <c r="E16" s="4"/>
      <c r="F16" s="2"/>
    </row>
    <row r="17" spans="2:6">
      <c r="B17" s="23" t="s">
        <v>437</v>
      </c>
      <c r="C17" s="2"/>
      <c r="D17" s="2"/>
      <c r="E17" s="138">
        <f>TB!B358</f>
        <v>0</v>
      </c>
      <c r="F17" s="138">
        <f>TB!D358</f>
        <v>0</v>
      </c>
    </row>
    <row r="18" spans="2:6">
      <c r="B18" s="83"/>
      <c r="C18" s="2"/>
      <c r="D18" s="2"/>
      <c r="E18" s="6"/>
      <c r="F18" s="16"/>
    </row>
    <row r="19" spans="2:6">
      <c r="B19" s="82" t="s">
        <v>308</v>
      </c>
      <c r="C19" s="2"/>
      <c r="D19" s="2"/>
      <c r="E19" s="4"/>
      <c r="F19" s="2"/>
    </row>
    <row r="20" spans="2:6">
      <c r="B20" s="23" t="s">
        <v>439</v>
      </c>
      <c r="C20" s="2"/>
      <c r="D20" s="2"/>
      <c r="E20" s="138">
        <f>TB!B361</f>
        <v>0</v>
      </c>
      <c r="F20" s="138">
        <f>TB!D361</f>
        <v>0</v>
      </c>
    </row>
    <row r="21" spans="2:6">
      <c r="B21" s="8"/>
      <c r="C21" s="2"/>
      <c r="D21" s="2"/>
      <c r="E21" s="6"/>
      <c r="F21" s="16"/>
    </row>
    <row r="22" spans="2:6">
      <c r="B22" s="71" t="s">
        <v>311</v>
      </c>
      <c r="C22" s="2"/>
      <c r="D22" s="2"/>
      <c r="E22" s="17"/>
      <c r="F22" s="3"/>
    </row>
    <row r="23" spans="2:6">
      <c r="B23" s="23" t="s">
        <v>440</v>
      </c>
      <c r="C23" s="2"/>
      <c r="D23" s="2"/>
      <c r="E23" s="138">
        <f>TB!B364</f>
        <v>0</v>
      </c>
      <c r="F23" s="138">
        <f>TB!D364</f>
        <v>0</v>
      </c>
    </row>
    <row r="24" spans="2:6">
      <c r="B24" s="83"/>
      <c r="C24" s="2"/>
      <c r="D24" s="2"/>
      <c r="E24" s="6"/>
      <c r="F24" s="16"/>
    </row>
    <row r="25" spans="2:6">
      <c r="B25" s="71" t="s">
        <v>312</v>
      </c>
      <c r="C25" s="2"/>
      <c r="D25" s="2"/>
      <c r="E25" s="39"/>
      <c r="F25" s="42"/>
    </row>
    <row r="26" spans="2:6">
      <c r="B26" s="23" t="s">
        <v>441</v>
      </c>
      <c r="C26" s="2"/>
      <c r="D26" s="2"/>
      <c r="E26" s="138">
        <f>TB!B367</f>
        <v>0</v>
      </c>
      <c r="F26" s="138">
        <f>TB!D367</f>
        <v>0</v>
      </c>
    </row>
    <row r="27" spans="2:6">
      <c r="B27" s="78"/>
      <c r="C27" s="2"/>
      <c r="D27" s="2"/>
      <c r="E27" s="39"/>
      <c r="F27" s="42"/>
    </row>
    <row r="28" spans="2:6">
      <c r="B28" s="71" t="s">
        <v>313</v>
      </c>
      <c r="C28" s="2"/>
      <c r="D28" s="2"/>
      <c r="E28" s="39"/>
      <c r="F28" s="42"/>
    </row>
    <row r="29" spans="2:6">
      <c r="B29" s="23" t="s">
        <v>442</v>
      </c>
      <c r="C29" s="2"/>
      <c r="D29" s="2"/>
      <c r="E29" s="138">
        <f>TB!B370</f>
        <v>0</v>
      </c>
      <c r="F29" s="138">
        <f>TB!D370</f>
        <v>0</v>
      </c>
    </row>
    <row r="30" spans="2:6">
      <c r="B30" s="78"/>
      <c r="C30" s="2"/>
      <c r="D30" s="2"/>
      <c r="E30" s="39"/>
      <c r="F30" s="42"/>
    </row>
    <row r="31" spans="2:6">
      <c r="B31" s="71" t="s">
        <v>314</v>
      </c>
      <c r="C31" s="2"/>
      <c r="D31" s="2"/>
      <c r="E31" s="39"/>
      <c r="F31" s="42"/>
    </row>
    <row r="32" spans="2:6">
      <c r="B32" s="23" t="s">
        <v>443</v>
      </c>
      <c r="C32" s="2"/>
      <c r="D32" s="2"/>
      <c r="E32" s="138">
        <f>TB!B373</f>
        <v>0</v>
      </c>
      <c r="F32" s="138">
        <f>TB!D373</f>
        <v>0</v>
      </c>
    </row>
    <row r="33" spans="2:6">
      <c r="B33" s="8"/>
      <c r="C33" s="2"/>
      <c r="D33" s="2"/>
      <c r="E33" s="41">
        <f>SUM(E7:E32)</f>
        <v>0</v>
      </c>
      <c r="F33" s="41">
        <f>SUM(F7:F32)</f>
        <v>0</v>
      </c>
    </row>
    <row r="34" spans="2:6">
      <c r="B34" s="8"/>
      <c r="C34" s="2"/>
      <c r="D34" s="2"/>
      <c r="E34" s="6"/>
      <c r="F34" s="16"/>
    </row>
    <row r="35" spans="2:6">
      <c r="B35" s="8" t="s">
        <v>315</v>
      </c>
      <c r="C35" s="2"/>
      <c r="D35" s="2"/>
      <c r="E35" s="6"/>
      <c r="F35" s="16"/>
    </row>
    <row r="36" spans="2:6">
      <c r="B36" s="82" t="s">
        <v>316</v>
      </c>
      <c r="C36" s="2"/>
      <c r="D36" s="2"/>
      <c r="E36" s="4"/>
      <c r="F36" s="2"/>
    </row>
    <row r="37" spans="2:6">
      <c r="B37" s="23" t="s">
        <v>444</v>
      </c>
      <c r="C37" s="2"/>
      <c r="D37" s="2"/>
      <c r="E37" s="138">
        <f>TB!B377</f>
        <v>0</v>
      </c>
      <c r="F37" s="138">
        <f>TB!D377</f>
        <v>0</v>
      </c>
    </row>
    <row r="38" spans="2:6">
      <c r="B38" s="83"/>
      <c r="C38" s="2"/>
      <c r="D38" s="2"/>
      <c r="E38" s="6"/>
      <c r="F38" s="16"/>
    </row>
    <row r="39" spans="2:6">
      <c r="B39" s="82" t="s">
        <v>305</v>
      </c>
      <c r="C39" s="2"/>
      <c r="D39" s="2"/>
      <c r="E39" s="4"/>
      <c r="F39" s="2"/>
    </row>
    <row r="40" spans="2:6">
      <c r="B40" s="23"/>
      <c r="C40" s="2"/>
      <c r="D40" s="2"/>
      <c r="E40" s="138">
        <f>TB!B380</f>
        <v>0</v>
      </c>
      <c r="F40" s="138">
        <f>TB!D380</f>
        <v>0</v>
      </c>
    </row>
    <row r="41" spans="2:6">
      <c r="B41" s="83"/>
      <c r="C41" s="2"/>
      <c r="D41" s="2"/>
      <c r="E41" s="6"/>
      <c r="F41" s="16"/>
    </row>
    <row r="42" spans="2:6">
      <c r="B42" s="82" t="s">
        <v>306</v>
      </c>
      <c r="C42" s="2"/>
      <c r="D42" s="2"/>
      <c r="E42" s="4"/>
      <c r="F42" s="2"/>
    </row>
    <row r="43" spans="2:6">
      <c r="B43" s="23"/>
      <c r="C43" s="2"/>
      <c r="D43" s="2"/>
      <c r="E43" s="138">
        <f>TB!B383</f>
        <v>0</v>
      </c>
      <c r="F43" s="138">
        <f>TB!D383</f>
        <v>0</v>
      </c>
    </row>
    <row r="44" spans="2:6">
      <c r="B44" s="83"/>
      <c r="C44" s="2"/>
      <c r="D44" s="2"/>
      <c r="E44" s="6"/>
      <c r="F44" s="16"/>
    </row>
    <row r="45" spans="2:6">
      <c r="B45" s="82" t="s">
        <v>307</v>
      </c>
      <c r="C45" s="2"/>
      <c r="D45" s="2"/>
      <c r="E45" s="4"/>
      <c r="F45" s="2"/>
    </row>
    <row r="46" spans="2:6">
      <c r="B46" s="23"/>
      <c r="C46" s="2"/>
      <c r="D46" s="2"/>
      <c r="E46" s="138">
        <f>TB!B386</f>
        <v>0</v>
      </c>
      <c r="F46" s="138">
        <f>TB!D386</f>
        <v>0</v>
      </c>
    </row>
    <row r="47" spans="2:6">
      <c r="B47" s="83"/>
      <c r="C47" s="2"/>
      <c r="D47" s="2"/>
      <c r="E47" s="6"/>
      <c r="F47" s="16"/>
    </row>
    <row r="48" spans="2:6">
      <c r="B48" s="82" t="s">
        <v>317</v>
      </c>
      <c r="C48" s="1"/>
      <c r="D48" s="1"/>
      <c r="E48" s="9"/>
      <c r="F48" s="1"/>
    </row>
    <row r="49" spans="2:6">
      <c r="B49" s="23"/>
      <c r="C49" s="1"/>
      <c r="D49" s="1"/>
      <c r="E49" s="138">
        <f>TB!B389</f>
        <v>0</v>
      </c>
      <c r="F49" s="138">
        <f>TB!D389</f>
        <v>0</v>
      </c>
    </row>
    <row r="50" spans="2:6">
      <c r="B50" s="40"/>
      <c r="C50" s="1"/>
      <c r="D50" s="1"/>
      <c r="E50" s="9"/>
      <c r="F50" s="1"/>
    </row>
    <row r="51" spans="2:6">
      <c r="B51" s="82" t="s">
        <v>318</v>
      </c>
      <c r="C51" s="2"/>
      <c r="D51" s="2"/>
      <c r="E51" s="4"/>
      <c r="F51" s="2"/>
    </row>
    <row r="52" spans="2:6">
      <c r="B52" s="23"/>
      <c r="C52" s="2"/>
      <c r="D52" s="2"/>
      <c r="E52" s="138">
        <f>TB!B392</f>
        <v>0</v>
      </c>
      <c r="F52" s="138">
        <f>TB!D392</f>
        <v>0</v>
      </c>
    </row>
    <row r="53" spans="2:6">
      <c r="B53" s="83"/>
      <c r="C53" s="2"/>
      <c r="D53" s="2"/>
      <c r="E53" s="6"/>
      <c r="F53" s="16"/>
    </row>
    <row r="54" spans="2:6">
      <c r="B54" s="82" t="s">
        <v>308</v>
      </c>
      <c r="C54" s="2"/>
      <c r="D54" s="2"/>
      <c r="E54" s="4"/>
      <c r="F54" s="2"/>
    </row>
    <row r="55" spans="2:6">
      <c r="B55" s="23"/>
      <c r="C55" s="2"/>
      <c r="D55" s="2"/>
      <c r="E55" s="138">
        <f>TB!B395</f>
        <v>0</v>
      </c>
      <c r="F55" s="138">
        <f>TB!D395</f>
        <v>0</v>
      </c>
    </row>
    <row r="56" spans="2:6">
      <c r="B56" s="8"/>
      <c r="C56" s="2"/>
      <c r="D56" s="2"/>
      <c r="E56" s="6"/>
      <c r="F56" s="16"/>
    </row>
    <row r="57" spans="2:6">
      <c r="B57" s="71" t="s">
        <v>311</v>
      </c>
      <c r="C57" s="2"/>
      <c r="D57" s="2"/>
      <c r="E57" s="17"/>
      <c r="F57" s="3"/>
    </row>
    <row r="58" spans="2:6">
      <c r="B58" s="23"/>
      <c r="C58" s="2"/>
      <c r="D58" s="2"/>
      <c r="E58" s="138">
        <f>TB!B398</f>
        <v>0</v>
      </c>
      <c r="F58" s="138">
        <f>TB!D398</f>
        <v>0</v>
      </c>
    </row>
    <row r="59" spans="2:6">
      <c r="B59" s="78"/>
      <c r="C59" s="2"/>
      <c r="D59" s="2"/>
      <c r="E59" s="39"/>
      <c r="F59" s="42"/>
    </row>
    <row r="60" spans="2:6">
      <c r="B60" s="71" t="s">
        <v>312</v>
      </c>
      <c r="C60" s="2"/>
      <c r="D60" s="2"/>
      <c r="E60" s="39"/>
      <c r="F60" s="42"/>
    </row>
    <row r="61" spans="2:6">
      <c r="B61" s="23"/>
      <c r="C61" s="2"/>
      <c r="D61" s="2"/>
      <c r="E61" s="138">
        <f>TB!B401</f>
        <v>0</v>
      </c>
      <c r="F61" s="138">
        <f>TB!D401</f>
        <v>0</v>
      </c>
    </row>
    <row r="62" spans="2:6">
      <c r="B62" s="78"/>
      <c r="C62" s="2"/>
      <c r="D62" s="2"/>
      <c r="E62" s="39"/>
      <c r="F62" s="42"/>
    </row>
    <row r="63" spans="2:6">
      <c r="B63" s="71" t="s">
        <v>313</v>
      </c>
      <c r="C63" s="2"/>
      <c r="D63" s="2"/>
      <c r="E63" s="39"/>
      <c r="F63" s="42"/>
    </row>
    <row r="64" spans="2:6">
      <c r="B64" s="23"/>
      <c r="C64" s="2"/>
      <c r="D64" s="2"/>
      <c r="E64" s="138">
        <f>TB!B404</f>
        <v>0</v>
      </c>
      <c r="F64" s="138">
        <f>TB!D404</f>
        <v>0</v>
      </c>
    </row>
    <row r="65" spans="2:6">
      <c r="B65" s="78"/>
      <c r="C65" s="2"/>
      <c r="D65" s="2"/>
      <c r="E65" s="39"/>
      <c r="F65" s="42"/>
    </row>
    <row r="66" spans="2:6">
      <c r="B66" s="71" t="s">
        <v>314</v>
      </c>
      <c r="C66" s="2"/>
      <c r="D66" s="2"/>
      <c r="E66" s="39"/>
      <c r="F66" s="42"/>
    </row>
    <row r="67" spans="2:6">
      <c r="B67" s="23"/>
      <c r="C67" s="2"/>
      <c r="D67" s="2"/>
      <c r="E67" s="138">
        <f>TB!B407</f>
        <v>0</v>
      </c>
      <c r="F67" s="138">
        <f>TB!D407</f>
        <v>0</v>
      </c>
    </row>
    <row r="68" spans="2:6">
      <c r="B68" s="78"/>
      <c r="C68" s="2"/>
      <c r="D68" s="2"/>
      <c r="E68" s="39"/>
      <c r="F68" s="42"/>
    </row>
    <row r="69" spans="2:6">
      <c r="B69" s="71" t="s">
        <v>320</v>
      </c>
      <c r="C69" s="2"/>
      <c r="D69" s="2"/>
      <c r="E69" s="39"/>
      <c r="F69" s="42"/>
    </row>
    <row r="70" spans="2:6">
      <c r="B70" s="23"/>
      <c r="C70" s="2"/>
      <c r="D70" s="2"/>
      <c r="E70" s="138">
        <f>TB!B410</f>
        <v>0</v>
      </c>
      <c r="F70" s="138">
        <f>TB!D410</f>
        <v>0</v>
      </c>
    </row>
    <row r="71" spans="2:6">
      <c r="B71" s="68"/>
      <c r="C71" s="1"/>
      <c r="D71" s="1"/>
      <c r="E71" s="41">
        <f>SUM(E36:E70)</f>
        <v>0</v>
      </c>
      <c r="F71" s="41">
        <f>SUM(F36:F70)</f>
        <v>0</v>
      </c>
    </row>
    <row r="72" spans="2:6">
      <c r="B72" s="1"/>
      <c r="C72" s="1"/>
      <c r="D72" s="1"/>
      <c r="E72" s="9"/>
      <c r="F72" s="1"/>
    </row>
    <row r="73" spans="2:6">
      <c r="B73" s="8" t="s">
        <v>359</v>
      </c>
      <c r="C73" s="2"/>
      <c r="D73" s="2"/>
      <c r="E73" s="138">
        <f>TB!C412</f>
        <v>0</v>
      </c>
      <c r="F73" s="138">
        <f>TB!E412</f>
        <v>0</v>
      </c>
    </row>
    <row r="74" spans="2:6">
      <c r="B74" s="13"/>
      <c r="C74" s="13"/>
      <c r="D74" s="13"/>
      <c r="E74" s="80"/>
      <c r="F74" s="13"/>
    </row>
    <row r="75" spans="2:6">
      <c r="B75" s="81"/>
      <c r="C75" s="81"/>
      <c r="D75" s="81"/>
      <c r="E75" s="41">
        <f>E33+E71-E73</f>
        <v>0</v>
      </c>
      <c r="F75" s="41">
        <f>F71+F33-F73</f>
        <v>0</v>
      </c>
    </row>
    <row r="76" spans="2:6">
      <c r="B76" s="68"/>
      <c r="C76" s="2"/>
      <c r="D76" s="2"/>
      <c r="E76" s="39"/>
      <c r="F76" s="42"/>
    </row>
    <row r="77" spans="2:6">
      <c r="B77" s="1" t="s">
        <v>322</v>
      </c>
      <c r="C77" s="1"/>
      <c r="D77" s="1"/>
      <c r="E77" s="39" t="s">
        <v>78</v>
      </c>
      <c r="F77" s="42" t="s">
        <v>78</v>
      </c>
    </row>
    <row r="78" spans="2:6">
      <c r="B78" s="1" t="s">
        <v>323</v>
      </c>
      <c r="C78" s="1"/>
      <c r="D78" s="1"/>
      <c r="E78" s="39" t="s">
        <v>78</v>
      </c>
      <c r="F78" s="42" t="s">
        <v>78</v>
      </c>
    </row>
    <row r="79" spans="2:6">
      <c r="B79" s="1" t="s">
        <v>324</v>
      </c>
      <c r="C79" s="2"/>
      <c r="D79" s="2"/>
      <c r="E79" s="39" t="s">
        <v>78</v>
      </c>
      <c r="F79" s="42" t="s">
        <v>78</v>
      </c>
    </row>
    <row r="80" spans="2:6" ht="15.75" thickBot="1">
      <c r="B80" s="25"/>
      <c r="C80" s="25"/>
      <c r="D80" s="25"/>
      <c r="E80" s="27"/>
      <c r="F80" s="25"/>
    </row>
    <row r="81" spans="2:6">
      <c r="B81" s="5" t="s">
        <v>222</v>
      </c>
      <c r="C81" s="1"/>
      <c r="D81" s="1"/>
      <c r="E81" s="9"/>
      <c r="F81" s="1"/>
    </row>
    <row r="82" spans="2:6">
      <c r="B82" s="5"/>
      <c r="C82" s="1"/>
      <c r="D82" s="1"/>
      <c r="E82" s="9"/>
      <c r="F82" s="1"/>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sheetPr codeName="Sheet19">
    <tabColor rgb="FF92D050"/>
  </sheetPr>
  <dimension ref="B1:E18"/>
  <sheetViews>
    <sheetView workbookViewId="0"/>
  </sheetViews>
  <sheetFormatPr defaultRowHeight="15"/>
  <cols>
    <col min="2" max="2" width="1.85546875" customWidth="1"/>
    <col min="3" max="3" width="48.85546875" customWidth="1"/>
    <col min="4" max="4" width="15.140625" customWidth="1"/>
    <col min="5" max="5" width="14.85546875" customWidth="1"/>
  </cols>
  <sheetData>
    <row r="1" spans="2:5" ht="18.75">
      <c r="B1" s="126" t="str">
        <f>PL!B1</f>
        <v>ABC LTD</v>
      </c>
      <c r="C1" s="126"/>
      <c r="D1" s="126"/>
      <c r="E1" s="126"/>
    </row>
    <row r="2" spans="2:5" ht="15.75" thickBot="1">
      <c r="B2" s="127" t="str">
        <f>'1'!B2</f>
        <v>Notes to financial statements for the year ended 31/03/2012</v>
      </c>
      <c r="C2" s="127"/>
      <c r="D2" s="127"/>
      <c r="E2" s="127"/>
    </row>
    <row r="5" spans="2:5" ht="16.5" thickBot="1">
      <c r="B5" s="36" t="str">
        <f>CONCATENATE(BS!D45,".  INVENTORIES")</f>
        <v xml:space="preserve"> .  INVENTORIES</v>
      </c>
      <c r="C5" s="25"/>
      <c r="D5" s="37" t="s">
        <v>94</v>
      </c>
      <c r="E5" s="38" t="s">
        <v>95</v>
      </c>
    </row>
    <row r="6" spans="2:5" ht="15.75">
      <c r="B6" s="52"/>
      <c r="C6" s="2"/>
      <c r="D6" s="6"/>
      <c r="E6" s="16"/>
    </row>
    <row r="7" spans="2:5" ht="15.75">
      <c r="B7" s="52"/>
      <c r="C7" s="53" t="s">
        <v>445</v>
      </c>
      <c r="D7" s="53">
        <f>TB!B417</f>
        <v>0</v>
      </c>
      <c r="E7" s="53">
        <f>TB!D417</f>
        <v>0</v>
      </c>
    </row>
    <row r="8" spans="2:5" ht="15.75">
      <c r="B8" s="52"/>
      <c r="C8" s="53" t="s">
        <v>446</v>
      </c>
      <c r="D8" s="53">
        <f>TB!B418</f>
        <v>0</v>
      </c>
      <c r="E8" s="53">
        <f>TB!D418</f>
        <v>0</v>
      </c>
    </row>
    <row r="9" spans="2:5" ht="15.75">
      <c r="B9" s="52"/>
      <c r="C9" s="53" t="s">
        <v>447</v>
      </c>
      <c r="D9" s="53">
        <f>TB!B419</f>
        <v>0</v>
      </c>
      <c r="E9" s="53">
        <f>TB!D419</f>
        <v>0</v>
      </c>
    </row>
    <row r="10" spans="2:5" ht="15.75">
      <c r="B10" s="52"/>
      <c r="C10" s="53" t="s">
        <v>448</v>
      </c>
      <c r="D10" s="53">
        <f>TB!B420</f>
        <v>0</v>
      </c>
      <c r="E10" s="53">
        <f>TB!D420</f>
        <v>0</v>
      </c>
    </row>
    <row r="11" spans="2:5" ht="15.75">
      <c r="B11" s="52"/>
      <c r="C11" s="53" t="s">
        <v>110</v>
      </c>
      <c r="D11" s="53">
        <f>TB!B421</f>
        <v>0</v>
      </c>
      <c r="E11" s="53">
        <f>TB!D421</f>
        <v>0</v>
      </c>
    </row>
    <row r="12" spans="2:5" ht="15.75">
      <c r="B12" s="52"/>
      <c r="C12" s="53" t="s">
        <v>449</v>
      </c>
      <c r="D12" s="53">
        <f>TB!B422</f>
        <v>0</v>
      </c>
      <c r="E12" s="53">
        <f>TB!D422</f>
        <v>0</v>
      </c>
    </row>
    <row r="13" spans="2:5" ht="15.75">
      <c r="B13" s="52"/>
      <c r="C13" s="53" t="s">
        <v>434</v>
      </c>
      <c r="D13" s="53">
        <f>TB!B423</f>
        <v>0</v>
      </c>
      <c r="E13" s="53">
        <f>TB!D423</f>
        <v>0</v>
      </c>
    </row>
    <row r="14" spans="2:5">
      <c r="B14" s="68"/>
      <c r="C14" s="53" t="s">
        <v>450</v>
      </c>
      <c r="D14" s="53">
        <f>TB!B424</f>
        <v>0</v>
      </c>
      <c r="E14" s="53">
        <f>TB!D424</f>
        <v>0</v>
      </c>
    </row>
    <row r="15" spans="2:5">
      <c r="B15" s="68"/>
      <c r="C15" s="53" t="s">
        <v>451</v>
      </c>
      <c r="D15" s="53">
        <f>TB!B425</f>
        <v>0</v>
      </c>
      <c r="E15" s="53">
        <f>TB!D425</f>
        <v>0</v>
      </c>
    </row>
    <row r="16" spans="2:5">
      <c r="B16" s="5"/>
      <c r="C16" s="57"/>
      <c r="D16" s="111"/>
      <c r="E16" s="57"/>
    </row>
    <row r="17" spans="2:5" ht="15.75" thickBot="1">
      <c r="B17" s="44"/>
      <c r="C17" s="44"/>
      <c r="D17" s="46">
        <f>SUM(D6:D16)</f>
        <v>0</v>
      </c>
      <c r="E17" s="45">
        <f>SUM(E6:E16)</f>
        <v>0</v>
      </c>
    </row>
    <row r="18" spans="2:5">
      <c r="B18" s="7" t="s">
        <v>222</v>
      </c>
      <c r="C18" s="1"/>
      <c r="D18" s="9"/>
      <c r="E18" s="1"/>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sheetPr codeName="Sheet20">
    <tabColor rgb="FF92D050"/>
  </sheetPr>
  <dimension ref="B1:F37"/>
  <sheetViews>
    <sheetView topLeftCell="A50" workbookViewId="0">
      <selection activeCell="A50" sqref="A50"/>
    </sheetView>
  </sheetViews>
  <sheetFormatPr defaultRowHeight="15"/>
  <cols>
    <col min="4" max="4" width="28.7109375" customWidth="1"/>
    <col min="5" max="5" width="15.140625" customWidth="1"/>
    <col min="6" max="6" width="18" customWidth="1"/>
  </cols>
  <sheetData>
    <row r="1" spans="2:6" ht="18.75">
      <c r="B1" s="126" t="str">
        <f>PL!B1</f>
        <v>ABC LTD</v>
      </c>
      <c r="C1" s="126"/>
      <c r="D1" s="126"/>
      <c r="E1" s="126"/>
    </row>
    <row r="2" spans="2:6" ht="15.75" thickBot="1">
      <c r="B2" s="127" t="str">
        <f>'1'!B2</f>
        <v>Notes to financial statements for the year ended 31/03/2012</v>
      </c>
      <c r="C2" s="127"/>
      <c r="D2" s="127"/>
      <c r="E2" s="127"/>
      <c r="F2" s="127"/>
    </row>
    <row r="5" spans="2:6" ht="16.5" thickBot="1">
      <c r="B5" s="36" t="str">
        <f>CONCATENATE(BS!D46,".  TRADE RECEIVABLES")</f>
        <v xml:space="preserve"> .  TRADE RECEIVABLES</v>
      </c>
      <c r="C5" s="25"/>
      <c r="D5" s="25"/>
      <c r="E5" s="37" t="s">
        <v>94</v>
      </c>
      <c r="F5" s="38" t="s">
        <v>95</v>
      </c>
    </row>
    <row r="6" spans="2:6">
      <c r="B6" s="5" t="s">
        <v>360</v>
      </c>
      <c r="C6" s="1"/>
      <c r="D6" s="1"/>
      <c r="E6" s="39"/>
      <c r="F6" s="42"/>
    </row>
    <row r="7" spans="2:6">
      <c r="B7" s="4" t="s">
        <v>361</v>
      </c>
      <c r="C7" s="1"/>
      <c r="D7" s="1"/>
      <c r="E7" s="39">
        <f>TB!B430</f>
        <v>0</v>
      </c>
      <c r="F7" s="138">
        <f>TB!D430</f>
        <v>0</v>
      </c>
    </row>
    <row r="8" spans="2:6">
      <c r="B8" s="4" t="s">
        <v>362</v>
      </c>
      <c r="C8" s="1"/>
      <c r="D8" s="1"/>
      <c r="E8" s="138">
        <f>TB!B431</f>
        <v>0</v>
      </c>
      <c r="F8" s="138">
        <f>TB!D431</f>
        <v>0</v>
      </c>
    </row>
    <row r="9" spans="2:6">
      <c r="B9" s="1"/>
      <c r="C9" s="1"/>
      <c r="D9" s="1"/>
      <c r="E9" s="41">
        <f>SUM(E7:E8)</f>
        <v>0</v>
      </c>
      <c r="F9" s="41">
        <f>SUM(F7:F8)</f>
        <v>0</v>
      </c>
    </row>
    <row r="10" spans="2:6">
      <c r="B10" s="1"/>
      <c r="C10" s="1"/>
      <c r="D10" s="1"/>
      <c r="E10" s="4"/>
      <c r="F10" s="2"/>
    </row>
    <row r="11" spans="2:6">
      <c r="B11" s="5" t="s">
        <v>363</v>
      </c>
      <c r="C11" s="1"/>
      <c r="D11" s="1"/>
      <c r="E11" s="9"/>
      <c r="F11" s="1"/>
    </row>
    <row r="12" spans="2:6">
      <c r="B12" s="4" t="s">
        <v>361</v>
      </c>
      <c r="C12" s="1"/>
      <c r="D12" s="1"/>
      <c r="E12" s="138">
        <f>TB!B434</f>
        <v>0</v>
      </c>
      <c r="F12" s="138">
        <f>TB!D434</f>
        <v>0</v>
      </c>
    </row>
    <row r="13" spans="2:6">
      <c r="B13" s="4" t="s">
        <v>362</v>
      </c>
      <c r="C13" s="1"/>
      <c r="D13" s="1"/>
      <c r="E13" s="138">
        <f>TB!B435</f>
        <v>0</v>
      </c>
      <c r="F13" s="138">
        <f>TB!D435</f>
        <v>0</v>
      </c>
    </row>
    <row r="14" spans="2:6">
      <c r="B14" s="1"/>
      <c r="C14" s="1"/>
      <c r="D14" s="1"/>
      <c r="E14" s="41">
        <f>SUM(E12:E13)</f>
        <v>0</v>
      </c>
      <c r="F14" s="41">
        <f>SUM(F12:F13)</f>
        <v>0</v>
      </c>
    </row>
    <row r="15" spans="2:6">
      <c r="B15" s="1"/>
      <c r="C15" s="1"/>
      <c r="D15" s="1"/>
      <c r="E15" s="39"/>
      <c r="F15" s="42"/>
    </row>
    <row r="16" spans="2:6">
      <c r="B16" s="5" t="s">
        <v>364</v>
      </c>
      <c r="C16" s="1"/>
      <c r="D16" s="1"/>
      <c r="E16" s="9"/>
      <c r="F16" s="1"/>
    </row>
    <row r="17" spans="2:6">
      <c r="B17" s="4" t="s">
        <v>361</v>
      </c>
      <c r="C17" s="1"/>
      <c r="D17" s="1"/>
      <c r="E17" s="138">
        <f>TB!B438</f>
        <v>0</v>
      </c>
      <c r="F17" s="138">
        <f>TB!D438</f>
        <v>0</v>
      </c>
    </row>
    <row r="18" spans="2:6">
      <c r="B18" s="4" t="s">
        <v>362</v>
      </c>
      <c r="C18" s="1"/>
      <c r="D18" s="1"/>
      <c r="E18" s="138">
        <f>TB!B439</f>
        <v>0</v>
      </c>
      <c r="F18" s="138">
        <f>TB!D439</f>
        <v>0</v>
      </c>
    </row>
    <row r="19" spans="2:6">
      <c r="B19" s="4"/>
      <c r="C19" s="1"/>
      <c r="D19" s="1"/>
      <c r="E19" s="41">
        <f>SUM(E17:E18)</f>
        <v>0</v>
      </c>
      <c r="F19" s="41">
        <f>SUM(F17:F18)</f>
        <v>0</v>
      </c>
    </row>
    <row r="20" spans="2:6">
      <c r="B20" s="4"/>
      <c r="C20" s="1"/>
      <c r="D20" s="1"/>
      <c r="E20" s="4"/>
      <c r="F20" s="2"/>
    </row>
    <row r="21" spans="2:6">
      <c r="B21" s="5" t="s">
        <v>365</v>
      </c>
      <c r="C21" s="1"/>
      <c r="D21" s="1"/>
      <c r="E21" s="138">
        <f>TB!B441</f>
        <v>0</v>
      </c>
      <c r="F21" s="138">
        <f>TB!D441</f>
        <v>0</v>
      </c>
    </row>
    <row r="22" spans="2:6">
      <c r="B22" s="5" t="s">
        <v>366</v>
      </c>
      <c r="C22" s="1"/>
      <c r="D22" s="1"/>
      <c r="E22" s="138">
        <f>TB!C442</f>
        <v>0</v>
      </c>
      <c r="F22" s="138">
        <f>TB!E442</f>
        <v>0</v>
      </c>
    </row>
    <row r="23" spans="2:6">
      <c r="B23" s="1"/>
      <c r="C23" s="1"/>
      <c r="D23" s="1"/>
      <c r="E23" s="137">
        <f>E21-E22</f>
        <v>0</v>
      </c>
      <c r="F23" s="137">
        <f>F21-F22</f>
        <v>0</v>
      </c>
    </row>
    <row r="24" spans="2:6" ht="15.75" thickBot="1">
      <c r="B24" s="44"/>
      <c r="C24" s="44"/>
      <c r="D24" s="44"/>
      <c r="E24" s="46">
        <f>E23+E19+E14+E9</f>
        <v>0</v>
      </c>
      <c r="F24" s="46">
        <f>F23+F19+F14+F9</f>
        <v>0</v>
      </c>
    </row>
    <row r="25" spans="2:6">
      <c r="B25" s="7"/>
      <c r="C25" s="1"/>
      <c r="D25" s="1"/>
      <c r="E25" s="9"/>
      <c r="F25" s="1"/>
    </row>
    <row r="26" spans="2:6">
      <c r="B26" s="7"/>
      <c r="C26" s="1"/>
      <c r="D26" s="1"/>
      <c r="E26" s="9"/>
      <c r="F26" s="1"/>
    </row>
    <row r="27" spans="2:6">
      <c r="B27" s="7" t="s">
        <v>367</v>
      </c>
      <c r="C27" s="1"/>
      <c r="D27" s="1"/>
      <c r="E27" s="9"/>
      <c r="F27" s="1"/>
    </row>
    <row r="28" spans="2:6" ht="15.75" thickBot="1">
      <c r="B28" s="7"/>
      <c r="C28" s="1"/>
      <c r="D28" s="1"/>
      <c r="E28" s="37" t="s">
        <v>94</v>
      </c>
      <c r="F28" s="38" t="s">
        <v>95</v>
      </c>
    </row>
    <row r="29" spans="2:6">
      <c r="B29" s="1" t="s">
        <v>349</v>
      </c>
      <c r="C29" s="1"/>
      <c r="D29" s="1"/>
      <c r="E29" s="9"/>
      <c r="F29" s="1"/>
    </row>
    <row r="30" spans="2:6">
      <c r="B30" s="1" t="s">
        <v>350</v>
      </c>
      <c r="C30" s="1"/>
      <c r="D30" s="1"/>
      <c r="E30" s="9"/>
      <c r="F30" s="1"/>
    </row>
    <row r="31" spans="2:6">
      <c r="B31" s="1" t="s">
        <v>351</v>
      </c>
      <c r="C31" s="1"/>
      <c r="D31" s="1"/>
      <c r="E31" s="9"/>
      <c r="F31" s="1"/>
    </row>
    <row r="32" spans="2:6">
      <c r="B32" s="1" t="s">
        <v>352</v>
      </c>
      <c r="C32" s="1"/>
      <c r="D32" s="1"/>
      <c r="E32" s="9"/>
      <c r="F32" s="1"/>
    </row>
    <row r="33" spans="2:6">
      <c r="B33" s="1" t="s">
        <v>353</v>
      </c>
      <c r="C33" s="1"/>
      <c r="D33" s="1"/>
      <c r="E33" s="9"/>
      <c r="F33" s="1"/>
    </row>
    <row r="34" spans="2:6">
      <c r="B34" s="1" t="s">
        <v>354</v>
      </c>
      <c r="C34" s="1"/>
      <c r="D34" s="1"/>
      <c r="E34" s="9"/>
      <c r="F34" s="1"/>
    </row>
    <row r="35" spans="2:6">
      <c r="B35" s="7"/>
      <c r="C35" s="1"/>
      <c r="D35" s="1"/>
      <c r="E35" s="9"/>
      <c r="F35" s="1"/>
    </row>
    <row r="36" spans="2:6">
      <c r="B36" s="7" t="s">
        <v>285</v>
      </c>
      <c r="C36" s="1"/>
      <c r="D36" s="1"/>
      <c r="E36" s="9"/>
      <c r="F36" s="1"/>
    </row>
    <row r="37" spans="2:6">
      <c r="B37" s="7"/>
      <c r="C37" s="1"/>
      <c r="D37" s="1"/>
      <c r="E37" s="9"/>
      <c r="F37" s="1"/>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sheetPr codeName="Sheet21">
    <tabColor rgb="FF92D050"/>
  </sheetPr>
  <dimension ref="B1:G45"/>
  <sheetViews>
    <sheetView workbookViewId="0">
      <selection activeCell="F20" sqref="F20"/>
    </sheetView>
  </sheetViews>
  <sheetFormatPr defaultRowHeight="15"/>
  <cols>
    <col min="5" max="5" width="20.42578125" customWidth="1"/>
    <col min="6" max="6" width="11" customWidth="1"/>
    <col min="7" max="7" width="14.5703125" customWidth="1"/>
  </cols>
  <sheetData>
    <row r="1" spans="2:7" ht="18.75">
      <c r="B1" s="126" t="str">
        <f>PL!B1</f>
        <v>ABC LTD</v>
      </c>
      <c r="C1" s="126"/>
      <c r="D1" s="126"/>
      <c r="E1" s="126"/>
    </row>
    <row r="2" spans="2:7" ht="15.75" thickBot="1">
      <c r="B2" s="127" t="str">
        <f>'1'!B2</f>
        <v>Notes to financial statements for the year ended 31/03/2012</v>
      </c>
      <c r="C2" s="127"/>
      <c r="D2" s="127"/>
      <c r="E2" s="127"/>
      <c r="F2" s="127"/>
      <c r="G2" s="127"/>
    </row>
    <row r="5" spans="2:7" ht="16.5" thickBot="1">
      <c r="B5" s="36" t="str">
        <f>CONCATENATE(BS!D47,".  CASH &amp; CASH EQUIVALENTS")</f>
        <v xml:space="preserve"> .  CASH &amp; CASH EQUIVALENTS</v>
      </c>
      <c r="C5" s="25"/>
      <c r="D5" s="25"/>
      <c r="E5" s="25"/>
      <c r="F5" s="37" t="s">
        <v>94</v>
      </c>
      <c r="G5" s="38" t="s">
        <v>95</v>
      </c>
    </row>
    <row r="6" spans="2:7">
      <c r="B6" s="5" t="s">
        <v>368</v>
      </c>
      <c r="C6" s="1"/>
      <c r="D6" s="1"/>
      <c r="E6" s="1"/>
      <c r="F6" s="9"/>
      <c r="G6" s="1"/>
    </row>
    <row r="7" spans="2:7">
      <c r="B7" s="4" t="s">
        <v>369</v>
      </c>
      <c r="C7" s="1"/>
      <c r="D7" s="1"/>
      <c r="E7" s="1"/>
      <c r="F7" s="39">
        <f>TB!B447</f>
        <v>0</v>
      </c>
      <c r="G7" s="138">
        <f>TB!D447</f>
        <v>0</v>
      </c>
    </row>
    <row r="8" spans="2:7">
      <c r="B8" s="4" t="s">
        <v>370</v>
      </c>
      <c r="C8" s="1"/>
      <c r="D8" s="1"/>
      <c r="E8" s="1"/>
      <c r="F8" s="138">
        <f>TB!B448</f>
        <v>0</v>
      </c>
      <c r="G8" s="138">
        <f>TB!D448</f>
        <v>0</v>
      </c>
    </row>
    <row r="9" spans="2:7">
      <c r="B9" s="4" t="s">
        <v>371</v>
      </c>
      <c r="C9" s="1"/>
      <c r="D9" s="1"/>
      <c r="E9" s="1"/>
      <c r="F9" s="138">
        <f>TB!B449</f>
        <v>0</v>
      </c>
      <c r="G9" s="138">
        <f>TB!D449</f>
        <v>0</v>
      </c>
    </row>
    <row r="10" spans="2:7">
      <c r="B10" s="4" t="s">
        <v>372</v>
      </c>
      <c r="C10" s="1"/>
      <c r="D10" s="1"/>
      <c r="E10" s="1"/>
      <c r="F10" s="138">
        <f>TB!B450</f>
        <v>0</v>
      </c>
      <c r="G10" s="138">
        <f>TB!D450</f>
        <v>0</v>
      </c>
    </row>
    <row r="11" spans="2:7">
      <c r="B11" s="4" t="s">
        <v>373</v>
      </c>
      <c r="C11" s="1"/>
      <c r="D11" s="1"/>
      <c r="E11" s="1"/>
      <c r="F11" s="138">
        <f>TB!B451</f>
        <v>0</v>
      </c>
      <c r="G11" s="138">
        <f>TB!D451</f>
        <v>0</v>
      </c>
    </row>
    <row r="12" spans="2:7">
      <c r="B12" s="5"/>
      <c r="C12" s="1"/>
      <c r="D12" s="1"/>
      <c r="E12" s="1"/>
      <c r="F12" s="41">
        <f>SUM(F7:F11)</f>
        <v>0</v>
      </c>
      <c r="G12" s="41">
        <f>SUM(G7:G11)</f>
        <v>0</v>
      </c>
    </row>
    <row r="13" spans="2:7">
      <c r="B13" s="5"/>
      <c r="C13" s="1"/>
      <c r="D13" s="1"/>
      <c r="E13" s="1"/>
      <c r="F13" s="9"/>
      <c r="G13" s="1"/>
    </row>
    <row r="14" spans="2:7">
      <c r="B14" s="5" t="s">
        <v>374</v>
      </c>
      <c r="C14" s="1"/>
      <c r="D14" s="1"/>
      <c r="E14" s="1"/>
      <c r="F14" s="9"/>
      <c r="G14" s="1"/>
    </row>
    <row r="15" spans="2:7">
      <c r="B15" s="4" t="s">
        <v>375</v>
      </c>
      <c r="C15" s="1"/>
      <c r="D15" s="1"/>
      <c r="E15" s="1"/>
      <c r="F15" s="138">
        <f>TB!B454</f>
        <v>0</v>
      </c>
      <c r="G15" s="138">
        <f>TB!D454</f>
        <v>0</v>
      </c>
    </row>
    <row r="16" spans="2:7">
      <c r="B16" s="4" t="s">
        <v>376</v>
      </c>
      <c r="C16" s="1"/>
      <c r="D16" s="1"/>
      <c r="E16" s="1"/>
      <c r="F16" s="138">
        <f>TB!B455</f>
        <v>0</v>
      </c>
      <c r="G16" s="138">
        <f>TB!D455</f>
        <v>0</v>
      </c>
    </row>
    <row r="17" spans="2:7">
      <c r="B17" s="4" t="s">
        <v>377</v>
      </c>
      <c r="C17" s="1"/>
      <c r="D17" s="1"/>
      <c r="E17" s="1"/>
      <c r="F17" s="138">
        <f>TB!B456</f>
        <v>0</v>
      </c>
      <c r="G17" s="138">
        <f>TB!D456</f>
        <v>0</v>
      </c>
    </row>
    <row r="18" spans="2:7">
      <c r="B18" s="4" t="s">
        <v>378</v>
      </c>
      <c r="C18" s="1"/>
      <c r="D18" s="1"/>
      <c r="E18" s="1"/>
      <c r="F18" s="138">
        <f>TB!B457</f>
        <v>0</v>
      </c>
      <c r="G18" s="138">
        <f>TB!D457</f>
        <v>0</v>
      </c>
    </row>
    <row r="19" spans="2:7">
      <c r="B19" s="4" t="s">
        <v>379</v>
      </c>
      <c r="C19" s="1"/>
      <c r="D19" s="1"/>
      <c r="E19" s="1"/>
      <c r="F19" s="138">
        <f>TB!B458</f>
        <v>0</v>
      </c>
      <c r="G19" s="138">
        <f>TB!D458</f>
        <v>0</v>
      </c>
    </row>
    <row r="20" spans="2:7">
      <c r="B20" s="1"/>
      <c r="C20" s="1"/>
      <c r="D20" s="1"/>
      <c r="E20" s="1"/>
      <c r="F20" s="41">
        <f>SUM(F15:F19)</f>
        <v>0</v>
      </c>
      <c r="G20" s="41">
        <f>SUM(G15:G19)</f>
        <v>0</v>
      </c>
    </row>
    <row r="21" spans="2:7">
      <c r="B21" s="1"/>
      <c r="C21" s="1"/>
      <c r="D21" s="1"/>
      <c r="E21" s="1"/>
      <c r="F21" s="9"/>
      <c r="G21" s="1"/>
    </row>
    <row r="22" spans="2:7">
      <c r="B22" s="7" t="s">
        <v>380</v>
      </c>
      <c r="C22" s="1"/>
      <c r="D22" s="1"/>
      <c r="E22" s="1"/>
      <c r="F22" s="9"/>
      <c r="G22" s="1"/>
    </row>
    <row r="23" spans="2:7">
      <c r="B23" s="4" t="s">
        <v>375</v>
      </c>
      <c r="C23" s="1"/>
      <c r="D23" s="1"/>
      <c r="E23" s="1"/>
      <c r="F23" s="138">
        <f>TB!B461</f>
        <v>0</v>
      </c>
      <c r="G23" s="138">
        <f>TB!D461</f>
        <v>0</v>
      </c>
    </row>
    <row r="24" spans="2:7">
      <c r="B24" s="4" t="s">
        <v>376</v>
      </c>
      <c r="C24" s="1"/>
      <c r="D24" s="1"/>
      <c r="E24" s="1"/>
      <c r="F24" s="138">
        <f>TB!B462</f>
        <v>0</v>
      </c>
      <c r="G24" s="138">
        <f>TB!D462</f>
        <v>0</v>
      </c>
    </row>
    <row r="25" spans="2:7">
      <c r="B25" s="4" t="s">
        <v>377</v>
      </c>
      <c r="C25" s="1"/>
      <c r="D25" s="1"/>
      <c r="E25" s="1"/>
      <c r="F25" s="138">
        <f>TB!B463</f>
        <v>0</v>
      </c>
      <c r="G25" s="138">
        <f>TB!D463</f>
        <v>0</v>
      </c>
    </row>
    <row r="26" spans="2:7">
      <c r="B26" s="4" t="s">
        <v>379</v>
      </c>
      <c r="C26" s="1"/>
      <c r="D26" s="1"/>
      <c r="E26" s="1"/>
      <c r="F26" s="138">
        <f>TB!B464</f>
        <v>0</v>
      </c>
      <c r="G26" s="138">
        <f>TB!D464</f>
        <v>0</v>
      </c>
    </row>
    <row r="27" spans="2:7">
      <c r="B27" s="1"/>
      <c r="C27" s="1"/>
      <c r="D27" s="1"/>
      <c r="E27" s="1"/>
      <c r="F27" s="41">
        <f>SUM(F23:F26)</f>
        <v>0</v>
      </c>
      <c r="G27" s="41">
        <f>SUM(G23:G26)</f>
        <v>0</v>
      </c>
    </row>
    <row r="28" spans="2:7">
      <c r="B28" s="1"/>
      <c r="C28" s="1"/>
      <c r="D28" s="1"/>
      <c r="E28" s="1"/>
      <c r="F28" s="17"/>
      <c r="G28" s="3"/>
    </row>
    <row r="29" spans="2:7">
      <c r="B29" s="7" t="s">
        <v>381</v>
      </c>
      <c r="C29" s="1"/>
      <c r="D29" s="1"/>
      <c r="E29" s="1"/>
      <c r="F29" s="138">
        <f>TB!B466</f>
        <v>0</v>
      </c>
      <c r="G29" s="138">
        <f>TB!D466</f>
        <v>0</v>
      </c>
    </row>
    <row r="30" spans="2:7">
      <c r="B30" s="7" t="s">
        <v>382</v>
      </c>
      <c r="C30" s="1"/>
      <c r="D30" s="1"/>
      <c r="E30" s="1"/>
      <c r="F30" s="138">
        <f>TB!B467</f>
        <v>0</v>
      </c>
      <c r="G30" s="138">
        <f>TB!D467</f>
        <v>0</v>
      </c>
    </row>
    <row r="31" spans="2:7">
      <c r="B31" s="1"/>
      <c r="C31" s="1"/>
      <c r="D31" s="1"/>
      <c r="E31" s="1"/>
      <c r="F31" s="9"/>
      <c r="G31" s="1"/>
    </row>
    <row r="32" spans="2:7" ht="15.75" thickBot="1">
      <c r="B32" s="44"/>
      <c r="C32" s="44"/>
      <c r="D32" s="44"/>
      <c r="E32" s="44"/>
      <c r="F32" s="46">
        <f>F30+F29+F27+F20+F12</f>
        <v>0</v>
      </c>
      <c r="G32" s="46">
        <f>G30+G29+G27+G20+G12</f>
        <v>0</v>
      </c>
    </row>
    <row r="33" spans="2:7">
      <c r="B33" s="7"/>
      <c r="C33" s="1"/>
      <c r="D33" s="1"/>
      <c r="E33" s="1"/>
      <c r="F33" s="9"/>
      <c r="G33" s="1"/>
    </row>
    <row r="34" spans="2:7">
      <c r="B34" s="7"/>
      <c r="C34" s="1"/>
      <c r="D34" s="1"/>
      <c r="E34" s="1"/>
      <c r="F34" s="9"/>
      <c r="G34" s="1"/>
    </row>
    <row r="35" spans="2:7">
      <c r="B35" s="7" t="s">
        <v>383</v>
      </c>
      <c r="C35" s="1"/>
      <c r="D35" s="1"/>
      <c r="E35" s="1"/>
      <c r="F35" s="9"/>
      <c r="G35" s="1"/>
    </row>
    <row r="36" spans="2:7">
      <c r="B36" s="7"/>
      <c r="C36" s="1"/>
      <c r="D36" s="1"/>
      <c r="E36" s="1"/>
      <c r="F36" s="9"/>
      <c r="G36" s="1"/>
    </row>
    <row r="37" spans="2:7">
      <c r="B37" s="7"/>
      <c r="C37" s="1"/>
      <c r="D37" s="1"/>
      <c r="E37" s="1"/>
      <c r="F37" s="9"/>
      <c r="G37" s="1"/>
    </row>
    <row r="38" spans="2:7">
      <c r="B38" s="7"/>
      <c r="C38" s="1"/>
      <c r="D38" s="1"/>
      <c r="E38" s="1"/>
      <c r="F38" s="9"/>
      <c r="G38" s="1"/>
    </row>
    <row r="39" spans="2:7">
      <c r="B39" s="7"/>
      <c r="C39" s="1"/>
      <c r="D39" s="1"/>
      <c r="E39" s="1"/>
      <c r="F39" s="9"/>
      <c r="G39" s="1"/>
    </row>
    <row r="40" spans="2:7">
      <c r="B40" s="7"/>
      <c r="C40" s="1"/>
      <c r="D40" s="1"/>
      <c r="E40" s="1"/>
      <c r="F40" s="9"/>
      <c r="G40" s="1"/>
    </row>
    <row r="41" spans="2:7">
      <c r="B41" s="7"/>
      <c r="C41" s="1"/>
      <c r="D41" s="1"/>
      <c r="E41" s="1"/>
      <c r="F41" s="9"/>
      <c r="G41" s="1"/>
    </row>
    <row r="42" spans="2:7">
      <c r="B42" s="7" t="s">
        <v>285</v>
      </c>
      <c r="C42" s="1"/>
      <c r="D42" s="1"/>
      <c r="E42" s="1"/>
      <c r="F42" s="9"/>
      <c r="G42" s="1"/>
    </row>
    <row r="43" spans="2:7">
      <c r="B43" s="7"/>
      <c r="C43" s="1"/>
      <c r="D43" s="1"/>
      <c r="E43" s="1"/>
      <c r="F43" s="9"/>
      <c r="G43" s="1"/>
    </row>
    <row r="44" spans="2:7">
      <c r="B44" s="7"/>
      <c r="C44" s="1"/>
      <c r="D44" s="1"/>
      <c r="E44" s="1"/>
      <c r="F44" s="9"/>
      <c r="G44" s="1"/>
    </row>
    <row r="45" spans="2:7">
      <c r="B45" s="7"/>
      <c r="C45" s="1"/>
      <c r="D45" s="1"/>
      <c r="E45" s="1"/>
      <c r="F45" s="9"/>
      <c r="G45" s="1"/>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sheetPr codeName="Sheet22">
    <tabColor rgb="FF92D050"/>
  </sheetPr>
  <dimension ref="B1:H56"/>
  <sheetViews>
    <sheetView workbookViewId="0">
      <selection activeCell="B1" sqref="B1"/>
    </sheetView>
  </sheetViews>
  <sheetFormatPr defaultRowHeight="15"/>
  <cols>
    <col min="7" max="7" width="18.5703125" customWidth="1"/>
    <col min="8" max="8" width="16.140625" customWidth="1"/>
  </cols>
  <sheetData>
    <row r="1" spans="2:8" ht="18.75">
      <c r="B1" s="126" t="str">
        <f>PL!B1</f>
        <v>ABC LTD</v>
      </c>
      <c r="C1" s="126"/>
      <c r="D1" s="126"/>
      <c r="E1" s="126"/>
    </row>
    <row r="2" spans="2:8" ht="15.75" thickBot="1">
      <c r="B2" s="127" t="str">
        <f>'1'!B2</f>
        <v>Notes to financial statements for the year ended 31/03/2012</v>
      </c>
      <c r="C2" s="127"/>
      <c r="D2" s="127"/>
      <c r="E2" s="127"/>
      <c r="F2" s="127"/>
      <c r="G2" s="127"/>
      <c r="H2" s="127"/>
    </row>
    <row r="4" spans="2:8">
      <c r="B4" s="1"/>
      <c r="C4" s="1"/>
      <c r="D4" s="1"/>
      <c r="E4" s="1"/>
      <c r="F4" s="1"/>
      <c r="G4" s="9"/>
      <c r="H4" s="1"/>
    </row>
    <row r="5" spans="2:8" ht="16.5" thickBot="1">
      <c r="B5" s="36" t="str">
        <f>CONCATENATE(BS!D48,".  SHORT TERM LOANS &amp; ADVANCES")</f>
        <v xml:space="preserve"> .  SHORT TERM LOANS &amp; ADVANCES</v>
      </c>
      <c r="C5" s="25"/>
      <c r="D5" s="25"/>
      <c r="E5" s="25"/>
      <c r="F5" s="25"/>
      <c r="G5" s="37" t="s">
        <v>94</v>
      </c>
      <c r="H5" s="38" t="s">
        <v>95</v>
      </c>
    </row>
    <row r="6" spans="2:8">
      <c r="B6" s="5" t="s">
        <v>334</v>
      </c>
      <c r="C6" s="1"/>
      <c r="D6" s="1"/>
      <c r="E6" s="1"/>
      <c r="F6" s="1"/>
      <c r="G6" s="9"/>
      <c r="H6" s="1"/>
    </row>
    <row r="7" spans="2:8">
      <c r="B7" s="4" t="s">
        <v>326</v>
      </c>
      <c r="C7" s="1"/>
      <c r="D7" s="1"/>
      <c r="E7" s="1"/>
      <c r="F7" s="1"/>
      <c r="G7" s="39">
        <f>TB!B472</f>
        <v>0</v>
      </c>
      <c r="H7" s="138">
        <f>TB!D472</f>
        <v>0</v>
      </c>
    </row>
    <row r="8" spans="2:8">
      <c r="B8" s="4" t="s">
        <v>327</v>
      </c>
      <c r="C8" s="1"/>
      <c r="D8" s="1"/>
      <c r="E8" s="1"/>
      <c r="F8" s="1"/>
      <c r="G8" s="138">
        <f>TB!B473</f>
        <v>0</v>
      </c>
      <c r="H8" s="138">
        <f>TB!D473</f>
        <v>0</v>
      </c>
    </row>
    <row r="9" spans="2:8">
      <c r="B9" s="4" t="s">
        <v>328</v>
      </c>
      <c r="C9" s="1"/>
      <c r="D9" s="1"/>
      <c r="E9" s="1"/>
      <c r="F9" s="1"/>
      <c r="G9" s="138">
        <f>TB!B474</f>
        <v>0</v>
      </c>
      <c r="H9" s="138">
        <f>TB!D474</f>
        <v>0</v>
      </c>
    </row>
    <row r="10" spans="2:8">
      <c r="B10" s="4" t="s">
        <v>335</v>
      </c>
      <c r="C10" s="1"/>
      <c r="D10" s="1"/>
      <c r="E10" s="1"/>
      <c r="F10" s="1"/>
      <c r="G10" s="138">
        <f>TB!C475</f>
        <v>0</v>
      </c>
      <c r="H10" s="138">
        <f>TB!E475</f>
        <v>0</v>
      </c>
    </row>
    <row r="11" spans="2:8">
      <c r="B11" s="5"/>
      <c r="C11" s="1"/>
      <c r="D11" s="1"/>
      <c r="E11" s="1"/>
      <c r="F11" s="1"/>
      <c r="G11" s="41">
        <f>SUM(G7:G9)-G10</f>
        <v>0</v>
      </c>
      <c r="H11" s="41">
        <f>SUM(H7:H9)-H10</f>
        <v>0</v>
      </c>
    </row>
    <row r="12" spans="2:8">
      <c r="B12" s="5"/>
      <c r="C12" s="1"/>
      <c r="D12" s="1"/>
      <c r="E12" s="1"/>
      <c r="F12" s="1"/>
      <c r="G12" s="9"/>
      <c r="H12" s="1"/>
    </row>
    <row r="13" spans="2:8">
      <c r="B13" s="5" t="s">
        <v>336</v>
      </c>
      <c r="C13" s="1"/>
      <c r="D13" s="1"/>
      <c r="E13" s="1"/>
      <c r="F13" s="1"/>
      <c r="G13" s="9"/>
      <c r="H13" s="1"/>
    </row>
    <row r="14" spans="2:8">
      <c r="B14" s="4" t="s">
        <v>326</v>
      </c>
      <c r="C14" s="1"/>
      <c r="D14" s="1"/>
      <c r="E14" s="1"/>
      <c r="F14" s="1"/>
      <c r="G14" s="138">
        <f>TB!B478</f>
        <v>0</v>
      </c>
      <c r="H14" s="138">
        <f>TB!D478</f>
        <v>0</v>
      </c>
    </row>
    <row r="15" spans="2:8">
      <c r="B15" s="4" t="s">
        <v>327</v>
      </c>
      <c r="C15" s="1"/>
      <c r="D15" s="1"/>
      <c r="E15" s="1"/>
      <c r="F15" s="1"/>
      <c r="G15" s="138">
        <f>TB!B479</f>
        <v>0</v>
      </c>
      <c r="H15" s="138">
        <f>TB!D479</f>
        <v>0</v>
      </c>
    </row>
    <row r="16" spans="2:8">
      <c r="B16" s="4" t="s">
        <v>328</v>
      </c>
      <c r="C16" s="1"/>
      <c r="D16" s="1"/>
      <c r="E16" s="1"/>
      <c r="F16" s="1"/>
      <c r="G16" s="138">
        <f>TB!B480</f>
        <v>0</v>
      </c>
      <c r="H16" s="138">
        <f>TB!D480</f>
        <v>0</v>
      </c>
    </row>
    <row r="17" spans="2:8">
      <c r="B17" s="4" t="s">
        <v>337</v>
      </c>
      <c r="C17" s="1"/>
      <c r="D17" s="1"/>
      <c r="E17" s="1"/>
      <c r="F17" s="1"/>
      <c r="G17" s="138">
        <f>TB!C481</f>
        <v>0</v>
      </c>
      <c r="H17" s="138">
        <f>TB!E481</f>
        <v>0</v>
      </c>
    </row>
    <row r="18" spans="2:8">
      <c r="B18" s="5"/>
      <c r="C18" s="1"/>
      <c r="D18" s="1"/>
      <c r="E18" s="1"/>
      <c r="F18" s="1"/>
      <c r="G18" s="41">
        <f>G14+G15+G16-G17</f>
        <v>0</v>
      </c>
      <c r="H18" s="41">
        <f>H14+H15+H16-H17</f>
        <v>0</v>
      </c>
    </row>
    <row r="19" spans="2:8">
      <c r="B19" s="5"/>
      <c r="C19" s="1"/>
      <c r="D19" s="1"/>
      <c r="E19" s="1"/>
      <c r="F19" s="1"/>
      <c r="G19" s="9"/>
      <c r="H19" s="1"/>
    </row>
    <row r="20" spans="2:8">
      <c r="B20" s="5" t="s">
        <v>338</v>
      </c>
      <c r="C20" s="1"/>
      <c r="D20" s="1"/>
      <c r="E20" s="1"/>
      <c r="F20" s="1"/>
      <c r="G20" s="9"/>
      <c r="H20" s="1"/>
    </row>
    <row r="21" spans="2:8">
      <c r="B21" s="4" t="s">
        <v>326</v>
      </c>
      <c r="C21" s="1"/>
      <c r="D21" s="1"/>
      <c r="E21" s="1"/>
      <c r="F21" s="1"/>
      <c r="G21" s="138">
        <f>TB!B484</f>
        <v>0</v>
      </c>
      <c r="H21" s="138">
        <f>TB!D484</f>
        <v>0</v>
      </c>
    </row>
    <row r="22" spans="2:8">
      <c r="B22" s="4" t="s">
        <v>327</v>
      </c>
      <c r="C22" s="1"/>
      <c r="D22" s="1"/>
      <c r="E22" s="1"/>
      <c r="F22" s="1"/>
      <c r="G22" s="138">
        <f>TB!B485</f>
        <v>0</v>
      </c>
      <c r="H22" s="138">
        <f>TB!D485</f>
        <v>0</v>
      </c>
    </row>
    <row r="23" spans="2:8">
      <c r="B23" s="4" t="s">
        <v>328</v>
      </c>
      <c r="C23" s="1"/>
      <c r="D23" s="1"/>
      <c r="E23" s="1"/>
      <c r="F23" s="1"/>
      <c r="G23" s="138">
        <f>TB!B486</f>
        <v>0</v>
      </c>
      <c r="H23" s="138">
        <f>TB!D486</f>
        <v>0</v>
      </c>
    </row>
    <row r="24" spans="2:8">
      <c r="B24" s="4" t="s">
        <v>339</v>
      </c>
      <c r="C24" s="1"/>
      <c r="D24" s="1"/>
      <c r="E24" s="1"/>
      <c r="F24" s="1"/>
      <c r="G24" s="138">
        <f>TB!C487</f>
        <v>0</v>
      </c>
      <c r="H24" s="138">
        <f>TB!E487</f>
        <v>0</v>
      </c>
    </row>
    <row r="25" spans="2:8">
      <c r="B25" s="5"/>
      <c r="C25" s="1"/>
      <c r="D25" s="1"/>
      <c r="E25" s="1"/>
      <c r="F25" s="1"/>
      <c r="G25" s="41">
        <f>G21+G22+G23-G24</f>
        <v>0</v>
      </c>
      <c r="H25" s="41">
        <f>H21+H22+H23-H24</f>
        <v>0</v>
      </c>
    </row>
    <row r="26" spans="2:8">
      <c r="B26" s="5"/>
      <c r="C26" s="1"/>
      <c r="D26" s="1"/>
      <c r="E26" s="1"/>
      <c r="F26" s="1"/>
      <c r="G26" s="9"/>
      <c r="H26" s="1"/>
    </row>
    <row r="27" spans="2:8">
      <c r="B27" s="5" t="s">
        <v>340</v>
      </c>
      <c r="C27" s="1"/>
      <c r="D27" s="1"/>
      <c r="E27" s="1"/>
      <c r="F27" s="1"/>
      <c r="G27" s="9"/>
      <c r="H27" s="1"/>
    </row>
    <row r="28" spans="2:8">
      <c r="B28" s="4" t="s">
        <v>326</v>
      </c>
      <c r="C28" s="1"/>
      <c r="D28" s="1"/>
      <c r="E28" s="1"/>
      <c r="F28" s="1"/>
      <c r="G28" s="138">
        <f>TB!B490</f>
        <v>0</v>
      </c>
      <c r="H28" s="138">
        <f>TB!D490</f>
        <v>0</v>
      </c>
    </row>
    <row r="29" spans="2:8">
      <c r="B29" s="4" t="s">
        <v>327</v>
      </c>
      <c r="C29" s="1"/>
      <c r="D29" s="1"/>
      <c r="E29" s="1"/>
      <c r="F29" s="1"/>
      <c r="G29" s="138">
        <f>TB!B491</f>
        <v>0</v>
      </c>
      <c r="H29" s="138">
        <f>TB!D491</f>
        <v>0</v>
      </c>
    </row>
    <row r="30" spans="2:8">
      <c r="B30" s="4" t="s">
        <v>328</v>
      </c>
      <c r="C30" s="1"/>
      <c r="D30" s="1"/>
      <c r="E30" s="1"/>
      <c r="F30" s="1"/>
      <c r="G30" s="138">
        <f>TB!B492</f>
        <v>0</v>
      </c>
      <c r="H30" s="138">
        <f>TB!D492</f>
        <v>0</v>
      </c>
    </row>
    <row r="31" spans="2:8">
      <c r="B31" s="4" t="s">
        <v>341</v>
      </c>
      <c r="C31" s="1"/>
      <c r="D31" s="1"/>
      <c r="E31" s="1"/>
      <c r="F31" s="1"/>
      <c r="G31" s="138">
        <f>TB!C493</f>
        <v>0</v>
      </c>
      <c r="H31" s="138">
        <f>TB!E493</f>
        <v>0</v>
      </c>
    </row>
    <row r="32" spans="2:8">
      <c r="B32" s="5"/>
      <c r="C32" s="1"/>
      <c r="D32" s="1"/>
      <c r="E32" s="1"/>
      <c r="F32" s="1"/>
      <c r="G32" s="41">
        <f>G28+G29+G30-G31</f>
        <v>0</v>
      </c>
      <c r="H32" s="41">
        <f>H28+H29+H30-H31</f>
        <v>0</v>
      </c>
    </row>
    <row r="33" spans="2:8">
      <c r="B33" s="5"/>
      <c r="C33" s="1"/>
      <c r="D33" s="1"/>
      <c r="E33" s="1"/>
      <c r="F33" s="1"/>
      <c r="G33" s="9"/>
      <c r="H33" s="1"/>
    </row>
    <row r="34" spans="2:8">
      <c r="B34" s="5" t="s">
        <v>384</v>
      </c>
      <c r="C34" s="1"/>
      <c r="D34" s="1"/>
      <c r="E34" s="1"/>
      <c r="F34" s="1"/>
      <c r="G34" s="9"/>
      <c r="H34" s="1"/>
    </row>
    <row r="35" spans="2:8">
      <c r="B35" s="4" t="s">
        <v>326</v>
      </c>
      <c r="C35" s="1"/>
      <c r="D35" s="1"/>
      <c r="E35" s="1"/>
      <c r="F35" s="1"/>
      <c r="G35" s="138">
        <f>TB!B496</f>
        <v>0</v>
      </c>
      <c r="H35" s="138">
        <f>TB!D496</f>
        <v>0</v>
      </c>
    </row>
    <row r="36" spans="2:8">
      <c r="B36" s="4" t="s">
        <v>327</v>
      </c>
      <c r="C36" s="1"/>
      <c r="D36" s="1"/>
      <c r="E36" s="1"/>
      <c r="F36" s="1"/>
      <c r="G36" s="138">
        <f>TB!B497</f>
        <v>0</v>
      </c>
      <c r="H36" s="138">
        <f>TB!D497</f>
        <v>0</v>
      </c>
    </row>
    <row r="37" spans="2:8">
      <c r="B37" s="4" t="s">
        <v>328</v>
      </c>
      <c r="C37" s="1"/>
      <c r="D37" s="1"/>
      <c r="E37" s="1"/>
      <c r="F37" s="1"/>
      <c r="G37" s="138">
        <f>TB!B498</f>
        <v>0</v>
      </c>
      <c r="H37" s="138">
        <f>TB!D498</f>
        <v>0</v>
      </c>
    </row>
    <row r="38" spans="2:8">
      <c r="B38" s="4" t="s">
        <v>347</v>
      </c>
      <c r="C38" s="1"/>
      <c r="D38" s="1"/>
      <c r="E38" s="1"/>
      <c r="F38" s="1"/>
      <c r="G38" s="138">
        <f>TB!C499</f>
        <v>0</v>
      </c>
      <c r="H38" s="138">
        <f>TB!E499</f>
        <v>0</v>
      </c>
    </row>
    <row r="39" spans="2:8">
      <c r="B39" s="5"/>
      <c r="C39" s="1"/>
      <c r="D39" s="1"/>
      <c r="E39" s="1"/>
      <c r="F39" s="1"/>
      <c r="G39" s="41">
        <f>G35+G36+G37-G38</f>
        <v>0</v>
      </c>
      <c r="H39" s="41">
        <f>H35+H36+H37-H38</f>
        <v>0</v>
      </c>
    </row>
    <row r="40" spans="2:8">
      <c r="B40" s="1"/>
      <c r="C40" s="1"/>
      <c r="D40" s="1"/>
      <c r="E40" s="1"/>
      <c r="F40" s="1"/>
      <c r="G40" s="9"/>
      <c r="H40" s="1"/>
    </row>
    <row r="41" spans="2:8" ht="15.75" thickBot="1">
      <c r="B41" s="44"/>
      <c r="C41" s="44"/>
      <c r="D41" s="44"/>
      <c r="E41" s="44"/>
      <c r="F41" s="44"/>
      <c r="G41" s="46">
        <f>G39+G32+G25+G18+G11</f>
        <v>0</v>
      </c>
      <c r="H41" s="46">
        <f>H39+H32+H25+H18+H11</f>
        <v>0</v>
      </c>
    </row>
    <row r="42" spans="2:8">
      <c r="B42" s="7"/>
      <c r="C42" s="1"/>
      <c r="D42" s="1"/>
      <c r="E42" s="1"/>
      <c r="F42" s="1"/>
      <c r="G42" s="9"/>
      <c r="H42" s="1"/>
    </row>
    <row r="43" spans="2:8">
      <c r="B43" s="1"/>
      <c r="C43" s="1"/>
      <c r="D43" s="1"/>
      <c r="E43" s="1"/>
      <c r="F43" s="1"/>
      <c r="G43" s="9"/>
      <c r="H43" s="1"/>
    </row>
    <row r="44" spans="2:8">
      <c r="B44" s="7" t="s">
        <v>385</v>
      </c>
      <c r="C44" s="1"/>
      <c r="D44" s="1"/>
      <c r="E44" s="1"/>
      <c r="F44" s="1"/>
      <c r="G44" s="9"/>
      <c r="H44" s="1"/>
    </row>
    <row r="45" spans="2:8" ht="15.75" thickBot="1">
      <c r="B45" s="7"/>
      <c r="C45" s="1"/>
      <c r="D45" s="1"/>
      <c r="E45" s="1"/>
      <c r="F45" s="1"/>
      <c r="G45" s="37" t="s">
        <v>94</v>
      </c>
      <c r="H45" s="38" t="s">
        <v>95</v>
      </c>
    </row>
    <row r="46" spans="2:8">
      <c r="B46" s="1" t="s">
        <v>349</v>
      </c>
      <c r="C46" s="1"/>
      <c r="D46" s="1"/>
      <c r="E46" s="1"/>
      <c r="F46" s="1"/>
      <c r="G46" s="9" t="s">
        <v>459</v>
      </c>
      <c r="H46" s="9" t="s">
        <v>459</v>
      </c>
    </row>
    <row r="47" spans="2:8">
      <c r="B47" s="1" t="s">
        <v>350</v>
      </c>
      <c r="C47" s="1"/>
      <c r="D47" s="1"/>
      <c r="E47" s="1"/>
      <c r="F47" s="1"/>
      <c r="G47" s="9" t="s">
        <v>459</v>
      </c>
      <c r="H47" s="9" t="s">
        <v>459</v>
      </c>
    </row>
    <row r="48" spans="2:8">
      <c r="B48" s="1" t="s">
        <v>351</v>
      </c>
      <c r="C48" s="1"/>
      <c r="D48" s="1"/>
      <c r="E48" s="1"/>
      <c r="F48" s="1"/>
      <c r="G48" s="9" t="s">
        <v>459</v>
      </c>
      <c r="H48" s="9" t="s">
        <v>459</v>
      </c>
    </row>
    <row r="49" spans="2:8">
      <c r="B49" s="1" t="s">
        <v>352</v>
      </c>
      <c r="C49" s="1"/>
      <c r="D49" s="1"/>
      <c r="E49" s="1"/>
      <c r="F49" s="1"/>
      <c r="G49" s="9" t="s">
        <v>459</v>
      </c>
      <c r="H49" s="9" t="s">
        <v>459</v>
      </c>
    </row>
    <row r="50" spans="2:8">
      <c r="B50" s="1" t="s">
        <v>353</v>
      </c>
      <c r="C50" s="1"/>
      <c r="D50" s="1"/>
      <c r="E50" s="1"/>
      <c r="F50" s="1"/>
      <c r="G50" s="9" t="s">
        <v>459</v>
      </c>
      <c r="H50" s="9" t="s">
        <v>459</v>
      </c>
    </row>
    <row r="51" spans="2:8">
      <c r="B51" s="1" t="s">
        <v>354</v>
      </c>
      <c r="C51" s="1"/>
      <c r="D51" s="1"/>
      <c r="E51" s="1"/>
      <c r="F51" s="1"/>
      <c r="G51" s="9" t="s">
        <v>459</v>
      </c>
      <c r="H51" s="9" t="s">
        <v>459</v>
      </c>
    </row>
    <row r="52" spans="2:8">
      <c r="B52" s="7"/>
      <c r="C52" s="1"/>
      <c r="D52" s="1"/>
      <c r="E52" s="1"/>
      <c r="F52" s="1"/>
      <c r="G52" s="9"/>
      <c r="H52" s="1"/>
    </row>
    <row r="53" spans="2:8">
      <c r="B53" s="7" t="s">
        <v>285</v>
      </c>
      <c r="C53" s="1"/>
      <c r="D53" s="1"/>
      <c r="E53" s="1"/>
      <c r="F53" s="1"/>
      <c r="G53" s="9"/>
      <c r="H53" s="1"/>
    </row>
    <row r="54" spans="2:8">
      <c r="B54" s="7"/>
      <c r="C54" s="1"/>
      <c r="D54" s="1"/>
      <c r="E54" s="1"/>
      <c r="F54" s="1"/>
      <c r="G54" s="9"/>
      <c r="H54" s="1"/>
    </row>
    <row r="55" spans="2:8">
      <c r="B55" s="7"/>
      <c r="C55" s="1"/>
      <c r="D55" s="1"/>
      <c r="E55" s="1"/>
      <c r="F55" s="1"/>
      <c r="G55" s="9"/>
      <c r="H55" s="1"/>
    </row>
    <row r="56" spans="2:8">
      <c r="B56" s="7"/>
      <c r="C56" s="1"/>
      <c r="D56" s="1"/>
      <c r="E56" s="1"/>
      <c r="F56" s="1"/>
      <c r="G56" s="9"/>
      <c r="H56" s="1"/>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sheetPr codeName="Sheet23">
    <tabColor rgb="FF92D050"/>
  </sheetPr>
  <dimension ref="B1:E21"/>
  <sheetViews>
    <sheetView workbookViewId="0"/>
  </sheetViews>
  <sheetFormatPr defaultRowHeight="15"/>
  <cols>
    <col min="2" max="2" width="35.85546875" customWidth="1"/>
    <col min="4" max="5" width="16.140625" customWidth="1"/>
  </cols>
  <sheetData>
    <row r="1" spans="2:5" ht="18.75">
      <c r="B1" s="126" t="str">
        <f>PL!B1</f>
        <v>ABC LTD</v>
      </c>
      <c r="C1" s="126"/>
    </row>
    <row r="2" spans="2:5" ht="15.75" thickBot="1">
      <c r="B2" s="127" t="str">
        <f>'1'!B2</f>
        <v>Notes to financial statements for the year ended 31/03/2012</v>
      </c>
      <c r="C2" s="127"/>
      <c r="D2" s="127"/>
      <c r="E2" s="127"/>
    </row>
    <row r="5" spans="2:5" ht="16.5" thickBot="1">
      <c r="B5" s="36" t="str">
        <f>CONCATENATE(BS!D49,".  OTHER CURRENT ASSETS")</f>
        <v xml:space="preserve"> .  OTHER CURRENT ASSETS</v>
      </c>
      <c r="C5" s="25"/>
      <c r="D5" s="37" t="s">
        <v>94</v>
      </c>
      <c r="E5" s="38" t="s">
        <v>95</v>
      </c>
    </row>
    <row r="6" spans="2:5">
      <c r="B6" s="84" t="s">
        <v>386</v>
      </c>
      <c r="C6" s="1"/>
      <c r="D6" s="39">
        <f>TB!B503</f>
        <v>0</v>
      </c>
      <c r="E6" s="138">
        <f>TB!D503</f>
        <v>0</v>
      </c>
    </row>
    <row r="7" spans="2:5">
      <c r="B7" s="85" t="s">
        <v>387</v>
      </c>
      <c r="C7" s="1"/>
      <c r="D7" s="138">
        <f>TB!B504</f>
        <v>0</v>
      </c>
      <c r="E7" s="138">
        <f>TB!D504</f>
        <v>0</v>
      </c>
    </row>
    <row r="8" spans="2:5">
      <c r="B8" s="84" t="s">
        <v>388</v>
      </c>
      <c r="C8" s="1"/>
      <c r="D8" s="138">
        <f>TB!B505</f>
        <v>0</v>
      </c>
      <c r="E8" s="138">
        <f>TB!D505</f>
        <v>0</v>
      </c>
    </row>
    <row r="9" spans="2:5">
      <c r="B9" s="86" t="s">
        <v>389</v>
      </c>
      <c r="C9" s="1"/>
      <c r="D9" s="138">
        <f>TB!B506</f>
        <v>0</v>
      </c>
      <c r="E9" s="138">
        <f>TB!D506</f>
        <v>0</v>
      </c>
    </row>
    <row r="10" spans="2:5">
      <c r="B10" s="84" t="s">
        <v>390</v>
      </c>
      <c r="C10" s="1"/>
      <c r="D10" s="138">
        <f>TB!B507</f>
        <v>0</v>
      </c>
      <c r="E10" s="138">
        <f>TB!D507</f>
        <v>0</v>
      </c>
    </row>
    <row r="11" spans="2:5">
      <c r="B11" s="87" t="s">
        <v>391</v>
      </c>
      <c r="C11" s="1"/>
      <c r="D11" s="138">
        <f>TB!B508</f>
        <v>0</v>
      </c>
      <c r="E11" s="138">
        <f>TB!D508</f>
        <v>0</v>
      </c>
    </row>
    <row r="12" spans="2:5">
      <c r="B12" s="87" t="s">
        <v>392</v>
      </c>
      <c r="C12" s="1"/>
      <c r="D12" s="138">
        <f>TB!B509</f>
        <v>0</v>
      </c>
      <c r="E12" s="138">
        <f>TB!D509</f>
        <v>0</v>
      </c>
    </row>
    <row r="13" spans="2:5">
      <c r="B13" s="87" t="s">
        <v>393</v>
      </c>
      <c r="C13" s="1"/>
      <c r="D13" s="138">
        <f>TB!B510</f>
        <v>0</v>
      </c>
      <c r="E13" s="138">
        <f>TB!D510</f>
        <v>0</v>
      </c>
    </row>
    <row r="14" spans="2:5">
      <c r="B14" s="85" t="s">
        <v>394</v>
      </c>
      <c r="C14" s="1"/>
      <c r="D14" s="138">
        <f>TB!B511</f>
        <v>0</v>
      </c>
      <c r="E14" s="138">
        <f>TB!D511</f>
        <v>0</v>
      </c>
    </row>
    <row r="15" spans="2:5">
      <c r="B15" s="88" t="s">
        <v>395</v>
      </c>
      <c r="C15" s="1"/>
      <c r="D15" s="138">
        <f>TB!B512</f>
        <v>0</v>
      </c>
      <c r="E15" s="138">
        <f>TB!D512</f>
        <v>0</v>
      </c>
    </row>
    <row r="16" spans="2:5">
      <c r="B16" s="88" t="s">
        <v>396</v>
      </c>
      <c r="C16" s="1"/>
      <c r="D16" s="138">
        <f>TB!B513</f>
        <v>0</v>
      </c>
      <c r="E16" s="138">
        <f>TB!D513</f>
        <v>0</v>
      </c>
    </row>
    <row r="17" spans="2:5">
      <c r="B17" s="88" t="s">
        <v>397</v>
      </c>
      <c r="C17" s="1"/>
      <c r="D17" s="138">
        <f>TB!B514</f>
        <v>0</v>
      </c>
      <c r="E17" s="138">
        <f>TB!D514</f>
        <v>0</v>
      </c>
    </row>
    <row r="18" spans="2:5">
      <c r="B18" s="85" t="s">
        <v>398</v>
      </c>
      <c r="C18" s="1"/>
      <c r="D18" s="138">
        <f>TB!B515</f>
        <v>0</v>
      </c>
      <c r="E18" s="138">
        <f>TB!D515</f>
        <v>0</v>
      </c>
    </row>
    <row r="19" spans="2:5">
      <c r="B19" s="1"/>
      <c r="C19" s="1"/>
      <c r="D19" s="9"/>
      <c r="E19" s="1"/>
    </row>
    <row r="20" spans="2:5" ht="15.75" thickBot="1">
      <c r="B20" s="44"/>
      <c r="C20" s="44"/>
      <c r="D20" s="46">
        <f>SUM(D6:D19)</f>
        <v>0</v>
      </c>
      <c r="E20" s="45">
        <f>SUM(E6:E19)</f>
        <v>0</v>
      </c>
    </row>
    <row r="21" spans="2:5">
      <c r="B21" s="7" t="s">
        <v>222</v>
      </c>
      <c r="C21" s="1"/>
      <c r="D21" s="9"/>
      <c r="E21" s="1"/>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sheetPr codeName="Sheet24">
    <tabColor rgb="FF92D050"/>
  </sheetPr>
  <dimension ref="B1:F38"/>
  <sheetViews>
    <sheetView workbookViewId="0">
      <selection activeCell="A10" sqref="A10"/>
    </sheetView>
  </sheetViews>
  <sheetFormatPr defaultColWidth="12.28515625" defaultRowHeight="15"/>
  <cols>
    <col min="5" max="6" width="17.28515625" customWidth="1"/>
  </cols>
  <sheetData>
    <row r="1" spans="2:6" ht="18.75">
      <c r="B1" s="134" t="str">
        <f>PL!B1</f>
        <v>ABC LTD</v>
      </c>
      <c r="C1" s="134"/>
      <c r="D1" s="134"/>
      <c r="E1" s="134"/>
    </row>
    <row r="2" spans="2:6" ht="15.75" thickBot="1">
      <c r="B2" s="135" t="str">
        <f>'1'!B2</f>
        <v>Notes to financial statements for the year ended 31/03/2012</v>
      </c>
      <c r="C2" s="135"/>
      <c r="D2" s="135"/>
      <c r="E2" s="135"/>
      <c r="F2" s="135"/>
    </row>
    <row r="5" spans="2:6" ht="16.5" thickBot="1">
      <c r="B5" s="36" t="str">
        <f>CONCATENATE(PL!D9,".  REVENUE FROM OPERATIONS")</f>
        <v xml:space="preserve"> .  REVENUE FROM OPERATIONS</v>
      </c>
      <c r="C5" s="25"/>
      <c r="D5" s="25"/>
      <c r="E5" s="140" t="s">
        <v>94</v>
      </c>
      <c r="F5" s="141" t="s">
        <v>95</v>
      </c>
    </row>
    <row r="6" spans="2:6">
      <c r="B6" s="5" t="s">
        <v>77</v>
      </c>
      <c r="C6" s="1"/>
      <c r="D6" s="1"/>
      <c r="E6" s="153"/>
      <c r="F6" s="154"/>
    </row>
    <row r="7" spans="2:6">
      <c r="B7" s="40" t="s">
        <v>89</v>
      </c>
      <c r="C7" s="1"/>
      <c r="D7" s="1"/>
      <c r="E7" s="138">
        <f>TB!C521</f>
        <v>0</v>
      </c>
      <c r="F7" s="136">
        <f>TB!E521</f>
        <v>0</v>
      </c>
    </row>
    <row r="8" spans="2:6">
      <c r="B8" s="40" t="s">
        <v>90</v>
      </c>
      <c r="C8" s="1"/>
      <c r="D8" s="1"/>
      <c r="E8" s="138">
        <f>TB!C522</f>
        <v>0</v>
      </c>
      <c r="F8" s="136">
        <f>TB!E522</f>
        <v>0</v>
      </c>
    </row>
    <row r="9" spans="2:6">
      <c r="B9" s="4"/>
      <c r="C9" s="1"/>
      <c r="D9" s="1"/>
      <c r="E9" s="137">
        <f>SUM(E7:E8)</f>
        <v>0</v>
      </c>
      <c r="F9" s="139">
        <f>SUM(F7:F8)</f>
        <v>0</v>
      </c>
    </row>
    <row r="10" spans="2:6">
      <c r="B10" s="4"/>
      <c r="C10" s="1"/>
      <c r="D10" s="1"/>
      <c r="E10" s="138"/>
      <c r="F10" s="136"/>
    </row>
    <row r="11" spans="2:6">
      <c r="B11" s="5" t="s">
        <v>79</v>
      </c>
      <c r="C11" s="1"/>
      <c r="D11" s="1"/>
      <c r="E11" s="138"/>
      <c r="F11" s="136"/>
    </row>
    <row r="12" spans="2:6">
      <c r="B12" s="40" t="s">
        <v>91</v>
      </c>
      <c r="C12" s="1"/>
      <c r="D12" s="1"/>
      <c r="E12" s="138">
        <f>TB!C525</f>
        <v>0</v>
      </c>
      <c r="F12" s="136">
        <f>TB!E525</f>
        <v>0</v>
      </c>
    </row>
    <row r="14" spans="2:6">
      <c r="B14" s="4"/>
      <c r="C14" s="1"/>
      <c r="D14" s="1"/>
      <c r="E14" s="137">
        <f>SUM(E12:E13)</f>
        <v>0</v>
      </c>
      <c r="F14" s="139">
        <f>SUM(F12:F13)</f>
        <v>0</v>
      </c>
    </row>
    <row r="15" spans="2:6">
      <c r="B15" s="4"/>
      <c r="C15" s="1"/>
      <c r="D15" s="1"/>
      <c r="E15" s="17"/>
      <c r="F15" s="3"/>
    </row>
    <row r="16" spans="2:6">
      <c r="B16" s="5" t="s">
        <v>80</v>
      </c>
      <c r="C16" s="1"/>
      <c r="D16" s="1"/>
      <c r="E16" s="138"/>
      <c r="F16" s="136"/>
    </row>
    <row r="17" spans="2:6">
      <c r="B17" s="40" t="s">
        <v>92</v>
      </c>
      <c r="C17" s="1"/>
      <c r="D17" s="1"/>
      <c r="E17" s="138">
        <f>TB!C528</f>
        <v>0</v>
      </c>
      <c r="F17" s="136">
        <f>TB!E528</f>
        <v>0</v>
      </c>
    </row>
    <row r="18" spans="2:6">
      <c r="B18" s="40"/>
      <c r="C18" s="1"/>
      <c r="D18" s="1"/>
      <c r="E18" s="144"/>
      <c r="F18" s="155"/>
    </row>
    <row r="19" spans="2:6">
      <c r="B19" s="4"/>
      <c r="C19" s="1"/>
      <c r="D19" s="1"/>
      <c r="E19" s="137">
        <f>SUM(E17:E18)</f>
        <v>0</v>
      </c>
      <c r="F19" s="139">
        <f>SUM(F17:F18)</f>
        <v>0</v>
      </c>
    </row>
    <row r="20" spans="2:6">
      <c r="B20" s="4"/>
      <c r="C20" s="1"/>
      <c r="D20" s="1"/>
      <c r="E20" s="138"/>
      <c r="F20" s="136"/>
    </row>
    <row r="21" spans="2:6">
      <c r="B21" s="5" t="s">
        <v>81</v>
      </c>
      <c r="C21" s="1"/>
      <c r="D21" s="1"/>
      <c r="E21" s="138"/>
      <c r="F21" s="136"/>
    </row>
    <row r="22" spans="2:6">
      <c r="B22" s="40" t="s">
        <v>93</v>
      </c>
      <c r="C22" s="1"/>
      <c r="D22" s="1"/>
      <c r="E22" s="138">
        <f>TB!C532</f>
        <v>0</v>
      </c>
      <c r="F22" s="136">
        <f>TB!E532</f>
        <v>0</v>
      </c>
    </row>
    <row r="23" spans="2:6">
      <c r="B23" s="40"/>
      <c r="C23" s="1"/>
      <c r="D23" s="1"/>
      <c r="E23" s="144"/>
      <c r="F23" s="155"/>
    </row>
    <row r="24" spans="2:6">
      <c r="B24" s="4"/>
      <c r="C24" s="1"/>
      <c r="D24" s="1"/>
      <c r="E24" s="137">
        <f>SUM(E22:E23)</f>
        <v>0</v>
      </c>
      <c r="F24" s="139">
        <f>SUM(F22:F23)</f>
        <v>0</v>
      </c>
    </row>
    <row r="25" spans="2:6">
      <c r="B25" s="4"/>
      <c r="C25" s="1"/>
      <c r="D25" s="1"/>
      <c r="E25" s="138"/>
      <c r="F25" s="136"/>
    </row>
    <row r="26" spans="2:6">
      <c r="B26" s="5" t="s">
        <v>82</v>
      </c>
      <c r="C26" s="1"/>
      <c r="D26" s="1"/>
      <c r="E26" s="138"/>
      <c r="F26" s="136"/>
    </row>
    <row r="27" spans="2:6">
      <c r="B27" s="40" t="s">
        <v>47</v>
      </c>
      <c r="C27" s="1"/>
      <c r="D27" s="1"/>
      <c r="E27" s="138">
        <f>TB!C536</f>
        <v>0</v>
      </c>
      <c r="F27" s="136">
        <f>TB!E536</f>
        <v>0</v>
      </c>
    </row>
    <row r="28" spans="2:6">
      <c r="B28" s="40"/>
      <c r="C28" s="1"/>
      <c r="D28" s="1"/>
      <c r="E28" s="144"/>
      <c r="F28" s="155"/>
    </row>
    <row r="29" spans="2:6">
      <c r="B29" s="4"/>
      <c r="C29" s="1"/>
      <c r="D29" s="1"/>
      <c r="E29" s="137">
        <f>SUM(E27:E28)</f>
        <v>0</v>
      </c>
      <c r="F29" s="139">
        <f>SUM(F27:F28)</f>
        <v>0</v>
      </c>
    </row>
    <row r="30" spans="2:6">
      <c r="B30" s="4"/>
      <c r="C30" s="1"/>
      <c r="D30" s="1"/>
      <c r="E30" s="138"/>
      <c r="F30" s="136"/>
    </row>
    <row r="31" spans="2:6">
      <c r="B31" s="4" t="s">
        <v>83</v>
      </c>
      <c r="C31" s="1"/>
      <c r="D31" s="1"/>
      <c r="E31" s="138">
        <f>TB!B539</f>
        <v>0</v>
      </c>
      <c r="F31" s="136">
        <f>TB!D539</f>
        <v>0</v>
      </c>
    </row>
    <row r="32" spans="2:6">
      <c r="B32" s="4" t="s">
        <v>84</v>
      </c>
      <c r="C32" s="1"/>
      <c r="D32" s="1"/>
      <c r="E32" s="138">
        <f>TB!B540</f>
        <v>0</v>
      </c>
      <c r="F32" s="136">
        <f>TB!D540</f>
        <v>0</v>
      </c>
    </row>
    <row r="33" spans="2:6">
      <c r="B33" s="4" t="s">
        <v>85</v>
      </c>
      <c r="C33" s="1"/>
      <c r="D33" s="1"/>
      <c r="E33" s="138">
        <f>TB!B541</f>
        <v>0</v>
      </c>
      <c r="F33" s="136">
        <f>TB!D541</f>
        <v>0</v>
      </c>
    </row>
    <row r="34" spans="2:6">
      <c r="B34" s="4" t="s">
        <v>86</v>
      </c>
      <c r="C34" s="1"/>
      <c r="D34" s="1"/>
      <c r="E34" s="138">
        <f>TB!B542</f>
        <v>0</v>
      </c>
      <c r="F34" s="136">
        <f>TB!D542</f>
        <v>0</v>
      </c>
    </row>
    <row r="35" spans="2:6">
      <c r="B35" s="4" t="s">
        <v>87</v>
      </c>
      <c r="C35" s="1"/>
      <c r="D35" s="1"/>
      <c r="E35" s="138">
        <f>TB!B543</f>
        <v>0</v>
      </c>
      <c r="F35" s="136">
        <f>TB!D543</f>
        <v>0</v>
      </c>
    </row>
    <row r="36" spans="2:6">
      <c r="B36" s="4" t="s">
        <v>88</v>
      </c>
      <c r="C36" s="1"/>
      <c r="D36" s="1"/>
      <c r="E36" s="138">
        <f>TB!B544</f>
        <v>0</v>
      </c>
      <c r="F36" s="136">
        <f>TB!D544</f>
        <v>0</v>
      </c>
    </row>
    <row r="37" spans="2:6">
      <c r="B37" s="1"/>
      <c r="C37" s="1"/>
      <c r="D37" s="1"/>
      <c r="E37" s="9"/>
      <c r="F37" s="1"/>
    </row>
    <row r="38" spans="2:6" ht="15.75" thickBot="1">
      <c r="B38" s="44"/>
      <c r="C38" s="44"/>
      <c r="D38" s="44"/>
      <c r="E38" s="142">
        <f>E9+E14+E19+E24+E29-E31-E32-E35-E36</f>
        <v>0</v>
      </c>
      <c r="F38" s="142">
        <f>F9+F14+F19+F24+F29-F31-F32-F33-F35-F34-F36</f>
        <v>0</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sheetPr codeName="Sheet25">
    <tabColor rgb="FF92D050"/>
  </sheetPr>
  <dimension ref="B1:D19"/>
  <sheetViews>
    <sheetView workbookViewId="0">
      <selection activeCell="C6" sqref="C6"/>
    </sheetView>
  </sheetViews>
  <sheetFormatPr defaultRowHeight="15"/>
  <cols>
    <col min="1" max="1" width="3.7109375" customWidth="1"/>
    <col min="2" max="2" width="56.5703125" customWidth="1"/>
    <col min="3" max="4" width="16" customWidth="1"/>
  </cols>
  <sheetData>
    <row r="1" spans="2:4" ht="18.75">
      <c r="B1" s="158" t="str">
        <f>PL!B1</f>
        <v>ABC LTD</v>
      </c>
      <c r="C1" s="158"/>
    </row>
    <row r="2" spans="2:4" ht="15.75" thickBot="1">
      <c r="B2" s="159" t="str">
        <f>'1'!B2</f>
        <v>Notes to financial statements for the year ended 31/03/2012</v>
      </c>
      <c r="C2" s="159"/>
      <c r="D2" s="159"/>
    </row>
    <row r="5" spans="2:4" ht="16.5" thickBot="1">
      <c r="B5" s="36" t="str">
        <f>CONCATENATE(PL!D13,".  OTHER INCOME")</f>
        <v xml:space="preserve"> .  OTHER INCOME</v>
      </c>
      <c r="C5" s="156" t="s">
        <v>94</v>
      </c>
      <c r="D5" s="157" t="s">
        <v>95</v>
      </c>
    </row>
    <row r="6" spans="2:4" ht="15.75">
      <c r="B6" s="129" t="s">
        <v>100</v>
      </c>
      <c r="C6" s="47">
        <f>TB!C549</f>
        <v>0</v>
      </c>
      <c r="D6" s="47">
        <f>TB!E549</f>
        <v>0</v>
      </c>
    </row>
    <row r="7" spans="2:4" ht="15.75">
      <c r="B7" s="47" t="s">
        <v>684</v>
      </c>
      <c r="C7" s="47">
        <f>TB!C550</f>
        <v>0</v>
      </c>
      <c r="D7" s="47">
        <f>TB!E550</f>
        <v>0</v>
      </c>
    </row>
    <row r="8" spans="2:4" ht="15.75">
      <c r="B8" s="47" t="s">
        <v>97</v>
      </c>
      <c r="C8" s="47">
        <f>TB!C551</f>
        <v>0</v>
      </c>
      <c r="D8" s="47">
        <f>TB!E551</f>
        <v>0</v>
      </c>
    </row>
    <row r="9" spans="2:4" ht="15.75">
      <c r="B9" s="47" t="s">
        <v>96</v>
      </c>
      <c r="C9" s="47">
        <f>TB!C552</f>
        <v>0</v>
      </c>
      <c r="D9" s="47">
        <f>TB!E552</f>
        <v>0</v>
      </c>
    </row>
    <row r="10" spans="2:4" ht="15.75">
      <c r="B10" s="47" t="s">
        <v>1623</v>
      </c>
      <c r="C10" s="47">
        <f>TB!C553</f>
        <v>0</v>
      </c>
      <c r="D10" s="47">
        <f>TB!E553</f>
        <v>0</v>
      </c>
    </row>
    <row r="11" spans="2:4" ht="15.75">
      <c r="B11" s="47" t="s">
        <v>1624</v>
      </c>
      <c r="C11" s="47">
        <f>TB!C554</f>
        <v>0</v>
      </c>
      <c r="D11" s="47">
        <f>TB!E554</f>
        <v>0</v>
      </c>
    </row>
    <row r="12" spans="2:4" ht="15.75">
      <c r="B12" s="47" t="s">
        <v>692</v>
      </c>
      <c r="C12" s="47">
        <f>TB!C555</f>
        <v>0</v>
      </c>
      <c r="D12" s="47">
        <f>TB!E555</f>
        <v>0</v>
      </c>
    </row>
    <row r="13" spans="2:4" ht="15.75">
      <c r="B13" s="47" t="s">
        <v>691</v>
      </c>
      <c r="C13" s="47">
        <f>TB!C556</f>
        <v>0</v>
      </c>
      <c r="D13" s="47">
        <f>TB!E556</f>
        <v>0</v>
      </c>
    </row>
    <row r="14" spans="2:4" ht="15.75">
      <c r="B14" s="47" t="s">
        <v>1625</v>
      </c>
      <c r="C14" s="47">
        <f>TB!C557</f>
        <v>0</v>
      </c>
      <c r="D14" s="47">
        <f>TB!E557</f>
        <v>0</v>
      </c>
    </row>
    <row r="15" spans="2:4" ht="15.75">
      <c r="B15" s="47" t="s">
        <v>98</v>
      </c>
      <c r="C15" s="47">
        <f>TB!C558</f>
        <v>0</v>
      </c>
      <c r="D15" s="47">
        <f>TB!E558</f>
        <v>0</v>
      </c>
    </row>
    <row r="16" spans="2:4" ht="15.75">
      <c r="B16" s="47" t="s">
        <v>99</v>
      </c>
      <c r="C16" s="47">
        <f>TB!C559</f>
        <v>0</v>
      </c>
      <c r="D16" s="47">
        <f>TB!E559</f>
        <v>0</v>
      </c>
    </row>
    <row r="17" spans="2:4" ht="15.75">
      <c r="B17" s="47" t="s">
        <v>47</v>
      </c>
      <c r="C17" s="47">
        <f>TB!C560</f>
        <v>0</v>
      </c>
      <c r="D17" s="47">
        <f>TB!E560</f>
        <v>0</v>
      </c>
    </row>
    <row r="18" spans="2:4" ht="15.75">
      <c r="B18" s="131"/>
      <c r="C18" s="89"/>
      <c r="D18" s="49"/>
    </row>
    <row r="19" spans="2:4" ht="15.75" thickBot="1">
      <c r="B19" s="44"/>
      <c r="C19" s="160">
        <f>SUM(C6:C18)</f>
        <v>0</v>
      </c>
      <c r="D19" s="161">
        <f>SUM(D6:D18)</f>
        <v>0</v>
      </c>
    </row>
  </sheetData>
  <pageMargins left="0.7" right="0.45"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27">
    <pageSetUpPr fitToPage="1"/>
  </sheetPr>
  <dimension ref="A1:D59"/>
  <sheetViews>
    <sheetView topLeftCell="A24" workbookViewId="0">
      <selection activeCell="E24" sqref="E24"/>
    </sheetView>
  </sheetViews>
  <sheetFormatPr defaultRowHeight="12.75"/>
  <cols>
    <col min="1" max="1" width="3.85546875" style="182" customWidth="1"/>
    <col min="2" max="2" width="48" style="182" customWidth="1"/>
    <col min="3" max="3" width="18" style="182" customWidth="1"/>
    <col min="4" max="4" width="15.7109375" style="266" customWidth="1"/>
    <col min="5" max="16384" width="9.140625" style="182"/>
  </cols>
  <sheetData>
    <row r="1" spans="1:4">
      <c r="A1" s="898" t="str">
        <f>master!B2</f>
        <v>ABC LTD</v>
      </c>
      <c r="B1" s="898"/>
      <c r="C1" s="898"/>
      <c r="D1" s="898"/>
    </row>
    <row r="2" spans="1:4">
      <c r="A2" s="898" t="s">
        <v>936</v>
      </c>
      <c r="B2" s="898"/>
      <c r="C2" s="898"/>
      <c r="D2" s="898"/>
    </row>
    <row r="4" spans="1:4">
      <c r="A4" s="182">
        <v>1</v>
      </c>
      <c r="B4" s="186" t="s">
        <v>935</v>
      </c>
      <c r="C4" s="186"/>
    </row>
    <row r="5" spans="1:4">
      <c r="B5" s="270" t="s">
        <v>934</v>
      </c>
      <c r="C5" s="269"/>
      <c r="D5" s="268" t="str">
        <f>master!B49</f>
        <v>443243243243243432</v>
      </c>
    </row>
    <row r="6" spans="1:4">
      <c r="B6" s="182" t="s">
        <v>582</v>
      </c>
      <c r="D6" s="268">
        <f>master!B50</f>
        <v>55</v>
      </c>
    </row>
    <row r="7" spans="1:4">
      <c r="B7" s="182" t="s">
        <v>933</v>
      </c>
      <c r="D7" s="266" t="str">
        <f>master!B16</f>
        <v>31/03/2012</v>
      </c>
    </row>
    <row r="8" spans="1:4">
      <c r="A8" s="182">
        <v>2</v>
      </c>
      <c r="B8" s="186" t="s">
        <v>932</v>
      </c>
      <c r="C8" s="186"/>
    </row>
    <row r="9" spans="1:4">
      <c r="B9" s="182" t="s">
        <v>931</v>
      </c>
      <c r="D9" s="266">
        <v>0</v>
      </c>
    </row>
    <row r="10" spans="1:4">
      <c r="B10" s="182" t="s">
        <v>930</v>
      </c>
      <c r="D10" s="266">
        <v>0</v>
      </c>
    </row>
    <row r="11" spans="1:4">
      <c r="B11" s="182" t="s">
        <v>929</v>
      </c>
      <c r="D11" s="266">
        <v>0</v>
      </c>
    </row>
    <row r="12" spans="1:4">
      <c r="B12" s="182" t="s">
        <v>928</v>
      </c>
      <c r="D12" s="266">
        <v>0</v>
      </c>
    </row>
    <row r="13" spans="1:4">
      <c r="A13" s="182">
        <v>3</v>
      </c>
      <c r="B13" s="186" t="s">
        <v>927</v>
      </c>
      <c r="C13" s="186"/>
    </row>
    <row r="14" spans="1:4">
      <c r="B14" s="182" t="s">
        <v>926</v>
      </c>
      <c r="D14" s="266" t="e">
        <f>'BS (2)'!C16-'BS (2)'!C34-'BS (2)'!C35</f>
        <v>#REF!</v>
      </c>
    </row>
    <row r="15" spans="1:4">
      <c r="B15" s="182" t="s">
        <v>925</v>
      </c>
      <c r="D15" s="266" t="e">
        <f>'BS (2)'!C32+'BS (2)'!C22+'BS (2)'!C39+'BS (2)'!C23</f>
        <v>#REF!</v>
      </c>
    </row>
    <row r="17" spans="2:4">
      <c r="B17" s="186" t="s">
        <v>924</v>
      </c>
      <c r="C17" s="186"/>
    </row>
    <row r="18" spans="2:4">
      <c r="B18" s="222" t="s">
        <v>923</v>
      </c>
      <c r="C18" s="222"/>
      <c r="D18" s="266" t="e">
        <f>'BS (2)'!C8</f>
        <v>#REF!</v>
      </c>
    </row>
    <row r="19" spans="2:4">
      <c r="B19" s="222" t="s">
        <v>922</v>
      </c>
      <c r="C19" s="222"/>
      <c r="D19" s="266" t="e">
        <f>'BS (2)'!C9</f>
        <v>#REF!</v>
      </c>
    </row>
    <row r="20" spans="2:4">
      <c r="B20" s="182" t="s">
        <v>5</v>
      </c>
      <c r="D20" s="266" t="e">
        <f>'BS (2)'!C10</f>
        <v>#REF!</v>
      </c>
    </row>
    <row r="21" spans="2:4">
      <c r="B21" s="182" t="s">
        <v>921</v>
      </c>
      <c r="D21" s="266" t="e">
        <f>'BS (2)'!C13</f>
        <v>#REF!</v>
      </c>
    </row>
    <row r="22" spans="2:4">
      <c r="B22" s="182" t="s">
        <v>848</v>
      </c>
      <c r="D22" s="266" t="e">
        <f>'BS (2)'!C14</f>
        <v>#REF!</v>
      </c>
    </row>
    <row r="23" spans="2:4">
      <c r="B23" s="182" t="s">
        <v>920</v>
      </c>
      <c r="D23" s="266" t="e">
        <f>'BS (2)'!C15</f>
        <v>#REF!</v>
      </c>
    </row>
    <row r="24" spans="2:4">
      <c r="B24" s="189" t="s">
        <v>913</v>
      </c>
      <c r="C24" s="189"/>
      <c r="D24" s="267" t="e">
        <f>SUM(D18:D23)</f>
        <v>#REF!</v>
      </c>
    </row>
    <row r="25" spans="2:4">
      <c r="B25" s="186" t="s">
        <v>919</v>
      </c>
      <c r="C25" s="186"/>
    </row>
    <row r="26" spans="2:4">
      <c r="B26" s="182" t="s">
        <v>918</v>
      </c>
      <c r="D26" s="266" t="e">
        <f>'BS (2)'!C22</f>
        <v>#REF!</v>
      </c>
    </row>
    <row r="27" spans="2:4">
      <c r="B27" s="182" t="s">
        <v>844</v>
      </c>
      <c r="D27" s="266" t="e">
        <f>'BS (2)'!C24</f>
        <v>#REF!</v>
      </c>
    </row>
    <row r="28" spans="2:4">
      <c r="B28" s="182" t="s">
        <v>917</v>
      </c>
      <c r="D28" s="266" t="e">
        <f>'BS (2)'!C23</f>
        <v>#REF!</v>
      </c>
    </row>
    <row r="29" spans="2:4">
      <c r="B29" s="182" t="s">
        <v>916</v>
      </c>
      <c r="D29" s="266" t="e">
        <f>'BS (2)'!C36</f>
        <v>#REF!</v>
      </c>
    </row>
    <row r="30" spans="2:4">
      <c r="B30" s="182" t="s">
        <v>915</v>
      </c>
      <c r="D30" s="266" t="e">
        <f>'BS (2)'!C39</f>
        <v>#REF!</v>
      </c>
    </row>
    <row r="31" spans="2:4">
      <c r="B31" s="182" t="s">
        <v>914</v>
      </c>
      <c r="D31" s="266">
        <f>'BS (2)'!C43</f>
        <v>0</v>
      </c>
    </row>
    <row r="32" spans="2:4">
      <c r="B32" s="189" t="s">
        <v>913</v>
      </c>
      <c r="C32" s="189"/>
      <c r="D32" s="267" t="e">
        <f>SUM(D26:D31)</f>
        <v>#REF!</v>
      </c>
    </row>
    <row r="33" spans="1:4">
      <c r="A33" s="182">
        <v>4</v>
      </c>
      <c r="B33" s="186" t="s">
        <v>912</v>
      </c>
      <c r="C33" s="186"/>
    </row>
    <row r="34" spans="1:4">
      <c r="B34" s="182" t="s">
        <v>911</v>
      </c>
      <c r="D34" s="266" t="e">
        <f>'PL (2)'!C11</f>
        <v>#REF!</v>
      </c>
    </row>
    <row r="35" spans="1:4">
      <c r="B35" s="182" t="s">
        <v>910</v>
      </c>
      <c r="D35" s="266" t="e">
        <f>'PL (2)'!C22</f>
        <v>#REF!</v>
      </c>
    </row>
    <row r="36" spans="1:4">
      <c r="B36" s="182" t="s">
        <v>909</v>
      </c>
      <c r="D36" s="266" t="e">
        <f>'PL (2)'!C23</f>
        <v>#REF!</v>
      </c>
    </row>
    <row r="37" spans="1:4">
      <c r="B37" s="182" t="s">
        <v>908</v>
      </c>
      <c r="D37" s="266" t="e">
        <f>SUM('PL (2)'!C23:C26)</f>
        <v>#REF!</v>
      </c>
    </row>
    <row r="38" spans="1:4">
      <c r="B38" s="182" t="s">
        <v>907</v>
      </c>
      <c r="D38" s="266" t="e">
        <f>(D37/D18)*10</f>
        <v>#REF!</v>
      </c>
    </row>
    <row r="39" spans="1:4">
      <c r="B39" s="182" t="s">
        <v>693</v>
      </c>
      <c r="D39" s="266">
        <v>0</v>
      </c>
    </row>
    <row r="40" spans="1:4">
      <c r="A40" s="182">
        <v>5</v>
      </c>
      <c r="B40" s="186" t="s">
        <v>906</v>
      </c>
      <c r="C40" s="186"/>
    </row>
    <row r="41" spans="1:4">
      <c r="B41" s="182" t="s">
        <v>905</v>
      </c>
      <c r="D41" s="266" t="s">
        <v>902</v>
      </c>
    </row>
    <row r="42" spans="1:4">
      <c r="B42" s="182" t="s">
        <v>901</v>
      </c>
    </row>
    <row r="43" spans="1:4">
      <c r="B43" s="182" t="s">
        <v>904</v>
      </c>
      <c r="D43" s="266" t="s">
        <v>902</v>
      </c>
    </row>
    <row r="44" spans="1:4">
      <c r="B44" s="182" t="s">
        <v>901</v>
      </c>
    </row>
    <row r="45" spans="1:4">
      <c r="B45" s="182" t="s">
        <v>903</v>
      </c>
      <c r="D45" s="266" t="s">
        <v>902</v>
      </c>
    </row>
    <row r="46" spans="1:4">
      <c r="B46" s="182" t="s">
        <v>901</v>
      </c>
    </row>
    <row r="51" spans="1:4">
      <c r="A51" s="898" t="str">
        <f>CONCATENATE("For ",master!B2)</f>
        <v>For ABC LTD</v>
      </c>
      <c r="B51" s="898"/>
      <c r="C51" s="898" t="str">
        <f>CONCATENATE("For ",master!B36)</f>
        <v>For ABC &amp; CO</v>
      </c>
      <c r="D51" s="898"/>
    </row>
    <row r="52" spans="1:4">
      <c r="A52" s="205"/>
      <c r="B52" s="205"/>
      <c r="C52" s="898" t="s">
        <v>776</v>
      </c>
      <c r="D52" s="898"/>
    </row>
    <row r="53" spans="1:4">
      <c r="A53" s="205"/>
      <c r="B53" s="205"/>
      <c r="C53" s="205"/>
      <c r="D53" s="205"/>
    </row>
    <row r="54" spans="1:4">
      <c r="A54" s="224"/>
      <c r="B54" s="238"/>
      <c r="C54" s="224"/>
      <c r="D54" s="224"/>
    </row>
    <row r="55" spans="1:4">
      <c r="A55" s="899" t="str">
        <f>CONCATENATE("Sd-",master!B30,"            Sd-",master!B31)</f>
        <v>Sd-Subhash Gupta            Sd-Tarun Kumar</v>
      </c>
      <c r="B55" s="899"/>
      <c r="C55" s="898" t="e">
        <f>CONCATENATE("Sd-",master!B42,master!#REF!)</f>
        <v>#REF!</v>
      </c>
      <c r="D55" s="898"/>
    </row>
    <row r="56" spans="1:4">
      <c r="A56" s="208" t="s">
        <v>827</v>
      </c>
      <c r="B56" s="238"/>
      <c r="C56" s="208"/>
      <c r="D56" s="208"/>
    </row>
    <row r="58" spans="1:4">
      <c r="A58" s="186" t="str">
        <f>CONCATENATE("Place : ",master!B45)</f>
        <v>Place : DELHI</v>
      </c>
    </row>
    <row r="59" spans="1:4">
      <c r="A59" s="186" t="str">
        <f>CONCATENATE("Place : ",master!B46)</f>
        <v>Place : 01/09/2012</v>
      </c>
    </row>
  </sheetData>
  <mergeCells count="7">
    <mergeCell ref="A1:D1"/>
    <mergeCell ref="A2:D2"/>
    <mergeCell ref="C52:D52"/>
    <mergeCell ref="A55:B55"/>
    <mergeCell ref="C55:D55"/>
    <mergeCell ref="A51:B51"/>
    <mergeCell ref="C51:D51"/>
  </mergeCells>
  <pageMargins left="1" right="0.75" top="1" bottom="1" header="0.5" footer="0.5"/>
  <pageSetup scale="89" orientation="portrait" r:id="rId1"/>
  <headerFooter alignWithMargins="0"/>
</worksheet>
</file>

<file path=xl/worksheets/sheet40.xml><?xml version="1.0" encoding="utf-8"?>
<worksheet xmlns="http://schemas.openxmlformats.org/spreadsheetml/2006/main" xmlns:r="http://schemas.openxmlformats.org/officeDocument/2006/relationships">
  <sheetPr codeName="Sheet26">
    <tabColor rgb="FF92D050"/>
  </sheetPr>
  <dimension ref="B1:G48"/>
  <sheetViews>
    <sheetView workbookViewId="0">
      <selection activeCell="A19" sqref="A19"/>
    </sheetView>
  </sheetViews>
  <sheetFormatPr defaultRowHeight="15"/>
  <cols>
    <col min="4" max="4" width="22.7109375" customWidth="1"/>
    <col min="5" max="6" width="13" customWidth="1"/>
    <col min="7" max="7" width="9.140625" hidden="1" customWidth="1"/>
  </cols>
  <sheetData>
    <row r="1" spans="2:7" ht="18.75">
      <c r="B1" s="134" t="str">
        <f>PL!B1</f>
        <v>ABC LTD</v>
      </c>
      <c r="C1" s="134"/>
      <c r="D1" s="134"/>
      <c r="E1" s="134"/>
    </row>
    <row r="2" spans="2:7" ht="15.75" thickBot="1">
      <c r="B2" s="135" t="str">
        <f>'1'!B2</f>
        <v>Notes to financial statements for the year ended 31/03/2012</v>
      </c>
      <c r="C2" s="135"/>
      <c r="D2" s="135"/>
      <c r="E2" s="135"/>
      <c r="F2" s="135"/>
      <c r="G2" s="135"/>
    </row>
    <row r="5" spans="2:7" ht="16.5" thickBot="1">
      <c r="B5" s="36" t="str">
        <f>CONCATENATE(PL!D17,".  COST OF MATERIALS CONSUMED")</f>
        <v xml:space="preserve"> .  COST OF MATERIALS CONSUMED</v>
      </c>
      <c r="C5" s="25"/>
      <c r="D5" s="25"/>
      <c r="E5" s="140" t="s">
        <v>94</v>
      </c>
      <c r="F5" s="141" t="s">
        <v>95</v>
      </c>
      <c r="G5" s="141"/>
    </row>
    <row r="6" spans="2:7">
      <c r="B6" s="7" t="s">
        <v>101</v>
      </c>
      <c r="C6" s="1"/>
      <c r="D6" s="1"/>
      <c r="E6" s="9"/>
      <c r="F6" s="1"/>
      <c r="G6" s="1"/>
    </row>
    <row r="7" spans="2:7">
      <c r="B7" s="1" t="s">
        <v>102</v>
      </c>
      <c r="C7" s="1"/>
      <c r="D7" s="1"/>
      <c r="E7" s="138">
        <f>TB!B564</f>
        <v>0</v>
      </c>
      <c r="F7" s="138">
        <f>TB!D564</f>
        <v>0</v>
      </c>
      <c r="G7" s="136"/>
    </row>
    <row r="8" spans="2:7">
      <c r="B8" s="1" t="s">
        <v>103</v>
      </c>
      <c r="C8" s="1"/>
      <c r="D8" s="1"/>
      <c r="E8" s="138">
        <f>TB!B565</f>
        <v>0</v>
      </c>
      <c r="F8" s="138">
        <f>TB!D565</f>
        <v>0</v>
      </c>
      <c r="G8" s="136"/>
    </row>
    <row r="9" spans="2:7">
      <c r="B9" s="1" t="s">
        <v>104</v>
      </c>
      <c r="C9" s="1"/>
      <c r="D9" s="1"/>
      <c r="E9" s="138">
        <f>TB!B566</f>
        <v>0</v>
      </c>
      <c r="F9" s="138">
        <f>TB!D566</f>
        <v>0</v>
      </c>
      <c r="G9" s="136"/>
    </row>
    <row r="10" spans="2:7">
      <c r="B10" s="1" t="s">
        <v>105</v>
      </c>
      <c r="C10" s="1"/>
      <c r="D10" s="1"/>
      <c r="E10" s="138">
        <f>TB!C567</f>
        <v>0</v>
      </c>
      <c r="F10" s="138">
        <f>TB!E567</f>
        <v>0</v>
      </c>
      <c r="G10" s="136"/>
    </row>
    <row r="11" spans="2:7">
      <c r="B11" s="1" t="s">
        <v>106</v>
      </c>
      <c r="C11" s="1"/>
      <c r="D11" s="1"/>
      <c r="E11" s="138">
        <f>TB!C568</f>
        <v>0</v>
      </c>
      <c r="F11" s="138">
        <f>TB!E568</f>
        <v>0</v>
      </c>
      <c r="G11" s="136"/>
    </row>
    <row r="12" spans="2:7">
      <c r="B12" s="1" t="s">
        <v>107</v>
      </c>
      <c r="C12" s="1"/>
      <c r="D12" s="1"/>
      <c r="E12" s="138">
        <f>TB!C569</f>
        <v>0</v>
      </c>
      <c r="F12" s="138">
        <f>TB!E569</f>
        <v>0</v>
      </c>
      <c r="G12" s="136"/>
    </row>
    <row r="13" spans="2:7">
      <c r="B13" s="1" t="s">
        <v>108</v>
      </c>
      <c r="C13" s="1"/>
      <c r="D13" s="1"/>
      <c r="E13" s="138">
        <f>TB!C570</f>
        <v>0</v>
      </c>
      <c r="F13" s="138">
        <f>TB!E570</f>
        <v>0</v>
      </c>
      <c r="G13" s="136"/>
    </row>
    <row r="14" spans="2:7">
      <c r="B14" s="1"/>
      <c r="C14" s="1"/>
      <c r="D14" s="1"/>
      <c r="E14" s="137">
        <f>E7+E8+E9-E10-E11-E12-E13</f>
        <v>0</v>
      </c>
      <c r="F14" s="139">
        <f>F7+F8+F9-F10-F11-F12-F13</f>
        <v>0</v>
      </c>
      <c r="G14" s="139"/>
    </row>
    <row r="15" spans="2:7">
      <c r="B15" s="1"/>
      <c r="C15" s="1"/>
      <c r="D15" s="1"/>
      <c r="E15" s="9"/>
      <c r="F15" s="1"/>
      <c r="G15" s="1"/>
    </row>
    <row r="16" spans="2:7">
      <c r="B16" s="7" t="s">
        <v>109</v>
      </c>
      <c r="C16" s="1"/>
      <c r="D16" s="1"/>
      <c r="E16" s="9"/>
      <c r="F16" s="1"/>
      <c r="G16" s="1"/>
    </row>
    <row r="17" spans="2:7">
      <c r="B17" s="1" t="s">
        <v>102</v>
      </c>
      <c r="C17" s="1"/>
      <c r="D17" s="1"/>
      <c r="E17" s="138">
        <f>TB!B573</f>
        <v>0</v>
      </c>
      <c r="F17" s="138">
        <f>TB!D573</f>
        <v>0</v>
      </c>
      <c r="G17" s="136"/>
    </row>
    <row r="18" spans="2:7">
      <c r="B18" s="1" t="s">
        <v>103</v>
      </c>
      <c r="C18" s="1"/>
      <c r="D18" s="1"/>
      <c r="E18" s="138">
        <f>TB!B574</f>
        <v>0</v>
      </c>
      <c r="F18" s="138">
        <f>TB!D574</f>
        <v>0</v>
      </c>
      <c r="G18" s="136"/>
    </row>
    <row r="19" spans="2:7">
      <c r="B19" s="1" t="s">
        <v>108</v>
      </c>
      <c r="C19" s="1"/>
      <c r="D19" s="1"/>
      <c r="E19" s="138">
        <f>TB!C575</f>
        <v>0</v>
      </c>
      <c r="F19" s="138">
        <f>TB!E575</f>
        <v>0</v>
      </c>
      <c r="G19" s="136"/>
    </row>
    <row r="20" spans="2:7">
      <c r="B20" s="1"/>
      <c r="C20" s="1"/>
      <c r="D20" s="1"/>
      <c r="E20" s="137">
        <f>E17+E18-E19</f>
        <v>0</v>
      </c>
      <c r="F20" s="139">
        <f>F17+F18-F19</f>
        <v>0</v>
      </c>
      <c r="G20" s="139"/>
    </row>
    <row r="21" spans="2:7">
      <c r="B21" s="1"/>
      <c r="C21" s="1"/>
      <c r="D21" s="1"/>
      <c r="E21" s="17"/>
      <c r="F21" s="3"/>
      <c r="G21" s="3"/>
    </row>
    <row r="22" spans="2:7">
      <c r="B22" s="7" t="s">
        <v>110</v>
      </c>
      <c r="C22" s="1"/>
      <c r="D22" s="1"/>
      <c r="E22" s="9"/>
      <c r="F22" s="1"/>
      <c r="G22" s="1"/>
    </row>
    <row r="23" spans="2:7">
      <c r="B23" s="1" t="s">
        <v>102</v>
      </c>
      <c r="C23" s="1"/>
      <c r="D23" s="1"/>
      <c r="E23" s="138">
        <f>TB!B578</f>
        <v>0</v>
      </c>
      <c r="F23" s="138">
        <f>TB!D578</f>
        <v>0</v>
      </c>
      <c r="G23" s="136"/>
    </row>
    <row r="24" spans="2:7">
      <c r="B24" s="1" t="s">
        <v>103</v>
      </c>
      <c r="C24" s="1"/>
      <c r="D24" s="1"/>
      <c r="E24" s="138">
        <f>TB!B579</f>
        <v>0</v>
      </c>
      <c r="F24" s="138">
        <f>TB!D579</f>
        <v>0</v>
      </c>
      <c r="G24" s="136"/>
    </row>
    <row r="25" spans="2:7">
      <c r="B25" s="1" t="s">
        <v>108</v>
      </c>
      <c r="C25" s="1"/>
      <c r="D25" s="1"/>
      <c r="E25" s="138">
        <f>TB!C580</f>
        <v>0</v>
      </c>
      <c r="F25" s="138">
        <f>TB!E580</f>
        <v>0</v>
      </c>
      <c r="G25" s="136"/>
    </row>
    <row r="26" spans="2:7">
      <c r="B26" s="1"/>
      <c r="C26" s="1"/>
      <c r="D26" s="1"/>
      <c r="E26" s="137">
        <f>E23+E24-E25</f>
        <v>0</v>
      </c>
      <c r="F26" s="139">
        <f>F23+F24-F25</f>
        <v>0</v>
      </c>
      <c r="G26" s="139"/>
    </row>
    <row r="27" spans="2:7">
      <c r="B27" s="1"/>
      <c r="C27" s="1"/>
      <c r="D27" s="1"/>
      <c r="E27" s="17"/>
      <c r="F27" s="3"/>
      <c r="G27" s="3"/>
    </row>
    <row r="28" spans="2:7">
      <c r="B28" s="7" t="s">
        <v>111</v>
      </c>
      <c r="C28" s="1"/>
      <c r="D28" s="1"/>
      <c r="E28" s="9"/>
      <c r="F28" s="1"/>
      <c r="G28" s="1"/>
    </row>
    <row r="29" spans="2:7">
      <c r="B29" s="1" t="s">
        <v>102</v>
      </c>
      <c r="C29" s="1"/>
      <c r="D29" s="1"/>
      <c r="E29" s="138">
        <f>TB!B583</f>
        <v>0</v>
      </c>
      <c r="F29" s="138">
        <f>TB!D583</f>
        <v>0</v>
      </c>
      <c r="G29" s="136"/>
    </row>
    <row r="30" spans="2:7">
      <c r="B30" s="1" t="s">
        <v>103</v>
      </c>
      <c r="C30" s="1"/>
      <c r="D30" s="1"/>
      <c r="E30" s="138">
        <f>TB!B584</f>
        <v>0</v>
      </c>
      <c r="F30" s="138">
        <f>TB!D584</f>
        <v>0</v>
      </c>
      <c r="G30" s="136"/>
    </row>
    <row r="31" spans="2:7">
      <c r="B31" s="1" t="s">
        <v>108</v>
      </c>
      <c r="C31" s="1"/>
      <c r="D31" s="1"/>
      <c r="E31" s="138">
        <f>TB!C585</f>
        <v>0</v>
      </c>
      <c r="F31" s="138">
        <f>TB!E585</f>
        <v>0</v>
      </c>
      <c r="G31" s="136"/>
    </row>
    <row r="32" spans="2:7">
      <c r="B32" s="1"/>
      <c r="C32" s="1"/>
      <c r="D32" s="1"/>
      <c r="E32" s="137">
        <f>E29+E30-E31</f>
        <v>0</v>
      </c>
      <c r="F32" s="139">
        <f>F29+F30-F31</f>
        <v>0</v>
      </c>
      <c r="G32" s="139"/>
    </row>
    <row r="33" spans="2:7">
      <c r="B33" s="1"/>
      <c r="C33" s="1"/>
      <c r="D33" s="1"/>
      <c r="E33" s="17"/>
      <c r="F33" s="3"/>
      <c r="G33" s="3"/>
    </row>
    <row r="34" spans="2:7" ht="15.75" thickBot="1">
      <c r="B34" s="44"/>
      <c r="C34" s="44"/>
      <c r="D34" s="44"/>
      <c r="E34" s="142">
        <f>E32+E26+E20+E14</f>
        <v>0</v>
      </c>
      <c r="F34" s="143">
        <f>F32+F26+F20+F14</f>
        <v>0</v>
      </c>
      <c r="G34" s="143"/>
    </row>
    <row r="35" spans="2:7">
      <c r="B35" s="1"/>
      <c r="C35" s="1"/>
      <c r="D35" s="1"/>
      <c r="E35" s="9"/>
      <c r="F35" s="1"/>
      <c r="G35" s="1"/>
    </row>
    <row r="36" spans="2:7">
      <c r="B36" s="7" t="s">
        <v>112</v>
      </c>
      <c r="C36" s="1"/>
      <c r="D36" s="1"/>
      <c r="E36" s="9"/>
      <c r="F36" s="1"/>
      <c r="G36" s="1"/>
    </row>
    <row r="37" spans="2:7">
      <c r="B37" s="1"/>
      <c r="C37" s="1"/>
      <c r="D37" s="1"/>
      <c r="E37" s="9"/>
      <c r="F37" s="1"/>
      <c r="G37" s="1"/>
    </row>
    <row r="38" spans="2:7">
      <c r="B38" s="7" t="s">
        <v>113</v>
      </c>
      <c r="C38" s="1"/>
      <c r="D38" s="1"/>
      <c r="E38" s="9"/>
      <c r="F38" s="1"/>
      <c r="G38" s="1"/>
    </row>
    <row r="39" spans="2:7">
      <c r="B39" s="1" t="s">
        <v>114</v>
      </c>
      <c r="C39" s="1"/>
      <c r="D39" s="1"/>
      <c r="E39" s="9"/>
      <c r="F39" s="1"/>
      <c r="G39" s="1"/>
    </row>
    <row r="40" spans="2:7">
      <c r="B40" s="1" t="s">
        <v>115</v>
      </c>
      <c r="C40" s="1"/>
      <c r="D40" s="1"/>
      <c r="E40" s="9"/>
      <c r="F40" s="1"/>
      <c r="G40" s="1"/>
    </row>
    <row r="41" spans="2:7">
      <c r="B41" s="1"/>
      <c r="C41" s="1"/>
      <c r="D41" s="1"/>
      <c r="E41" s="9"/>
      <c r="F41" s="1"/>
      <c r="G41" s="1"/>
    </row>
    <row r="42" spans="2:7">
      <c r="B42" s="7" t="s">
        <v>110</v>
      </c>
      <c r="C42" s="1"/>
      <c r="D42" s="1"/>
      <c r="E42" s="9"/>
      <c r="F42" s="1"/>
      <c r="G42" s="1"/>
    </row>
    <row r="43" spans="2:7">
      <c r="B43" s="1" t="s">
        <v>114</v>
      </c>
      <c r="C43" s="1"/>
      <c r="D43" s="1"/>
      <c r="E43" s="9"/>
      <c r="F43" s="1"/>
      <c r="G43" s="1"/>
    </row>
    <row r="44" spans="2:7">
      <c r="B44" s="1" t="s">
        <v>115</v>
      </c>
      <c r="C44" s="1"/>
      <c r="D44" s="1"/>
      <c r="E44" s="9"/>
      <c r="F44" s="1"/>
      <c r="G44" s="1"/>
    </row>
    <row r="45" spans="2:7">
      <c r="B45" s="1"/>
      <c r="C45" s="1"/>
      <c r="D45" s="1"/>
      <c r="E45" s="9"/>
      <c r="F45" s="1"/>
      <c r="G45" s="1"/>
    </row>
    <row r="46" spans="2:7">
      <c r="B46" s="7" t="s">
        <v>116</v>
      </c>
      <c r="C46" s="1"/>
      <c r="D46" s="1"/>
      <c r="E46" s="9"/>
      <c r="F46" s="1"/>
      <c r="G46" s="1"/>
    </row>
    <row r="47" spans="2:7">
      <c r="B47" s="1" t="s">
        <v>114</v>
      </c>
      <c r="C47" s="1"/>
      <c r="D47" s="1"/>
      <c r="E47" s="9"/>
      <c r="F47" s="1"/>
      <c r="G47" s="1"/>
    </row>
    <row r="48" spans="2:7">
      <c r="B48" s="1" t="s">
        <v>115</v>
      </c>
      <c r="C48" s="1"/>
      <c r="D48" s="1"/>
      <c r="E48" s="9"/>
      <c r="F48" s="1"/>
      <c r="G48" s="1"/>
    </row>
  </sheetData>
  <pageMargins left="0.7" right="0.7" top="0.5" bottom="0.25" header="0.3" footer="0.3"/>
  <pageSetup orientation="portrait" r:id="rId1"/>
</worksheet>
</file>

<file path=xl/worksheets/sheet41.xml><?xml version="1.0" encoding="utf-8"?>
<worksheet xmlns="http://schemas.openxmlformats.org/spreadsheetml/2006/main" xmlns:r="http://schemas.openxmlformats.org/officeDocument/2006/relationships">
  <sheetPr codeName="Sheet27">
    <tabColor rgb="FF92D050"/>
  </sheetPr>
  <dimension ref="B1:G22"/>
  <sheetViews>
    <sheetView workbookViewId="0">
      <selection activeCell="F9" sqref="F9"/>
    </sheetView>
  </sheetViews>
  <sheetFormatPr defaultColWidth="10.85546875" defaultRowHeight="15"/>
  <sheetData>
    <row r="1" spans="2:7" ht="18.75">
      <c r="B1" s="145" t="str">
        <f>PL!B1</f>
        <v>ABC LTD</v>
      </c>
      <c r="C1" s="145"/>
      <c r="D1" s="145"/>
      <c r="E1" s="145"/>
    </row>
    <row r="2" spans="2:7" ht="15.75" thickBot="1">
      <c r="B2" s="146" t="str">
        <f>'1'!B2</f>
        <v>Notes to financial statements for the year ended 31/03/2012</v>
      </c>
      <c r="C2" s="146"/>
      <c r="D2" s="146"/>
      <c r="E2" s="146"/>
      <c r="F2" s="146"/>
      <c r="G2" s="146"/>
    </row>
    <row r="5" spans="2:7" ht="16.5" thickBot="1">
      <c r="B5" s="36" t="str">
        <f>CONCATENATE(PL!D18,".  PURCHASES OF STOCK-IN-TRADE")</f>
        <v xml:space="preserve"> .  PURCHASES OF STOCK-IN-TRADE</v>
      </c>
      <c r="C5" s="25"/>
      <c r="D5" s="25"/>
      <c r="E5" s="25"/>
      <c r="F5" s="147" t="s">
        <v>94</v>
      </c>
      <c r="G5" s="148" t="s">
        <v>95</v>
      </c>
    </row>
    <row r="6" spans="2:7">
      <c r="B6" s="1" t="s">
        <v>117</v>
      </c>
      <c r="C6" s="1"/>
      <c r="D6" s="1"/>
      <c r="E6" s="1"/>
      <c r="F6" s="149">
        <f>TB!B589</f>
        <v>0</v>
      </c>
      <c r="G6" s="150">
        <f>TB!D589</f>
        <v>0</v>
      </c>
    </row>
    <row r="7" spans="2:7">
      <c r="B7" s="1" t="s">
        <v>118</v>
      </c>
      <c r="C7" s="1"/>
      <c r="D7" s="1"/>
      <c r="E7" s="1"/>
      <c r="F7" s="149">
        <f>TB!B590</f>
        <v>0</v>
      </c>
      <c r="G7" s="150">
        <f>TB!D590</f>
        <v>0</v>
      </c>
    </row>
    <row r="8" spans="2:7">
      <c r="B8" s="1"/>
      <c r="C8" s="1"/>
      <c r="D8" s="1"/>
      <c r="E8" s="2"/>
      <c r="F8" s="9"/>
      <c r="G8" s="1"/>
    </row>
    <row r="9" spans="2:7" ht="15.75" thickBot="1">
      <c r="B9" s="44"/>
      <c r="C9" s="44"/>
      <c r="D9" s="44"/>
      <c r="E9" s="44"/>
      <c r="F9" s="151">
        <f>SUM(F6:F8)</f>
        <v>0</v>
      </c>
      <c r="G9" s="151">
        <f>SUM(G6:G8)</f>
        <v>0</v>
      </c>
    </row>
    <row r="10" spans="2:7">
      <c r="B10" s="1"/>
      <c r="C10" s="1"/>
      <c r="D10" s="1"/>
      <c r="E10" s="1"/>
      <c r="F10" s="9"/>
      <c r="G10" s="1"/>
    </row>
    <row r="11" spans="2:7">
      <c r="B11" s="1"/>
      <c r="C11" s="1"/>
      <c r="D11" s="1"/>
      <c r="E11" s="1"/>
      <c r="F11" s="9"/>
      <c r="G11" s="1"/>
    </row>
    <row r="12" spans="2:7">
      <c r="B12" s="7" t="s">
        <v>119</v>
      </c>
      <c r="C12" s="1"/>
      <c r="D12" s="1"/>
      <c r="E12" s="1"/>
      <c r="F12" s="9"/>
      <c r="G12" s="1"/>
    </row>
    <row r="13" spans="2:7" ht="15.75" thickBot="1">
      <c r="B13" s="1"/>
      <c r="C13" s="1"/>
      <c r="D13" s="1"/>
      <c r="E13" s="1"/>
      <c r="F13" s="147" t="s">
        <v>94</v>
      </c>
      <c r="G13" s="148" t="s">
        <v>95</v>
      </c>
    </row>
    <row r="14" spans="2:7">
      <c r="B14" s="1" t="s">
        <v>122</v>
      </c>
      <c r="C14" s="1"/>
      <c r="D14" s="1"/>
      <c r="E14" s="1"/>
      <c r="F14" s="149">
        <f>TB!F594</f>
        <v>0</v>
      </c>
      <c r="G14" s="149">
        <f>TB!H594</f>
        <v>0</v>
      </c>
    </row>
    <row r="15" spans="2:7">
      <c r="B15" s="1"/>
      <c r="C15" s="1"/>
      <c r="D15" s="1"/>
      <c r="E15" s="1"/>
      <c r="F15" s="149"/>
      <c r="G15" s="150"/>
    </row>
    <row r="16" spans="2:7" ht="15.75" thickBot="1">
      <c r="B16" s="1"/>
      <c r="C16" s="1"/>
      <c r="D16" s="1"/>
      <c r="E16" s="1"/>
      <c r="F16" s="151">
        <f>SUM(F14:F15)</f>
        <v>0</v>
      </c>
      <c r="G16" s="152">
        <f>SUM(G14:G15)</f>
        <v>0</v>
      </c>
    </row>
    <row r="17" spans="2:7">
      <c r="B17" s="1"/>
      <c r="C17" s="1"/>
      <c r="D17" s="1"/>
      <c r="E17" s="1"/>
      <c r="F17" s="9"/>
      <c r="G17" s="1"/>
    </row>
    <row r="18" spans="2:7">
      <c r="B18" s="7" t="s">
        <v>121</v>
      </c>
      <c r="C18" s="1"/>
      <c r="D18" s="1"/>
      <c r="E18" s="1"/>
      <c r="F18" s="9"/>
      <c r="G18" s="1"/>
    </row>
    <row r="19" spans="2:7" ht="15.75" thickBot="1">
      <c r="B19" s="1"/>
      <c r="C19" s="1"/>
      <c r="D19" s="1"/>
      <c r="E19" s="1"/>
      <c r="F19" s="147" t="s">
        <v>94</v>
      </c>
      <c r="G19" s="148" t="s">
        <v>95</v>
      </c>
    </row>
    <row r="20" spans="2:7">
      <c r="B20" s="1" t="s">
        <v>123</v>
      </c>
      <c r="C20" s="1"/>
      <c r="D20" s="1"/>
      <c r="E20" s="1"/>
      <c r="F20" s="149">
        <f>TB!F599</f>
        <v>0</v>
      </c>
      <c r="G20" s="149">
        <f>TB!H599</f>
        <v>0</v>
      </c>
    </row>
    <row r="21" spans="2:7">
      <c r="B21" s="1"/>
      <c r="C21" s="1"/>
      <c r="D21" s="1"/>
      <c r="E21" s="1"/>
      <c r="F21" s="149"/>
      <c r="G21" s="150"/>
    </row>
    <row r="22" spans="2:7" ht="15.75" thickBot="1">
      <c r="B22" s="1"/>
      <c r="C22" s="1"/>
      <c r="D22" s="1"/>
      <c r="E22" s="1"/>
      <c r="F22" s="151">
        <f>SUM(F20:F21)</f>
        <v>0</v>
      </c>
      <c r="G22" s="152">
        <f>SUM(G20:G21)</f>
        <v>0</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sheetPr codeName="Sheet28">
    <tabColor rgb="FF92D050"/>
  </sheetPr>
  <dimension ref="B1:I50"/>
  <sheetViews>
    <sheetView workbookViewId="0"/>
  </sheetViews>
  <sheetFormatPr defaultRowHeight="15"/>
  <cols>
    <col min="3" max="3" width="38.28515625" customWidth="1"/>
    <col min="4" max="4" width="14.28515625" style="728" bestFit="1" customWidth="1"/>
    <col min="5" max="5" width="13.5703125" style="728" bestFit="1" customWidth="1"/>
  </cols>
  <sheetData>
    <row r="1" spans="2:5" ht="18.75">
      <c r="B1" s="126" t="str">
        <f>PL!B1</f>
        <v>ABC LTD</v>
      </c>
      <c r="C1" s="126"/>
      <c r="D1" s="727"/>
    </row>
    <row r="2" spans="2:5" ht="15.75" thickBot="1">
      <c r="B2" s="127" t="str">
        <f>'1'!B2</f>
        <v>Notes to financial statements for the year ended 31/03/2012</v>
      </c>
      <c r="C2" s="127"/>
      <c r="D2" s="729"/>
      <c r="E2" s="729"/>
    </row>
    <row r="5" spans="2:5" ht="16.5" thickBot="1">
      <c r="B5" s="36" t="str">
        <f>CONCATENATE(PL!D19,".  CHANGES IN INVENTORIES")</f>
        <v xml:space="preserve"> .  CHANGES IN INVENTORIES</v>
      </c>
      <c r="C5" s="25"/>
      <c r="D5" s="730" t="s">
        <v>94</v>
      </c>
      <c r="E5" s="731" t="s">
        <v>95</v>
      </c>
    </row>
    <row r="6" spans="2:5">
      <c r="B6" s="7" t="s">
        <v>117</v>
      </c>
      <c r="C6" s="1"/>
      <c r="D6" s="732"/>
      <c r="E6" s="733"/>
    </row>
    <row r="7" spans="2:5">
      <c r="B7" s="1" t="s">
        <v>102</v>
      </c>
      <c r="C7" s="1"/>
      <c r="D7" s="734">
        <f>TB!B603</f>
        <v>0</v>
      </c>
      <c r="E7" s="734">
        <f>TB!D603</f>
        <v>0</v>
      </c>
    </row>
    <row r="8" spans="2:5">
      <c r="B8" s="1" t="s">
        <v>108</v>
      </c>
      <c r="C8" s="1"/>
      <c r="D8" s="734">
        <f>TB!C604</f>
        <v>0</v>
      </c>
      <c r="E8" s="734">
        <f>TB!E604</f>
        <v>0</v>
      </c>
    </row>
    <row r="9" spans="2:5">
      <c r="B9" s="1"/>
      <c r="C9" s="1"/>
      <c r="D9" s="735">
        <f>D7-D8</f>
        <v>0</v>
      </c>
      <c r="E9" s="736">
        <f>E7-E8</f>
        <v>0</v>
      </c>
    </row>
    <row r="10" spans="2:5">
      <c r="B10" s="1"/>
      <c r="C10" s="1"/>
      <c r="D10" s="732"/>
      <c r="E10" s="733"/>
    </row>
    <row r="11" spans="2:5">
      <c r="B11" s="7" t="s">
        <v>124</v>
      </c>
      <c r="C11" s="1"/>
      <c r="D11" s="732"/>
      <c r="E11" s="733"/>
    </row>
    <row r="12" spans="2:5">
      <c r="B12" s="1" t="s">
        <v>102</v>
      </c>
      <c r="C12" s="1"/>
      <c r="D12" s="742">
        <f>TB!B607</f>
        <v>0</v>
      </c>
      <c r="E12" s="734">
        <f>TB!C607</f>
        <v>0</v>
      </c>
    </row>
    <row r="13" spans="2:5">
      <c r="B13" s="1" t="s">
        <v>108</v>
      </c>
      <c r="C13" s="1"/>
      <c r="D13" s="734">
        <f>TB!C608</f>
        <v>0</v>
      </c>
      <c r="E13" s="734">
        <f>TB!D608</f>
        <v>0</v>
      </c>
    </row>
    <row r="14" spans="2:5">
      <c r="B14" s="1"/>
      <c r="C14" s="1"/>
      <c r="D14" s="735">
        <f>D12-D13</f>
        <v>0</v>
      </c>
      <c r="E14" s="736">
        <f>E12-E13</f>
        <v>0</v>
      </c>
    </row>
    <row r="15" spans="2:5">
      <c r="B15" s="1"/>
      <c r="C15" s="1"/>
      <c r="D15" s="732"/>
      <c r="E15" s="733"/>
    </row>
    <row r="16" spans="2:5">
      <c r="B16" s="7" t="s">
        <v>125</v>
      </c>
      <c r="C16" s="1"/>
      <c r="D16" s="732"/>
      <c r="E16" s="733"/>
    </row>
    <row r="17" spans="2:9">
      <c r="B17" s="1" t="s">
        <v>102</v>
      </c>
      <c r="C17" s="1"/>
      <c r="D17" s="734">
        <f>TB!B611</f>
        <v>0</v>
      </c>
      <c r="E17" s="734">
        <f>TB!C611</f>
        <v>0</v>
      </c>
    </row>
    <row r="18" spans="2:9">
      <c r="B18" s="1" t="s">
        <v>108</v>
      </c>
      <c r="C18" s="1"/>
      <c r="D18" s="734">
        <f>TB!C612</f>
        <v>0</v>
      </c>
      <c r="E18" s="734">
        <f>TB!D612</f>
        <v>0</v>
      </c>
    </row>
    <row r="19" spans="2:9">
      <c r="B19" s="1"/>
      <c r="C19" s="1"/>
      <c r="D19" s="735">
        <f>D17-D18</f>
        <v>0</v>
      </c>
      <c r="E19" s="736">
        <f>E17-E18</f>
        <v>0</v>
      </c>
    </row>
    <row r="20" spans="2:9">
      <c r="B20" s="1"/>
      <c r="C20" s="1"/>
      <c r="D20" s="737"/>
      <c r="E20" s="738"/>
    </row>
    <row r="21" spans="2:9">
      <c r="B21" s="7" t="s">
        <v>126</v>
      </c>
      <c r="C21" s="1"/>
      <c r="D21" s="732"/>
      <c r="E21" s="733"/>
    </row>
    <row r="22" spans="2:9">
      <c r="B22" s="1" t="s">
        <v>102</v>
      </c>
      <c r="C22" s="1"/>
      <c r="D22" s="734">
        <f>TB!B615</f>
        <v>0</v>
      </c>
      <c r="E22" s="734">
        <f>TB!C615</f>
        <v>0</v>
      </c>
    </row>
    <row r="23" spans="2:9">
      <c r="B23" s="1" t="s">
        <v>108</v>
      </c>
      <c r="C23" s="1"/>
      <c r="D23" s="734">
        <f>TB!C616</f>
        <v>0</v>
      </c>
      <c r="E23" s="734">
        <f>TB!D616</f>
        <v>0</v>
      </c>
    </row>
    <row r="24" spans="2:9">
      <c r="B24" s="1"/>
      <c r="C24" s="1"/>
      <c r="D24" s="735">
        <f>D22-D23</f>
        <v>0</v>
      </c>
      <c r="E24" s="736">
        <f>E22-E23</f>
        <v>0</v>
      </c>
    </row>
    <row r="25" spans="2:9">
      <c r="B25" s="1"/>
      <c r="C25" s="1"/>
      <c r="D25" s="732"/>
      <c r="E25" s="733"/>
    </row>
    <row r="26" spans="2:9" ht="15.75" thickBot="1">
      <c r="B26" s="44"/>
      <c r="C26" s="44"/>
      <c r="D26" s="739">
        <f>D24+D19+D14+D9</f>
        <v>0</v>
      </c>
      <c r="E26" s="740">
        <f>E24+E19+E14+E9</f>
        <v>0</v>
      </c>
    </row>
    <row r="28" spans="2:9">
      <c r="B28" s="8" t="s">
        <v>1669</v>
      </c>
      <c r="D28" s="728">
        <f>IF(D26&lt;0,-D26,0)</f>
        <v>0</v>
      </c>
      <c r="E28" s="728">
        <f>IF(E26&lt;0,-E26,0)</f>
        <v>0</v>
      </c>
    </row>
    <row r="29" spans="2:9">
      <c r="B29" s="8" t="s">
        <v>1670</v>
      </c>
      <c r="D29" s="728">
        <f>IF(D26&gt;0,D26,0)</f>
        <v>0</v>
      </c>
      <c r="E29" s="728">
        <f>IF(E26&gt;0,E26,0)</f>
        <v>0</v>
      </c>
    </row>
    <row r="32" spans="2:9">
      <c r="B32" s="7" t="s">
        <v>127</v>
      </c>
      <c r="C32" s="1"/>
      <c r="D32" s="733"/>
      <c r="E32" s="732"/>
      <c r="F32" s="1"/>
      <c r="G32" s="1"/>
      <c r="H32" s="1"/>
      <c r="I32" s="1"/>
    </row>
    <row r="33" spans="2:5" ht="15.75" thickBot="1">
      <c r="B33" s="1"/>
      <c r="C33" s="1"/>
      <c r="D33" s="730" t="s">
        <v>94</v>
      </c>
      <c r="E33" s="731" t="s">
        <v>95</v>
      </c>
    </row>
    <row r="34" spans="2:5">
      <c r="B34" s="7" t="s">
        <v>117</v>
      </c>
      <c r="C34" s="1"/>
      <c r="D34" s="732"/>
      <c r="E34" s="733"/>
    </row>
    <row r="35" spans="2:5">
      <c r="B35" s="1" t="s">
        <v>129</v>
      </c>
      <c r="C35" s="1"/>
      <c r="D35" s="734">
        <v>0</v>
      </c>
      <c r="E35" s="741">
        <v>0</v>
      </c>
    </row>
    <row r="36" spans="2:5" ht="15.75" thickBot="1">
      <c r="B36" s="1"/>
      <c r="C36" s="1"/>
      <c r="D36" s="739">
        <f>SUM(D35)</f>
        <v>0</v>
      </c>
      <c r="E36" s="740">
        <f>SUM(E35)</f>
        <v>0</v>
      </c>
    </row>
    <row r="37" spans="2:5">
      <c r="B37" s="1"/>
      <c r="C37" s="1"/>
      <c r="D37" s="732"/>
      <c r="E37" s="733"/>
    </row>
    <row r="38" spans="2:5">
      <c r="B38" s="7" t="s">
        <v>124</v>
      </c>
      <c r="C38" s="1"/>
      <c r="D38" s="732"/>
      <c r="E38" s="733"/>
    </row>
    <row r="39" spans="2:5">
      <c r="B39" s="1" t="s">
        <v>130</v>
      </c>
      <c r="C39" s="1"/>
      <c r="D39" s="734">
        <v>0</v>
      </c>
      <c r="E39" s="741">
        <v>0</v>
      </c>
    </row>
    <row r="40" spans="2:5" ht="15.75" thickBot="1">
      <c r="B40" s="1"/>
      <c r="C40" s="1"/>
      <c r="D40" s="739">
        <f>SUM(D39)</f>
        <v>0</v>
      </c>
      <c r="E40" s="740">
        <f>SUM(E39)</f>
        <v>0</v>
      </c>
    </row>
    <row r="41" spans="2:5">
      <c r="B41" s="1"/>
      <c r="C41" s="1"/>
      <c r="D41" s="732"/>
      <c r="E41" s="733"/>
    </row>
    <row r="42" spans="2:5">
      <c r="B42" s="7" t="s">
        <v>125</v>
      </c>
      <c r="C42" s="1"/>
      <c r="D42" s="732"/>
      <c r="E42" s="733"/>
    </row>
    <row r="43" spans="2:5">
      <c r="B43" s="1" t="s">
        <v>132</v>
      </c>
      <c r="C43" s="1"/>
      <c r="D43" s="734">
        <v>0</v>
      </c>
      <c r="E43" s="741">
        <v>0</v>
      </c>
    </row>
    <row r="44" spans="2:5" ht="15.75" thickBot="1">
      <c r="B44" s="1"/>
      <c r="C44" s="1"/>
      <c r="D44" s="739">
        <f>SUM(D43)</f>
        <v>0</v>
      </c>
      <c r="E44" s="740">
        <f>SUM(E43)</f>
        <v>0</v>
      </c>
    </row>
    <row r="45" spans="2:5">
      <c r="B45" s="1"/>
      <c r="C45" s="1"/>
      <c r="D45" s="732"/>
      <c r="E45" s="733"/>
    </row>
    <row r="46" spans="2:5">
      <c r="B46" s="7" t="s">
        <v>128</v>
      </c>
      <c r="C46" s="1"/>
      <c r="D46" s="732"/>
      <c r="E46" s="733"/>
    </row>
    <row r="47" spans="2:5">
      <c r="B47" s="1" t="s">
        <v>131</v>
      </c>
      <c r="C47" s="1"/>
      <c r="D47" s="734">
        <v>0</v>
      </c>
      <c r="E47" s="741">
        <v>0</v>
      </c>
    </row>
    <row r="48" spans="2:5">
      <c r="B48" s="1"/>
      <c r="C48" s="1"/>
      <c r="D48" s="734"/>
      <c r="E48" s="741"/>
    </row>
    <row r="49" spans="2:9" ht="15.75" thickBot="1">
      <c r="B49" s="1"/>
      <c r="C49" s="1"/>
      <c r="D49" s="739">
        <f>SUM(D47)</f>
        <v>0</v>
      </c>
      <c r="E49" s="740">
        <f>SUM(E47)</f>
        <v>0</v>
      </c>
    </row>
    <row r="50" spans="2:9">
      <c r="B50" s="1"/>
      <c r="C50" s="1"/>
      <c r="D50" s="733"/>
      <c r="E50" s="732"/>
      <c r="F50" s="1"/>
      <c r="G50" s="1"/>
      <c r="H50" s="1"/>
      <c r="I50" s="1"/>
    </row>
  </sheetData>
  <pageMargins left="0.7" right="0.7" top="0.5" bottom="0.25" header="0.3" footer="0.3"/>
  <pageSetup orientation="portrait" r:id="rId1"/>
</worksheet>
</file>

<file path=xl/worksheets/sheet43.xml><?xml version="1.0" encoding="utf-8"?>
<worksheet xmlns="http://schemas.openxmlformats.org/spreadsheetml/2006/main" xmlns:r="http://schemas.openxmlformats.org/officeDocument/2006/relationships">
  <sheetPr codeName="Sheet29">
    <tabColor rgb="FF92D050"/>
  </sheetPr>
  <dimension ref="B1:E23"/>
  <sheetViews>
    <sheetView workbookViewId="0">
      <selection activeCell="C1" sqref="C1:C1048576"/>
    </sheetView>
  </sheetViews>
  <sheetFormatPr defaultRowHeight="15"/>
  <cols>
    <col min="1" max="1" width="5.42578125" customWidth="1"/>
    <col min="2" max="2" width="48" customWidth="1"/>
    <col min="4" max="4" width="13" customWidth="1"/>
    <col min="5" max="5" width="13.5703125" customWidth="1"/>
  </cols>
  <sheetData>
    <row r="1" spans="2:5" ht="18.75">
      <c r="B1" s="126" t="str">
        <f>PL!B1</f>
        <v>ABC LTD</v>
      </c>
      <c r="C1" s="126"/>
    </row>
    <row r="2" spans="2:5" ht="15.75" thickBot="1">
      <c r="B2" s="127" t="str">
        <f>'1'!B2</f>
        <v>Notes to financial statements for the year ended 31/03/2012</v>
      </c>
      <c r="C2" s="127"/>
      <c r="D2" s="127"/>
      <c r="E2" s="127"/>
    </row>
    <row r="5" spans="2:5" ht="16.5" thickBot="1">
      <c r="B5" s="50" t="str">
        <f>CONCATENATE(PL!D20,".  EMPLOYEE BENEFIT EXPENSES")</f>
        <v xml:space="preserve"> .  EMPLOYEE BENEFIT EXPENSES</v>
      </c>
      <c r="C5" s="50"/>
      <c r="D5" s="31" t="s">
        <v>94</v>
      </c>
      <c r="E5" s="35" t="s">
        <v>95</v>
      </c>
    </row>
    <row r="6" spans="2:5" ht="15.75">
      <c r="B6" s="129" t="s">
        <v>133</v>
      </c>
      <c r="C6" s="132"/>
      <c r="D6" s="130">
        <f>TB!B620</f>
        <v>0</v>
      </c>
      <c r="E6" s="130">
        <f>TB!D620</f>
        <v>0</v>
      </c>
    </row>
    <row r="7" spans="2:5" ht="15.75">
      <c r="B7" s="47" t="s">
        <v>134</v>
      </c>
      <c r="C7" s="51"/>
      <c r="D7" s="48">
        <f>TB!B621</f>
        <v>0</v>
      </c>
      <c r="E7" s="48">
        <f>TB!D621</f>
        <v>0</v>
      </c>
    </row>
    <row r="8" spans="2:5" ht="15.75">
      <c r="B8" s="47" t="s">
        <v>135</v>
      </c>
      <c r="C8" s="51"/>
      <c r="D8" s="48">
        <f>TB!B622</f>
        <v>0</v>
      </c>
      <c r="E8" s="48">
        <f>TB!D622</f>
        <v>0</v>
      </c>
    </row>
    <row r="9" spans="2:5" ht="15.75">
      <c r="B9" s="200" t="s">
        <v>664</v>
      </c>
      <c r="D9" s="48">
        <f>TB!B623</f>
        <v>0</v>
      </c>
      <c r="E9" s="48">
        <f>TB!D623</f>
        <v>0</v>
      </c>
    </row>
    <row r="10" spans="2:5" ht="15.75">
      <c r="B10" s="200" t="s">
        <v>663</v>
      </c>
      <c r="D10" s="48">
        <f>TB!B624</f>
        <v>0</v>
      </c>
      <c r="E10" s="48">
        <f>TB!D624</f>
        <v>0</v>
      </c>
    </row>
    <row r="11" spans="2:5" ht="15.75">
      <c r="B11" s="200" t="s">
        <v>662</v>
      </c>
      <c r="D11" s="48">
        <f>TB!B625</f>
        <v>0</v>
      </c>
      <c r="E11" s="48">
        <f>TB!D625</f>
        <v>0</v>
      </c>
    </row>
    <row r="12" spans="2:5" ht="15.75">
      <c r="B12" s="200" t="s">
        <v>661</v>
      </c>
      <c r="D12" s="48">
        <f>TB!B626</f>
        <v>0</v>
      </c>
      <c r="E12" s="48">
        <f>TB!D626</f>
        <v>0</v>
      </c>
    </row>
    <row r="13" spans="2:5" ht="15.75">
      <c r="B13" s="200" t="s">
        <v>660</v>
      </c>
      <c r="D13" s="48">
        <f>TB!B627</f>
        <v>0</v>
      </c>
      <c r="E13" s="48">
        <f>TB!D627</f>
        <v>0</v>
      </c>
    </row>
    <row r="14" spans="2:5" ht="38.25">
      <c r="B14" s="638" t="s">
        <v>659</v>
      </c>
      <c r="D14" s="48">
        <f>TB!B628</f>
        <v>0</v>
      </c>
      <c r="E14" s="48">
        <f>TB!D628</f>
        <v>0</v>
      </c>
    </row>
    <row r="15" spans="2:5" ht="15.75">
      <c r="B15" s="196" t="s">
        <v>658</v>
      </c>
      <c r="D15" s="48">
        <f>TB!B629</f>
        <v>0</v>
      </c>
      <c r="E15" s="48">
        <f>TB!D629</f>
        <v>0</v>
      </c>
    </row>
    <row r="16" spans="2:5" ht="15.75">
      <c r="B16" s="200" t="s">
        <v>657</v>
      </c>
      <c r="D16" s="48">
        <f>TB!B630</f>
        <v>0</v>
      </c>
      <c r="E16" s="48">
        <f>TB!D630</f>
        <v>0</v>
      </c>
    </row>
    <row r="17" spans="2:5" ht="15.75">
      <c r="B17" s="200" t="s">
        <v>656</v>
      </c>
      <c r="D17" s="48">
        <f>TB!B631</f>
        <v>0</v>
      </c>
      <c r="E17" s="48">
        <f>TB!D631</f>
        <v>0</v>
      </c>
    </row>
    <row r="18" spans="2:5" ht="15.75">
      <c r="B18" s="200" t="s">
        <v>655</v>
      </c>
      <c r="D18" s="48">
        <f>TB!B632</f>
        <v>0</v>
      </c>
      <c r="E18" s="48">
        <f>TB!D632</f>
        <v>0</v>
      </c>
    </row>
    <row r="19" spans="2:5" ht="26.25">
      <c r="B19" s="211" t="s">
        <v>654</v>
      </c>
      <c r="D19" s="48">
        <f>TB!B633</f>
        <v>0</v>
      </c>
      <c r="E19" s="48">
        <f>TB!D633</f>
        <v>0</v>
      </c>
    </row>
    <row r="20" spans="2:5" ht="15.75">
      <c r="B20" s="47" t="s">
        <v>136</v>
      </c>
      <c r="C20" s="51"/>
      <c r="D20" s="48">
        <f>TB!B634</f>
        <v>0</v>
      </c>
      <c r="E20" s="48">
        <f>TB!D634</f>
        <v>0</v>
      </c>
    </row>
    <row r="21" spans="2:5" ht="15.75">
      <c r="B21" s="47" t="s">
        <v>137</v>
      </c>
      <c r="C21" s="51"/>
      <c r="D21" s="48">
        <f>TB!B635</f>
        <v>0</v>
      </c>
      <c r="E21" s="48">
        <f>TB!D635</f>
        <v>0</v>
      </c>
    </row>
    <row r="22" spans="2:5" ht="15.75">
      <c r="B22" s="47" t="s">
        <v>138</v>
      </c>
      <c r="C22" s="2"/>
      <c r="D22" s="48">
        <f>TB!B636</f>
        <v>0</v>
      </c>
      <c r="E22" s="48">
        <f>TB!D636</f>
        <v>0</v>
      </c>
    </row>
    <row r="23" spans="2:5" ht="15.75" thickBot="1">
      <c r="B23" s="44"/>
      <c r="C23" s="44"/>
      <c r="D23" s="46">
        <f>SUM(D6:D22)</f>
        <v>0</v>
      </c>
      <c r="E23" s="45">
        <f>SUM(E6:E22)</f>
        <v>0</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sheetPr codeName="Sheet30">
    <tabColor rgb="FF92D050"/>
  </sheetPr>
  <dimension ref="B1:F13"/>
  <sheetViews>
    <sheetView workbookViewId="0"/>
  </sheetViews>
  <sheetFormatPr defaultRowHeight="15"/>
  <cols>
    <col min="4" max="4" width="25.7109375" customWidth="1"/>
    <col min="5" max="6" width="17.5703125" customWidth="1"/>
  </cols>
  <sheetData>
    <row r="1" spans="2:6" ht="18.75">
      <c r="B1" s="126" t="str">
        <f>PL!B1</f>
        <v>ABC LTD</v>
      </c>
      <c r="C1" s="126"/>
      <c r="D1" s="126"/>
    </row>
    <row r="2" spans="2:6" ht="15.75" thickBot="1">
      <c r="B2" s="127" t="str">
        <f>'1'!B2</f>
        <v>Notes to financial statements for the year ended 31/03/2012</v>
      </c>
      <c r="C2" s="127"/>
      <c r="D2" s="127"/>
      <c r="E2" s="127"/>
      <c r="F2" s="127"/>
    </row>
    <row r="5" spans="2:6" ht="16.5" thickBot="1">
      <c r="B5" s="36" t="str">
        <f>CONCATENATE(PL!D21,".  FINANCE COSTS")</f>
        <v xml:space="preserve"> .  FINANCE COSTS</v>
      </c>
      <c r="C5" s="25"/>
      <c r="D5" s="25"/>
      <c r="E5" s="31" t="s">
        <v>94</v>
      </c>
      <c r="F5" s="35" t="s">
        <v>95</v>
      </c>
    </row>
    <row r="6" spans="2:6" ht="15.75">
      <c r="B6" s="52"/>
      <c r="C6" s="2"/>
      <c r="D6" s="2"/>
      <c r="E6" s="6"/>
      <c r="F6" s="16"/>
    </row>
    <row r="7" spans="2:6">
      <c r="B7" s="53" t="s">
        <v>139</v>
      </c>
      <c r="C7" s="2"/>
      <c r="D7" s="2"/>
      <c r="E7" s="54">
        <f>TB!B641</f>
        <v>0</v>
      </c>
      <c r="F7" s="54">
        <f>TB!D641</f>
        <v>0</v>
      </c>
    </row>
    <row r="8" spans="2:6">
      <c r="B8" s="53" t="s">
        <v>140</v>
      </c>
      <c r="C8" s="2"/>
      <c r="D8" s="2"/>
      <c r="E8" s="54">
        <f>TB!B642</f>
        <v>0</v>
      </c>
      <c r="F8" s="54">
        <f>TB!D642</f>
        <v>0</v>
      </c>
    </row>
    <row r="9" spans="2:6">
      <c r="B9" s="53" t="s">
        <v>141</v>
      </c>
      <c r="C9" s="2"/>
      <c r="D9" s="2"/>
      <c r="E9" s="54">
        <f>TB!B643</f>
        <v>0</v>
      </c>
      <c r="F9" s="54">
        <f>TB!D643</f>
        <v>0</v>
      </c>
    </row>
    <row r="10" spans="2:6">
      <c r="B10" s="53" t="s">
        <v>142</v>
      </c>
      <c r="C10" s="2"/>
      <c r="D10" s="2"/>
      <c r="E10" s="54">
        <f>TB!B644</f>
        <v>0</v>
      </c>
      <c r="F10" s="54">
        <f>TB!D644</f>
        <v>0</v>
      </c>
    </row>
    <row r="11" spans="2:6">
      <c r="B11" s="53" t="s">
        <v>1618</v>
      </c>
      <c r="C11" s="2"/>
      <c r="D11" s="2"/>
      <c r="E11" s="54">
        <f>TB!B645</f>
        <v>0</v>
      </c>
      <c r="F11" s="54">
        <f>TB!D645</f>
        <v>0</v>
      </c>
    </row>
    <row r="12" spans="2:6">
      <c r="B12" s="1"/>
      <c r="C12" s="1"/>
      <c r="D12" s="1"/>
      <c r="E12" s="11"/>
      <c r="F12" s="42"/>
    </row>
    <row r="13" spans="2:6" ht="15.75" thickBot="1">
      <c r="B13" s="44"/>
      <c r="C13" s="44"/>
      <c r="D13" s="44"/>
      <c r="E13" s="46">
        <f>SUM(E6:E12)</f>
        <v>0</v>
      </c>
      <c r="F13" s="45">
        <f>SUM(F6:F12)</f>
        <v>0</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sheetPr codeName="Sheet31">
    <tabColor rgb="FF92D050"/>
  </sheetPr>
  <dimension ref="B1:G10"/>
  <sheetViews>
    <sheetView workbookViewId="0"/>
  </sheetViews>
  <sheetFormatPr defaultRowHeight="15"/>
  <cols>
    <col min="6" max="6" width="17.42578125" customWidth="1"/>
    <col min="7" max="7" width="17.7109375" customWidth="1"/>
  </cols>
  <sheetData>
    <row r="1" spans="2:7" ht="18.75">
      <c r="B1" s="126" t="str">
        <f>PL!B1</f>
        <v>ABC LTD</v>
      </c>
      <c r="C1" s="126"/>
      <c r="D1" s="126"/>
    </row>
    <row r="2" spans="2:7" ht="15.75" thickBot="1">
      <c r="B2" s="127" t="str">
        <f>'1'!B2</f>
        <v>Notes to financial statements for the year ended 31/03/2012</v>
      </c>
      <c r="C2" s="127"/>
      <c r="D2" s="127"/>
      <c r="E2" s="127"/>
      <c r="F2" s="127"/>
      <c r="G2" s="127"/>
    </row>
    <row r="5" spans="2:7" ht="16.5" thickBot="1">
      <c r="B5" s="36" t="str">
        <f>CONCATENATE(PL!D22,".  DEPRECIATION &amp; AMORTISATION EXPENSES")</f>
        <v xml:space="preserve"> .  DEPRECIATION &amp; AMORTISATION EXPENSES</v>
      </c>
      <c r="C5" s="25"/>
      <c r="D5" s="25"/>
      <c r="E5" s="25"/>
      <c r="F5" s="31" t="s">
        <v>94</v>
      </c>
      <c r="G5" s="35" t="s">
        <v>95</v>
      </c>
    </row>
    <row r="6" spans="2:7" ht="15.75">
      <c r="B6" s="52"/>
      <c r="C6" s="2"/>
      <c r="D6" s="2"/>
      <c r="E6" s="2"/>
      <c r="F6" s="6"/>
      <c r="G6" s="16"/>
    </row>
    <row r="7" spans="2:7" ht="15.75">
      <c r="B7" s="55" t="s">
        <v>143</v>
      </c>
      <c r="C7" s="2"/>
      <c r="D7" s="2"/>
      <c r="E7" s="2"/>
      <c r="F7" s="718">
        <f>'11'!K46</f>
        <v>0</v>
      </c>
      <c r="G7" s="719">
        <f>'11'!L46</f>
        <v>0</v>
      </c>
    </row>
    <row r="8" spans="2:7" ht="15.75">
      <c r="B8" s="55" t="s">
        <v>144</v>
      </c>
      <c r="C8" s="2"/>
      <c r="D8" s="2"/>
      <c r="E8" s="2"/>
      <c r="F8" s="17">
        <v>0</v>
      </c>
      <c r="G8" s="3">
        <v>0</v>
      </c>
    </row>
    <row r="9" spans="2:7" ht="15.75">
      <c r="B9" s="52"/>
      <c r="C9" s="2"/>
      <c r="D9" s="2"/>
      <c r="E9" s="2"/>
      <c r="F9" s="6"/>
      <c r="G9" s="16"/>
    </row>
    <row r="10" spans="2:7" ht="15.75" thickBot="1">
      <c r="B10" s="44"/>
      <c r="C10" s="44"/>
      <c r="D10" s="44"/>
      <c r="E10" s="44"/>
      <c r="F10" s="46">
        <f>SUM(F7:F8)</f>
        <v>0</v>
      </c>
      <c r="G10" s="45">
        <f>SUM(G7:G8)</f>
        <v>0</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sheetPr codeName="Sheet32">
    <tabColor rgb="FF92D050"/>
  </sheetPr>
  <dimension ref="A1:N132"/>
  <sheetViews>
    <sheetView topLeftCell="A74" workbookViewId="0">
      <selection activeCell="B79" sqref="B79"/>
    </sheetView>
  </sheetViews>
  <sheetFormatPr defaultRowHeight="15"/>
  <cols>
    <col min="1" max="1" width="3.7109375" style="649" customWidth="1"/>
    <col min="2" max="2" width="52.85546875" style="649" customWidth="1"/>
    <col min="3" max="4" width="16" style="649" customWidth="1"/>
    <col min="5" max="5" width="9.140625" style="681"/>
    <col min="6" max="14" width="9.140625" style="651"/>
    <col min="15" max="16384" width="9.140625" style="649"/>
  </cols>
  <sheetData>
    <row r="1" spans="2:6" ht="18.75">
      <c r="B1" s="650" t="str">
        <f>PL!B1</f>
        <v>ABC LTD</v>
      </c>
      <c r="F1" s="680"/>
    </row>
    <row r="2" spans="2:6" ht="15.75" thickBot="1">
      <c r="B2" s="652" t="str">
        <f>'1'!B2</f>
        <v>Notes to financial statements for the year ended 31/03/2012</v>
      </c>
      <c r="C2" s="652"/>
      <c r="D2" s="652"/>
    </row>
    <row r="3" spans="2:6">
      <c r="E3" s="681" t="s">
        <v>1639</v>
      </c>
    </row>
    <row r="4" spans="2:6">
      <c r="E4" s="681" t="s">
        <v>1640</v>
      </c>
    </row>
    <row r="5" spans="2:6" ht="16.5" thickBot="1">
      <c r="B5" s="653" t="str">
        <f>CONCATENATE(PL!D23,".  OTHER EXPENSES")</f>
        <v xml:space="preserve"> .  OTHER EXPENSES</v>
      </c>
      <c r="C5" s="654" t="s">
        <v>94</v>
      </c>
      <c r="D5" s="655" t="s">
        <v>95</v>
      </c>
    </row>
    <row r="7" spans="2:6">
      <c r="B7" s="656" t="s">
        <v>145</v>
      </c>
      <c r="C7" s="657"/>
      <c r="D7" s="658"/>
    </row>
    <row r="8" spans="2:6">
      <c r="B8" s="659" t="s">
        <v>1628</v>
      </c>
      <c r="C8" s="657">
        <f>TB!B652</f>
        <v>0</v>
      </c>
      <c r="D8" s="657">
        <f>TB!D652</f>
        <v>0</v>
      </c>
      <c r="E8" s="681">
        <v>9</v>
      </c>
    </row>
    <row r="9" spans="2:6">
      <c r="B9" s="682" t="s">
        <v>148</v>
      </c>
      <c r="C9" s="657" t="s">
        <v>464</v>
      </c>
      <c r="D9" s="657" t="s">
        <v>464</v>
      </c>
      <c r="E9" s="681">
        <v>10</v>
      </c>
    </row>
    <row r="10" spans="2:6">
      <c r="B10" s="660" t="s">
        <v>149</v>
      </c>
      <c r="C10" s="657">
        <f>TB!B654</f>
        <v>0</v>
      </c>
      <c r="D10" s="657">
        <f>TB!D654</f>
        <v>0</v>
      </c>
    </row>
    <row r="11" spans="2:6">
      <c r="B11" s="660" t="s">
        <v>109</v>
      </c>
      <c r="C11" s="657">
        <f>TB!B655</f>
        <v>0</v>
      </c>
      <c r="D11" s="657">
        <f>TB!D655</f>
        <v>0</v>
      </c>
    </row>
    <row r="12" spans="2:6">
      <c r="B12" s="660" t="s">
        <v>150</v>
      </c>
      <c r="C12" s="657">
        <f>TB!B656</f>
        <v>0</v>
      </c>
      <c r="D12" s="657">
        <f>TB!D656</f>
        <v>0</v>
      </c>
    </row>
    <row r="13" spans="2:6">
      <c r="B13" s="660" t="s">
        <v>151</v>
      </c>
      <c r="C13" s="657">
        <f>TB!B657</f>
        <v>0</v>
      </c>
      <c r="D13" s="657">
        <f>TB!D657</f>
        <v>0</v>
      </c>
    </row>
    <row r="14" spans="2:6">
      <c r="B14" s="660" t="s">
        <v>152</v>
      </c>
      <c r="C14" s="657">
        <f>TB!B658</f>
        <v>0</v>
      </c>
      <c r="D14" s="657">
        <f>TB!D658</f>
        <v>0</v>
      </c>
    </row>
    <row r="15" spans="2:6">
      <c r="B15" s="659" t="s">
        <v>1622</v>
      </c>
      <c r="C15" s="657">
        <f>TB!B659</f>
        <v>0</v>
      </c>
      <c r="D15" s="657">
        <f>TB!D659</f>
        <v>0</v>
      </c>
      <c r="E15" s="681">
        <v>11</v>
      </c>
    </row>
    <row r="16" spans="2:6">
      <c r="B16" s="659" t="s">
        <v>153</v>
      </c>
      <c r="C16" s="657">
        <f>TB!B660</f>
        <v>0</v>
      </c>
      <c r="D16" s="657">
        <f>TB!D660</f>
        <v>0</v>
      </c>
      <c r="E16" s="681">
        <v>13</v>
      </c>
    </row>
    <row r="17" spans="2:5">
      <c r="B17" s="659" t="s">
        <v>1637</v>
      </c>
      <c r="C17" s="657">
        <f>TB!B661</f>
        <v>0</v>
      </c>
      <c r="D17" s="657">
        <f>TB!D661</f>
        <v>0</v>
      </c>
      <c r="E17" s="681">
        <v>14</v>
      </c>
    </row>
    <row r="18" spans="2:5">
      <c r="B18" s="661"/>
      <c r="C18" s="657"/>
      <c r="D18" s="658"/>
    </row>
    <row r="19" spans="2:5">
      <c r="B19" s="662"/>
      <c r="C19" s="663">
        <f>SUM(C8:C18)</f>
        <v>0</v>
      </c>
      <c r="D19" s="663">
        <f>SUM(D8:D18)</f>
        <v>0</v>
      </c>
    </row>
    <row r="20" spans="2:5">
      <c r="B20" s="662"/>
      <c r="C20" s="664"/>
      <c r="D20" s="665"/>
    </row>
    <row r="21" spans="2:5">
      <c r="B21" s="656" t="s">
        <v>146</v>
      </c>
      <c r="C21" s="657"/>
      <c r="D21" s="658"/>
    </row>
    <row r="22" spans="2:5">
      <c r="B22" s="661" t="s">
        <v>154</v>
      </c>
      <c r="C22" s="657">
        <f>TB!B665</f>
        <v>0</v>
      </c>
      <c r="D22" s="657">
        <f>TB!D665</f>
        <v>0</v>
      </c>
    </row>
    <row r="23" spans="2:5">
      <c r="B23" s="662"/>
      <c r="C23" s="663">
        <f>SUM(C22:C22)</f>
        <v>0</v>
      </c>
      <c r="D23" s="666">
        <f>SUM(D22:D22)</f>
        <v>0</v>
      </c>
    </row>
    <row r="24" spans="2:5">
      <c r="B24" s="662"/>
      <c r="C24" s="657"/>
      <c r="D24" s="658"/>
    </row>
    <row r="25" spans="2:5">
      <c r="B25" s="656" t="s">
        <v>147</v>
      </c>
      <c r="C25" s="657"/>
      <c r="D25" s="658"/>
      <c r="E25" s="681">
        <v>35</v>
      </c>
    </row>
    <row r="26" spans="2:5">
      <c r="B26" s="667" t="s">
        <v>1643</v>
      </c>
      <c r="C26" s="657">
        <f>TB!B668</f>
        <v>0</v>
      </c>
      <c r="D26" s="657">
        <f>TB!D668</f>
        <v>0</v>
      </c>
    </row>
    <row r="27" spans="2:5">
      <c r="B27" s="667" t="s">
        <v>1644</v>
      </c>
      <c r="C27" s="657">
        <f>TB!B669</f>
        <v>0</v>
      </c>
      <c r="D27" s="657">
        <f>TB!D669</f>
        <v>0</v>
      </c>
    </row>
    <row r="28" spans="2:5">
      <c r="B28" s="667" t="s">
        <v>1645</v>
      </c>
      <c r="C28" s="657">
        <f>TB!B670</f>
        <v>0</v>
      </c>
      <c r="D28" s="657">
        <f>TB!D670</f>
        <v>0</v>
      </c>
    </row>
    <row r="29" spans="2:5">
      <c r="B29" s="667" t="s">
        <v>1646</v>
      </c>
      <c r="C29" s="657">
        <f>TB!B671</f>
        <v>0</v>
      </c>
      <c r="D29" s="657">
        <f>TB!D671</f>
        <v>0</v>
      </c>
    </row>
    <row r="30" spans="2:5">
      <c r="B30" s="667" t="s">
        <v>1647</v>
      </c>
      <c r="C30" s="657">
        <f>TB!B672</f>
        <v>0</v>
      </c>
      <c r="D30" s="657">
        <f>TB!D672</f>
        <v>0</v>
      </c>
    </row>
    <row r="31" spans="2:5">
      <c r="B31" s="667" t="s">
        <v>1648</v>
      </c>
      <c r="C31" s="657">
        <f>TB!B673</f>
        <v>0</v>
      </c>
      <c r="D31" s="657">
        <f>TB!D673</f>
        <v>0</v>
      </c>
    </row>
    <row r="32" spans="2:5">
      <c r="B32" s="662"/>
      <c r="C32" s="663">
        <f>SUM(C26:C31)</f>
        <v>0</v>
      </c>
      <c r="D32" s="663">
        <f>SUM(D26:D31)</f>
        <v>0</v>
      </c>
    </row>
    <row r="33" spans="2:5">
      <c r="B33" s="662"/>
      <c r="C33" s="657"/>
      <c r="D33" s="658"/>
    </row>
    <row r="34" spans="2:5">
      <c r="B34" s="656" t="s">
        <v>1619</v>
      </c>
      <c r="C34" s="657"/>
      <c r="D34" s="658"/>
    </row>
    <row r="35" spans="2:5">
      <c r="B35" s="668" t="s">
        <v>653</v>
      </c>
      <c r="C35" s="657">
        <f>TB!B676</f>
        <v>0</v>
      </c>
      <c r="D35" s="657">
        <f>TB!D676</f>
        <v>0</v>
      </c>
      <c r="E35" s="681">
        <v>21</v>
      </c>
    </row>
    <row r="36" spans="2:5">
      <c r="B36" s="668" t="s">
        <v>687</v>
      </c>
      <c r="C36" s="657">
        <f>TB!B677</f>
        <v>0</v>
      </c>
      <c r="D36" s="657">
        <f>TB!D677</f>
        <v>0</v>
      </c>
      <c r="E36" s="681">
        <v>22</v>
      </c>
    </row>
    <row r="37" spans="2:5">
      <c r="B37" s="661" t="s">
        <v>1621</v>
      </c>
      <c r="C37" s="657">
        <f>TB!B678</f>
        <v>0</v>
      </c>
      <c r="D37" s="657">
        <f>TB!D678</f>
        <v>0</v>
      </c>
      <c r="E37" s="681">
        <v>23</v>
      </c>
    </row>
    <row r="38" spans="2:5">
      <c r="B38" s="662"/>
      <c r="C38" s="663">
        <f>SUM(C35:C36)</f>
        <v>0</v>
      </c>
      <c r="D38" s="666">
        <f>SUM(D35:D36)</f>
        <v>0</v>
      </c>
    </row>
    <row r="39" spans="2:5">
      <c r="B39" s="662"/>
      <c r="C39" s="664"/>
      <c r="D39" s="665"/>
    </row>
    <row r="40" spans="2:5">
      <c r="B40" s="656" t="s">
        <v>1620</v>
      </c>
      <c r="C40" s="664"/>
      <c r="D40" s="665"/>
    </row>
    <row r="41" spans="2:5">
      <c r="B41" s="669" t="s">
        <v>1636</v>
      </c>
      <c r="C41" s="668"/>
      <c r="E41" s="681">
        <v>8</v>
      </c>
    </row>
    <row r="42" spans="2:5">
      <c r="B42" s="661" t="s">
        <v>1629</v>
      </c>
      <c r="C42" s="657">
        <f>TB!B682</f>
        <v>0</v>
      </c>
      <c r="D42" s="657">
        <f>TB!D682</f>
        <v>0</v>
      </c>
    </row>
    <row r="43" spans="2:5">
      <c r="B43" s="661" t="s">
        <v>1630</v>
      </c>
      <c r="C43" s="657">
        <f>TB!B683</f>
        <v>0</v>
      </c>
      <c r="D43" s="657">
        <f>TB!D683</f>
        <v>0</v>
      </c>
    </row>
    <row r="44" spans="2:5">
      <c r="B44" s="661" t="s">
        <v>1631</v>
      </c>
      <c r="C44" s="657">
        <f>TB!B684</f>
        <v>0</v>
      </c>
      <c r="D44" s="657">
        <f>TB!D684</f>
        <v>0</v>
      </c>
    </row>
    <row r="45" spans="2:5">
      <c r="B45" s="661" t="s">
        <v>1632</v>
      </c>
      <c r="C45" s="657">
        <f>TB!B685</f>
        <v>0</v>
      </c>
      <c r="D45" s="657">
        <f>TB!D685</f>
        <v>0</v>
      </c>
    </row>
    <row r="46" spans="2:5">
      <c r="B46" s="661" t="s">
        <v>1633</v>
      </c>
      <c r="C46" s="657">
        <f>TB!B686</f>
        <v>0</v>
      </c>
      <c r="D46" s="657">
        <f>TB!D686</f>
        <v>0</v>
      </c>
    </row>
    <row r="47" spans="2:5">
      <c r="B47" s="661" t="s">
        <v>1634</v>
      </c>
      <c r="C47" s="657">
        <f>TB!B687</f>
        <v>0</v>
      </c>
      <c r="D47" s="657">
        <f>TB!D687</f>
        <v>0</v>
      </c>
    </row>
    <row r="48" spans="2:5">
      <c r="B48" s="661" t="s">
        <v>1635</v>
      </c>
      <c r="C48" s="657">
        <f>TB!B688</f>
        <v>0</v>
      </c>
      <c r="D48" s="657">
        <f>TB!D688</f>
        <v>0</v>
      </c>
    </row>
    <row r="49" spans="2:5">
      <c r="B49" s="668" t="s">
        <v>665</v>
      </c>
      <c r="C49" s="657">
        <f>TB!B689</f>
        <v>0</v>
      </c>
      <c r="D49" s="657">
        <f>TB!D689</f>
        <v>0</v>
      </c>
      <c r="E49" s="681">
        <v>12</v>
      </c>
    </row>
    <row r="50" spans="2:5">
      <c r="B50" s="670" t="s">
        <v>676</v>
      </c>
      <c r="C50" s="671"/>
      <c r="E50" s="681">
        <v>16</v>
      </c>
    </row>
    <row r="51" spans="2:5">
      <c r="B51" s="668" t="s">
        <v>675</v>
      </c>
      <c r="C51" s="657">
        <f>TB!B691</f>
        <v>0</v>
      </c>
      <c r="D51" s="657">
        <f>TB!D691</f>
        <v>0</v>
      </c>
    </row>
    <row r="52" spans="2:5">
      <c r="B52" s="668" t="s">
        <v>674</v>
      </c>
      <c r="C52" s="657">
        <f>TB!B692</f>
        <v>0</v>
      </c>
      <c r="D52" s="657">
        <f>TB!D692</f>
        <v>0</v>
      </c>
    </row>
    <row r="53" spans="2:5">
      <c r="B53" s="668" t="s">
        <v>673</v>
      </c>
      <c r="C53" s="657">
        <f>TB!B693</f>
        <v>0</v>
      </c>
      <c r="D53" s="657">
        <f>TB!D693</f>
        <v>0</v>
      </c>
    </row>
    <row r="54" spans="2:5">
      <c r="B54" s="668" t="s">
        <v>1627</v>
      </c>
      <c r="C54" s="657">
        <f>TB!B694</f>
        <v>0</v>
      </c>
      <c r="D54" s="657">
        <f>TB!D694</f>
        <v>0</v>
      </c>
    </row>
    <row r="55" spans="2:5">
      <c r="B55" s="662" t="s">
        <v>1626</v>
      </c>
      <c r="C55" s="657">
        <f>TB!B695</f>
        <v>0</v>
      </c>
      <c r="D55" s="657">
        <f>TB!D695</f>
        <v>0</v>
      </c>
      <c r="E55" s="681">
        <v>17</v>
      </c>
    </row>
    <row r="56" spans="2:5">
      <c r="B56" s="668" t="s">
        <v>619</v>
      </c>
      <c r="C56" s="657">
        <f>TB!B696</f>
        <v>0</v>
      </c>
      <c r="D56" s="657">
        <f>TB!D696</f>
        <v>0</v>
      </c>
      <c r="E56" s="681">
        <v>18</v>
      </c>
    </row>
    <row r="57" spans="2:5">
      <c r="B57" s="668" t="s">
        <v>678</v>
      </c>
      <c r="C57" s="657">
        <f>TB!B697</f>
        <v>0</v>
      </c>
      <c r="D57" s="657">
        <f>TB!D697</f>
        <v>0</v>
      </c>
      <c r="E57" s="681">
        <v>19</v>
      </c>
    </row>
    <row r="58" spans="2:5">
      <c r="B58" s="668" t="s">
        <v>683</v>
      </c>
      <c r="C58" s="657">
        <f>TB!B698</f>
        <v>0</v>
      </c>
      <c r="D58" s="657">
        <f>TB!D698</f>
        <v>0</v>
      </c>
      <c r="E58" s="681">
        <v>20</v>
      </c>
    </row>
    <row r="59" spans="2:5">
      <c r="B59" s="668" t="s">
        <v>677</v>
      </c>
      <c r="C59" s="657">
        <f>TB!B699</f>
        <v>0</v>
      </c>
      <c r="D59" s="657">
        <f>TB!D699</f>
        <v>0</v>
      </c>
      <c r="E59" s="681">
        <v>24</v>
      </c>
    </row>
    <row r="60" spans="2:5">
      <c r="B60" s="668" t="s">
        <v>649</v>
      </c>
      <c r="C60" s="657">
        <f>TB!B700</f>
        <v>0</v>
      </c>
      <c r="D60" s="657">
        <f>TB!D700</f>
        <v>0</v>
      </c>
      <c r="E60" s="681">
        <v>25</v>
      </c>
    </row>
    <row r="61" spans="2:5">
      <c r="B61" s="668" t="s">
        <v>620</v>
      </c>
      <c r="C61" s="657">
        <f>TB!B701</f>
        <v>0</v>
      </c>
      <c r="D61" s="657">
        <f>TB!D701</f>
        <v>0</v>
      </c>
      <c r="E61" s="681">
        <v>26</v>
      </c>
    </row>
    <row r="62" spans="2:5">
      <c r="B62" s="668" t="s">
        <v>650</v>
      </c>
      <c r="C62" s="657">
        <f>TB!B702</f>
        <v>0</v>
      </c>
      <c r="D62" s="657">
        <f>TB!D702</f>
        <v>0</v>
      </c>
      <c r="E62" s="681">
        <v>27</v>
      </c>
    </row>
    <row r="63" spans="2:5">
      <c r="B63" s="668" t="s">
        <v>679</v>
      </c>
      <c r="C63" s="657">
        <f>TB!B703</f>
        <v>0</v>
      </c>
      <c r="D63" s="657">
        <f>TB!D703</f>
        <v>0</v>
      </c>
      <c r="E63" s="681">
        <v>28</v>
      </c>
    </row>
    <row r="64" spans="2:5">
      <c r="B64" s="668" t="s">
        <v>686</v>
      </c>
      <c r="C64" s="657">
        <f>TB!B704</f>
        <v>0</v>
      </c>
      <c r="D64" s="657">
        <f>TB!D704</f>
        <v>0</v>
      </c>
      <c r="E64" s="681">
        <v>29</v>
      </c>
    </row>
    <row r="65" spans="2:5">
      <c r="B65" s="668" t="s">
        <v>681</v>
      </c>
      <c r="C65" s="657">
        <f>TB!B705</f>
        <v>0</v>
      </c>
      <c r="D65" s="657">
        <f>TB!D705</f>
        <v>0</v>
      </c>
      <c r="E65" s="681">
        <v>30</v>
      </c>
    </row>
    <row r="66" spans="2:5">
      <c r="B66" s="668" t="s">
        <v>651</v>
      </c>
      <c r="C66" s="657">
        <f>TB!B706</f>
        <v>0</v>
      </c>
      <c r="D66" s="657">
        <f>TB!D706</f>
        <v>0</v>
      </c>
      <c r="E66" s="681">
        <v>31</v>
      </c>
    </row>
    <row r="67" spans="2:5">
      <c r="B67" s="668" t="s">
        <v>680</v>
      </c>
      <c r="C67" s="657">
        <f>TB!B707</f>
        <v>0</v>
      </c>
      <c r="D67" s="657">
        <f>TB!D707</f>
        <v>0</v>
      </c>
      <c r="E67" s="681">
        <v>32</v>
      </c>
    </row>
    <row r="68" spans="2:5">
      <c r="B68" s="668" t="s">
        <v>682</v>
      </c>
      <c r="C68" s="657">
        <f>TB!B708</f>
        <v>0</v>
      </c>
      <c r="D68" s="657">
        <f>TB!D708</f>
        <v>0</v>
      </c>
      <c r="E68" s="681">
        <v>33</v>
      </c>
    </row>
    <row r="69" spans="2:5" ht="30">
      <c r="B69" s="672" t="s">
        <v>672</v>
      </c>
      <c r="C69" s="673"/>
      <c r="E69" s="681">
        <v>34</v>
      </c>
    </row>
    <row r="70" spans="2:5">
      <c r="B70" s="674" t="s">
        <v>671</v>
      </c>
      <c r="C70" s="657">
        <f>TB!B710</f>
        <v>0</v>
      </c>
      <c r="D70" s="657">
        <f>TB!D710</f>
        <v>0</v>
      </c>
    </row>
    <row r="71" spans="2:5">
      <c r="B71" s="674" t="s">
        <v>670</v>
      </c>
      <c r="C71" s="657">
        <f>TB!B711</f>
        <v>0</v>
      </c>
      <c r="D71" s="657">
        <f>TB!D711</f>
        <v>0</v>
      </c>
    </row>
    <row r="72" spans="2:5">
      <c r="B72" s="674" t="s">
        <v>669</v>
      </c>
      <c r="C72" s="657">
        <f>TB!B712</f>
        <v>0</v>
      </c>
      <c r="D72" s="657">
        <f>TB!D712</f>
        <v>0</v>
      </c>
    </row>
    <row r="73" spans="2:5">
      <c r="B73" s="674" t="s">
        <v>668</v>
      </c>
      <c r="C73" s="657">
        <f>TB!B713</f>
        <v>0</v>
      </c>
      <c r="D73" s="657">
        <f>TB!D713</f>
        <v>0</v>
      </c>
    </row>
    <row r="74" spans="2:5">
      <c r="B74" s="674" t="s">
        <v>667</v>
      </c>
      <c r="C74" s="657">
        <f>TB!B714</f>
        <v>0</v>
      </c>
      <c r="D74" s="657">
        <f>TB!D714</f>
        <v>0</v>
      </c>
    </row>
    <row r="75" spans="2:5">
      <c r="B75" s="668" t="s">
        <v>55</v>
      </c>
      <c r="C75" s="668">
        <f>C120</f>
        <v>0</v>
      </c>
      <c r="D75" s="668">
        <f>D120</f>
        <v>0</v>
      </c>
      <c r="E75" s="681">
        <v>36</v>
      </c>
    </row>
    <row r="76" spans="2:5">
      <c r="B76" s="668" t="s">
        <v>626</v>
      </c>
      <c r="C76" s="657">
        <f>TB!B715</f>
        <v>0</v>
      </c>
      <c r="D76" s="657">
        <f>TB!D715</f>
        <v>0</v>
      </c>
      <c r="E76" s="681">
        <v>37</v>
      </c>
    </row>
    <row r="77" spans="2:5">
      <c r="B77" s="668" t="s">
        <v>625</v>
      </c>
      <c r="C77" s="657">
        <f>TB!B716</f>
        <v>0</v>
      </c>
      <c r="D77" s="657">
        <f>TB!D716</f>
        <v>0</v>
      </c>
      <c r="E77" s="681">
        <v>38</v>
      </c>
    </row>
    <row r="78" spans="2:5">
      <c r="B78" s="668" t="s">
        <v>699</v>
      </c>
      <c r="C78" s="657">
        <f>TB!B717</f>
        <v>0</v>
      </c>
      <c r="D78" s="657">
        <f>TB!D717</f>
        <v>0</v>
      </c>
      <c r="E78" s="681">
        <v>39</v>
      </c>
    </row>
    <row r="79" spans="2:5">
      <c r="B79" s="668"/>
      <c r="C79" s="663">
        <f>SUM(C41:C78)</f>
        <v>0</v>
      </c>
      <c r="D79" s="663">
        <f>SUM(D41:D78)</f>
        <v>0</v>
      </c>
    </row>
    <row r="80" spans="2:5">
      <c r="B80" s="662"/>
      <c r="C80" s="657"/>
      <c r="D80" s="658"/>
    </row>
    <row r="81" spans="1:4" ht="15.75" thickBot="1">
      <c r="B81" s="675"/>
      <c r="C81" s="676">
        <f>C38+C32+C23+C19+C79</f>
        <v>0</v>
      </c>
      <c r="D81" s="676">
        <f>D38+D32+D23+D19+D79</f>
        <v>0</v>
      </c>
    </row>
    <row r="82" spans="1:4">
      <c r="A82" s="651"/>
      <c r="B82" s="651"/>
      <c r="C82" s="651"/>
      <c r="D82" s="651"/>
    </row>
    <row r="83" spans="1:4">
      <c r="A83" s="651"/>
      <c r="B83" s="651"/>
      <c r="C83" s="651"/>
      <c r="D83" s="651"/>
    </row>
    <row r="84" spans="1:4">
      <c r="A84" s="651"/>
      <c r="B84" s="677" t="s">
        <v>647</v>
      </c>
      <c r="C84" s="685">
        <f>TB!B720</f>
        <v>0</v>
      </c>
      <c r="D84" s="685">
        <f>TB!D720</f>
        <v>0</v>
      </c>
    </row>
    <row r="85" spans="1:4">
      <c r="A85" s="651"/>
      <c r="B85" s="677" t="s">
        <v>638</v>
      </c>
      <c r="C85" s="685">
        <f>TB!B721</f>
        <v>0</v>
      </c>
      <c r="D85" s="685">
        <f>TB!D721</f>
        <v>0</v>
      </c>
    </row>
    <row r="86" spans="1:4">
      <c r="A86" s="651"/>
      <c r="B86" s="677" t="s">
        <v>648</v>
      </c>
      <c r="C86" s="685">
        <f>TB!B722</f>
        <v>0</v>
      </c>
      <c r="D86" s="685">
        <f>TB!D722</f>
        <v>0</v>
      </c>
    </row>
    <row r="87" spans="1:4">
      <c r="A87" s="651"/>
      <c r="B87" s="677" t="s">
        <v>646</v>
      </c>
      <c r="C87" s="685">
        <f>TB!B723</f>
        <v>0</v>
      </c>
      <c r="D87" s="685">
        <f>TB!D723</f>
        <v>0</v>
      </c>
    </row>
    <row r="88" spans="1:4">
      <c r="A88" s="651"/>
      <c r="B88" s="677" t="s">
        <v>685</v>
      </c>
      <c r="C88" s="685">
        <f>TB!B724</f>
        <v>0</v>
      </c>
      <c r="D88" s="685">
        <f>TB!D724</f>
        <v>0</v>
      </c>
    </row>
    <row r="89" spans="1:4">
      <c r="A89" s="651"/>
      <c r="B89" s="677" t="s">
        <v>1638</v>
      </c>
      <c r="C89" s="685">
        <f>TB!B725</f>
        <v>0</v>
      </c>
      <c r="D89" s="685">
        <f>TB!D725</f>
        <v>0</v>
      </c>
    </row>
    <row r="90" spans="1:4">
      <c r="A90" s="651"/>
      <c r="B90" s="677" t="s">
        <v>645</v>
      </c>
      <c r="C90" s="685">
        <f>TB!B726</f>
        <v>0</v>
      </c>
      <c r="D90" s="685">
        <f>TB!D726</f>
        <v>0</v>
      </c>
    </row>
    <row r="91" spans="1:4">
      <c r="A91" s="651"/>
      <c r="B91" s="677" t="s">
        <v>637</v>
      </c>
      <c r="C91" s="685">
        <f>TB!B727</f>
        <v>0</v>
      </c>
      <c r="D91" s="685">
        <f>TB!D727</f>
        <v>0</v>
      </c>
    </row>
    <row r="92" spans="1:4">
      <c r="A92" s="651"/>
      <c r="B92" s="677" t="s">
        <v>618</v>
      </c>
      <c r="C92" s="685">
        <f>TB!B728</f>
        <v>0</v>
      </c>
      <c r="D92" s="685">
        <f>TB!D728</f>
        <v>0</v>
      </c>
    </row>
    <row r="93" spans="1:4">
      <c r="A93" s="651"/>
      <c r="B93" s="677" t="s">
        <v>621</v>
      </c>
      <c r="C93" s="685">
        <f>TB!B729</f>
        <v>0</v>
      </c>
      <c r="D93" s="685">
        <f>TB!D729</f>
        <v>0</v>
      </c>
    </row>
    <row r="94" spans="1:4">
      <c r="A94" s="651"/>
      <c r="B94" s="677" t="s">
        <v>644</v>
      </c>
      <c r="C94" s="685">
        <f>TB!B730</f>
        <v>0</v>
      </c>
      <c r="D94" s="685">
        <f>TB!D730</f>
        <v>0</v>
      </c>
    </row>
    <row r="95" spans="1:4">
      <c r="A95" s="651"/>
      <c r="B95" s="677" t="s">
        <v>627</v>
      </c>
      <c r="C95" s="685">
        <f>TB!B731</f>
        <v>0</v>
      </c>
      <c r="D95" s="685">
        <f>TB!D731</f>
        <v>0</v>
      </c>
    </row>
    <row r="96" spans="1:4">
      <c r="A96" s="651"/>
      <c r="B96" s="677" t="s">
        <v>643</v>
      </c>
      <c r="C96" s="685">
        <f>TB!B732</f>
        <v>0</v>
      </c>
      <c r="D96" s="685">
        <f>TB!D732</f>
        <v>0</v>
      </c>
    </row>
    <row r="97" spans="1:4">
      <c r="A97" s="651"/>
      <c r="B97" s="677" t="s">
        <v>641</v>
      </c>
      <c r="C97" s="685">
        <f>TB!B733</f>
        <v>0</v>
      </c>
      <c r="D97" s="685">
        <f>TB!D733</f>
        <v>0</v>
      </c>
    </row>
    <row r="98" spans="1:4">
      <c r="A98" s="651"/>
      <c r="B98" s="677" t="s">
        <v>640</v>
      </c>
      <c r="C98" s="685">
        <f>TB!B734</f>
        <v>0</v>
      </c>
      <c r="D98" s="685">
        <f>TB!D734</f>
        <v>0</v>
      </c>
    </row>
    <row r="99" spans="1:4">
      <c r="A99" s="651"/>
      <c r="B99" s="677" t="s">
        <v>642</v>
      </c>
      <c r="C99" s="685">
        <f>TB!B735</f>
        <v>0</v>
      </c>
      <c r="D99" s="685">
        <f>TB!D735</f>
        <v>0</v>
      </c>
    </row>
    <row r="100" spans="1:4">
      <c r="A100" s="651"/>
      <c r="B100" s="677" t="s">
        <v>1641</v>
      </c>
      <c r="C100" s="685">
        <f>TB!B736</f>
        <v>0</v>
      </c>
      <c r="D100" s="685">
        <f>TB!D736</f>
        <v>0</v>
      </c>
    </row>
    <row r="101" spans="1:4">
      <c r="A101" s="651"/>
      <c r="B101" s="677" t="s">
        <v>639</v>
      </c>
      <c r="C101" s="685">
        <f>TB!B737</f>
        <v>0</v>
      </c>
      <c r="D101" s="685">
        <f>TB!D737</f>
        <v>0</v>
      </c>
    </row>
    <row r="102" spans="1:4">
      <c r="A102" s="651"/>
      <c r="B102" s="677" t="s">
        <v>615</v>
      </c>
      <c r="C102" s="685">
        <f>TB!B738</f>
        <v>0</v>
      </c>
      <c r="D102" s="685">
        <f>TB!D738</f>
        <v>0</v>
      </c>
    </row>
    <row r="103" spans="1:4">
      <c r="A103" s="651"/>
      <c r="B103" s="677" t="s">
        <v>617</v>
      </c>
      <c r="C103" s="685">
        <f>TB!B739</f>
        <v>0</v>
      </c>
      <c r="D103" s="685">
        <f>TB!D739</f>
        <v>0</v>
      </c>
    </row>
    <row r="104" spans="1:4" s="649" customFormat="1">
      <c r="A104" s="651"/>
      <c r="B104" s="677" t="s">
        <v>1642</v>
      </c>
      <c r="C104" s="685">
        <f>TB!B740</f>
        <v>0</v>
      </c>
      <c r="D104" s="685">
        <f>TB!D740</f>
        <v>0</v>
      </c>
    </row>
    <row r="105" spans="1:4" s="649" customFormat="1">
      <c r="A105" s="651"/>
      <c r="B105" s="677" t="s">
        <v>1668</v>
      </c>
      <c r="C105" s="685">
        <f>TB!B741</f>
        <v>0</v>
      </c>
      <c r="D105" s="685">
        <f>TB!D741</f>
        <v>0</v>
      </c>
    </row>
    <row r="106" spans="1:4" s="649" customFormat="1">
      <c r="A106" s="651"/>
      <c r="B106" s="677" t="s">
        <v>616</v>
      </c>
      <c r="C106" s="685">
        <f>TB!B742</f>
        <v>0</v>
      </c>
      <c r="D106" s="685">
        <f>TB!D742</f>
        <v>0</v>
      </c>
    </row>
    <row r="107" spans="1:4" s="649" customFormat="1">
      <c r="A107" s="651"/>
      <c r="B107" s="677" t="s">
        <v>636</v>
      </c>
      <c r="C107" s="685">
        <f>TB!B743</f>
        <v>0</v>
      </c>
      <c r="D107" s="685">
        <f>TB!D743</f>
        <v>0</v>
      </c>
    </row>
    <row r="108" spans="1:4" s="649" customFormat="1">
      <c r="A108" s="651"/>
      <c r="B108" s="677" t="s">
        <v>614</v>
      </c>
      <c r="C108" s="685">
        <f>TB!B744</f>
        <v>0</v>
      </c>
      <c r="D108" s="685">
        <f>TB!D744</f>
        <v>0</v>
      </c>
    </row>
    <row r="109" spans="1:4" s="649" customFormat="1">
      <c r="A109" s="651"/>
      <c r="B109" s="678" t="s">
        <v>666</v>
      </c>
      <c r="C109" s="685">
        <f>TB!B745</f>
        <v>0</v>
      </c>
      <c r="D109" s="685">
        <f>TB!D745</f>
        <v>0</v>
      </c>
    </row>
    <row r="110" spans="1:4" s="649" customFormat="1">
      <c r="A110" s="651"/>
      <c r="B110" s="677" t="s">
        <v>652</v>
      </c>
      <c r="C110" s="685">
        <f>TB!B746</f>
        <v>0</v>
      </c>
      <c r="D110" s="685">
        <f>TB!D746</f>
        <v>0</v>
      </c>
    </row>
    <row r="111" spans="1:4" s="649" customFormat="1">
      <c r="A111" s="651"/>
      <c r="B111" s="677" t="s">
        <v>635</v>
      </c>
      <c r="C111" s="685">
        <f>TB!B747</f>
        <v>0</v>
      </c>
      <c r="D111" s="685">
        <f>TB!D747</f>
        <v>0</v>
      </c>
    </row>
    <row r="112" spans="1:4" s="649" customFormat="1">
      <c r="A112" s="651"/>
      <c r="B112" s="677" t="s">
        <v>628</v>
      </c>
      <c r="C112" s="685">
        <f>TB!B748</f>
        <v>0</v>
      </c>
      <c r="D112" s="685">
        <f>TB!D748</f>
        <v>0</v>
      </c>
    </row>
    <row r="113" spans="1:4" s="649" customFormat="1">
      <c r="A113" s="651"/>
      <c r="B113" s="677" t="s">
        <v>634</v>
      </c>
      <c r="C113" s="685">
        <f>TB!B749</f>
        <v>0</v>
      </c>
      <c r="D113" s="685">
        <f>TB!D749</f>
        <v>0</v>
      </c>
    </row>
    <row r="114" spans="1:4" s="649" customFormat="1">
      <c r="A114" s="651"/>
      <c r="B114" s="677" t="s">
        <v>630</v>
      </c>
      <c r="C114" s="685">
        <f>TB!B750</f>
        <v>0</v>
      </c>
      <c r="D114" s="685">
        <f>TB!D750</f>
        <v>0</v>
      </c>
    </row>
    <row r="115" spans="1:4" s="649" customFormat="1">
      <c r="A115" s="651"/>
      <c r="B115" s="677" t="s">
        <v>629</v>
      </c>
      <c r="C115" s="685">
        <f>TB!B751</f>
        <v>0</v>
      </c>
      <c r="D115" s="685">
        <f>TB!D751</f>
        <v>0</v>
      </c>
    </row>
    <row r="116" spans="1:4" s="649" customFormat="1">
      <c r="A116" s="651"/>
      <c r="B116" s="677" t="s">
        <v>631</v>
      </c>
      <c r="C116" s="685">
        <f>TB!B752</f>
        <v>0</v>
      </c>
      <c r="D116" s="685">
        <f>TB!D752</f>
        <v>0</v>
      </c>
    </row>
    <row r="117" spans="1:4" s="649" customFormat="1">
      <c r="A117" s="651"/>
      <c r="B117" s="677" t="s">
        <v>633</v>
      </c>
      <c r="C117" s="685">
        <f>TB!B753</f>
        <v>0</v>
      </c>
      <c r="D117" s="685">
        <f>TB!D753</f>
        <v>0</v>
      </c>
    </row>
    <row r="118" spans="1:4" s="649" customFormat="1">
      <c r="A118" s="651"/>
      <c r="B118" s="677" t="s">
        <v>632</v>
      </c>
      <c r="C118" s="685">
        <f>TB!B754</f>
        <v>0</v>
      </c>
      <c r="D118" s="685">
        <f>TB!D754</f>
        <v>0</v>
      </c>
    </row>
    <row r="119" spans="1:4" s="649" customFormat="1">
      <c r="A119" s="651"/>
      <c r="B119" s="651"/>
      <c r="C119" s="685">
        <f>TB!B755</f>
        <v>0</v>
      </c>
      <c r="D119" s="685">
        <f>TB!D755</f>
        <v>0</v>
      </c>
    </row>
    <row r="120" spans="1:4" s="649" customFormat="1">
      <c r="A120" s="651"/>
      <c r="B120" s="651"/>
      <c r="C120" s="679">
        <f>SUM(C84:C119)</f>
        <v>0</v>
      </c>
      <c r="D120" s="679">
        <f>SUM(D84:D119)</f>
        <v>0</v>
      </c>
    </row>
    <row r="121" spans="1:4" s="649" customFormat="1">
      <c r="A121" s="651"/>
      <c r="B121" s="651"/>
      <c r="C121" s="651"/>
      <c r="D121" s="651"/>
    </row>
    <row r="122" spans="1:4" s="649" customFormat="1">
      <c r="A122" s="651"/>
      <c r="B122" s="651"/>
      <c r="C122" s="651"/>
      <c r="D122" s="651"/>
    </row>
    <row r="123" spans="1:4" s="649" customFormat="1">
      <c r="A123" s="651"/>
      <c r="B123" s="651"/>
      <c r="C123" s="651"/>
      <c r="D123" s="651"/>
    </row>
    <row r="124" spans="1:4" s="649" customFormat="1">
      <c r="A124" s="651"/>
      <c r="B124" s="651"/>
      <c r="C124" s="651"/>
      <c r="D124" s="651"/>
    </row>
    <row r="125" spans="1:4" s="649" customFormat="1">
      <c r="A125" s="651"/>
      <c r="B125" s="651"/>
      <c r="C125" s="651"/>
      <c r="D125" s="651"/>
    </row>
    <row r="126" spans="1:4" s="649" customFormat="1">
      <c r="A126" s="651"/>
      <c r="B126" s="651"/>
      <c r="C126" s="651"/>
      <c r="D126" s="651"/>
    </row>
    <row r="127" spans="1:4" s="649" customFormat="1">
      <c r="A127" s="651"/>
      <c r="B127" s="651"/>
      <c r="C127" s="651"/>
      <c r="D127" s="651"/>
    </row>
    <row r="128" spans="1:4" s="649" customFormat="1">
      <c r="A128" s="651"/>
      <c r="B128" s="651"/>
      <c r="C128" s="651"/>
      <c r="D128" s="651"/>
    </row>
    <row r="129" spans="1:4" s="649" customFormat="1">
      <c r="A129" s="651"/>
      <c r="B129" s="651"/>
      <c r="C129" s="651"/>
      <c r="D129" s="651"/>
    </row>
    <row r="130" spans="1:4" s="649" customFormat="1">
      <c r="A130" s="651"/>
      <c r="B130" s="651"/>
      <c r="C130" s="651"/>
      <c r="D130" s="651"/>
    </row>
    <row r="131" spans="1:4" s="649" customFormat="1">
      <c r="A131" s="651"/>
      <c r="B131" s="651"/>
      <c r="C131" s="651"/>
      <c r="D131" s="651"/>
    </row>
    <row r="132" spans="1:4" s="649" customFormat="1">
      <c r="A132" s="651"/>
      <c r="B132" s="651"/>
      <c r="C132" s="651"/>
      <c r="D132" s="651"/>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sheetPr codeName="Sheet33">
    <tabColor rgb="FF92D050"/>
  </sheetPr>
  <dimension ref="B1:F10"/>
  <sheetViews>
    <sheetView workbookViewId="0">
      <selection activeCell="E8" sqref="E8"/>
    </sheetView>
  </sheetViews>
  <sheetFormatPr defaultRowHeight="15"/>
  <cols>
    <col min="1" max="1" width="2.5703125" customWidth="1"/>
    <col min="4" max="4" width="32" customWidth="1"/>
    <col min="5" max="6" width="14.7109375" customWidth="1"/>
  </cols>
  <sheetData>
    <row r="1" spans="2:6" ht="18.75">
      <c r="B1" s="126" t="str">
        <f>PL!B1</f>
        <v>ABC LTD</v>
      </c>
      <c r="C1" s="126"/>
      <c r="D1" s="126"/>
    </row>
    <row r="2" spans="2:6" ht="15.75" thickBot="1">
      <c r="B2" s="127" t="str">
        <f>'1'!B2</f>
        <v>Notes to financial statements for the year ended 31/03/2012</v>
      </c>
      <c r="C2" s="127"/>
      <c r="D2" s="127"/>
      <c r="E2" s="127"/>
      <c r="F2" s="127"/>
    </row>
    <row r="5" spans="2:6" ht="16.5" thickBot="1">
      <c r="B5" s="36" t="str">
        <f>CONCATENATE(PL!D34,".  PROVISION FOR TAXATION")</f>
        <v xml:space="preserve"> .  PROVISION FOR TAXATION</v>
      </c>
      <c r="C5" s="25"/>
      <c r="D5" s="25"/>
      <c r="E5" s="31" t="s">
        <v>94</v>
      </c>
      <c r="F5" s="35" t="s">
        <v>95</v>
      </c>
    </row>
    <row r="6" spans="2:6" ht="15.75">
      <c r="B6" s="52"/>
      <c r="C6" s="2"/>
      <c r="D6" s="2"/>
      <c r="E6" s="6"/>
      <c r="F6" s="16"/>
    </row>
    <row r="7" spans="2:6">
      <c r="B7" s="40" t="s">
        <v>155</v>
      </c>
      <c r="C7" s="1"/>
      <c r="D7" s="1"/>
      <c r="E7" s="11">
        <f>tax!B51</f>
        <v>0</v>
      </c>
      <c r="F7" s="149">
        <f>TB!D765</f>
        <v>0</v>
      </c>
    </row>
    <row r="8" spans="2:6">
      <c r="B8" s="40" t="s">
        <v>156</v>
      </c>
      <c r="C8" s="1"/>
      <c r="D8" s="1"/>
      <c r="E8" s="724">
        <f>-'def tax'!C23</f>
        <v>0</v>
      </c>
      <c r="F8" s="149">
        <f>TB!D766</f>
        <v>0</v>
      </c>
    </row>
    <row r="9" spans="2:6">
      <c r="B9" s="8"/>
      <c r="C9" s="2"/>
      <c r="D9" s="2"/>
      <c r="E9" s="6"/>
      <c r="F9" s="16"/>
    </row>
    <row r="10" spans="2:6" ht="15.75" thickBot="1">
      <c r="B10" s="44"/>
      <c r="C10" s="44"/>
      <c r="D10" s="44"/>
      <c r="E10" s="46">
        <f>SUM(E7:E8)</f>
        <v>0</v>
      </c>
      <c r="F10" s="45">
        <f>SUM(F7:F9)</f>
        <v>0</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sheetPr codeName="Sheet34">
    <tabColor rgb="FF92D050"/>
  </sheetPr>
  <dimension ref="B1:F10"/>
  <sheetViews>
    <sheetView workbookViewId="0">
      <selection activeCell="D1" sqref="D1:D1048576"/>
    </sheetView>
  </sheetViews>
  <sheetFormatPr defaultRowHeight="15"/>
  <cols>
    <col min="4" max="4" width="27.5703125" customWidth="1"/>
    <col min="5" max="6" width="14" customWidth="1"/>
  </cols>
  <sheetData>
    <row r="1" spans="2:6" ht="18.75">
      <c r="B1" s="126" t="str">
        <f>PL!B1</f>
        <v>ABC LTD</v>
      </c>
      <c r="C1" s="126"/>
    </row>
    <row r="2" spans="2:6" ht="15.75" thickBot="1">
      <c r="B2" s="127" t="str">
        <f>'1'!B2</f>
        <v>Notes to financial statements for the year ended 31/03/2012</v>
      </c>
      <c r="C2" s="127"/>
      <c r="D2" s="127"/>
      <c r="E2" s="127"/>
      <c r="F2" s="127"/>
    </row>
    <row r="5" spans="2:6" ht="15.75">
      <c r="B5" s="58" t="str">
        <f>CONCATENATE(PL!D40,".  PROFIT / LOSS FROM DISCONTINUING OPERATIONS")</f>
        <v xml:space="preserve"> .  PROFIT / LOSS FROM DISCONTINUING OPERATIONS</v>
      </c>
      <c r="E5" s="56"/>
    </row>
    <row r="6" spans="2:6" ht="15.75" thickBot="1">
      <c r="E6" s="31" t="s">
        <v>94</v>
      </c>
      <c r="F6" s="35" t="s">
        <v>95</v>
      </c>
    </row>
    <row r="7" spans="2:6">
      <c r="B7" s="1" t="s">
        <v>157</v>
      </c>
      <c r="E7" s="11">
        <f>TB!C771</f>
        <v>0</v>
      </c>
      <c r="F7" s="149">
        <f>TB!E771</f>
        <v>0</v>
      </c>
    </row>
    <row r="8" spans="2:6">
      <c r="B8" s="1" t="s">
        <v>158</v>
      </c>
      <c r="E8" s="149">
        <f>TB!B772</f>
        <v>0</v>
      </c>
      <c r="F8" s="149">
        <f>TB!D772</f>
        <v>0</v>
      </c>
    </row>
    <row r="9" spans="2:6" ht="15.75" thickBot="1">
      <c r="B9" s="1" t="s">
        <v>159</v>
      </c>
      <c r="E9" s="112">
        <f>E7-E8</f>
        <v>0</v>
      </c>
      <c r="F9" s="112">
        <f>F7-F8</f>
        <v>0</v>
      </c>
    </row>
    <row r="10" spans="2:6">
      <c r="E10" s="56"/>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sheetPr codeName="Sheet35">
    <tabColor rgb="FF92D050"/>
  </sheetPr>
  <dimension ref="B1:H28"/>
  <sheetViews>
    <sheetView workbookViewId="0"/>
  </sheetViews>
  <sheetFormatPr defaultRowHeight="15"/>
  <cols>
    <col min="1" max="1" width="2.5703125" customWidth="1"/>
    <col min="6" max="6" width="15.28515625" customWidth="1"/>
    <col min="7" max="7" width="17.5703125" customWidth="1"/>
    <col min="8" max="8" width="17.85546875" customWidth="1"/>
  </cols>
  <sheetData>
    <row r="1" spans="2:8" ht="18.75">
      <c r="B1" s="126" t="str">
        <f>PL!B1</f>
        <v>ABC LTD</v>
      </c>
      <c r="C1" s="126"/>
      <c r="D1" s="126"/>
    </row>
    <row r="2" spans="2:8" ht="15.75" thickBot="1">
      <c r="B2" s="127" t="str">
        <f>'1'!B2</f>
        <v>Notes to financial statements for the year ended 31/03/2012</v>
      </c>
      <c r="C2" s="127"/>
      <c r="D2" s="127"/>
      <c r="E2" s="127"/>
      <c r="F2" s="127"/>
      <c r="G2" s="127"/>
      <c r="H2" s="127"/>
    </row>
    <row r="5" spans="2:8" ht="15.75">
      <c r="B5" s="58" t="str">
        <f>CONCATENATE(PL!D46,".  EARNING PER SHARE (EPS)")</f>
        <v>3.  EARNING PER SHARE (EPS)</v>
      </c>
      <c r="G5" s="56"/>
    </row>
    <row r="6" spans="2:8">
      <c r="B6" s="1" t="s">
        <v>160</v>
      </c>
      <c r="G6" s="56"/>
    </row>
    <row r="7" spans="2:8">
      <c r="G7" s="56"/>
    </row>
    <row r="8" spans="2:8" ht="15.75" thickBot="1">
      <c r="G8" s="31" t="s">
        <v>94</v>
      </c>
      <c r="H8" s="35" t="s">
        <v>95</v>
      </c>
    </row>
    <row r="9" spans="2:8">
      <c r="B9" s="7" t="s">
        <v>161</v>
      </c>
    </row>
    <row r="10" spans="2:8">
      <c r="B10" s="1" t="s">
        <v>162</v>
      </c>
      <c r="G10" s="11">
        <f>PL!F42</f>
        <v>0</v>
      </c>
      <c r="H10" s="42">
        <f>PL!H42</f>
        <v>0</v>
      </c>
    </row>
    <row r="11" spans="2:8">
      <c r="B11" s="1" t="s">
        <v>163</v>
      </c>
      <c r="G11" s="11">
        <v>0</v>
      </c>
      <c r="H11" s="42">
        <v>0</v>
      </c>
    </row>
    <row r="12" spans="2:8">
      <c r="B12" s="1" t="s">
        <v>164</v>
      </c>
      <c r="G12" s="39">
        <v>0</v>
      </c>
      <c r="H12" s="42">
        <v>0</v>
      </c>
    </row>
    <row r="13" spans="2:8">
      <c r="B13" s="1" t="s">
        <v>165</v>
      </c>
      <c r="G13" s="39">
        <v>0</v>
      </c>
      <c r="H13" s="42">
        <v>0</v>
      </c>
    </row>
    <row r="14" spans="2:8">
      <c r="B14" s="1" t="s">
        <v>166</v>
      </c>
      <c r="G14" s="34">
        <f>G10-G11-G12-G13</f>
        <v>0</v>
      </c>
      <c r="H14" s="59">
        <f>H10-H11-H12-H13</f>
        <v>0</v>
      </c>
    </row>
    <row r="15" spans="2:8">
      <c r="G15" s="56"/>
    </row>
    <row r="16" spans="2:8">
      <c r="B16" s="7" t="s">
        <v>167</v>
      </c>
      <c r="G16" s="56"/>
    </row>
    <row r="17" spans="2:8">
      <c r="B17" s="1" t="s">
        <v>168</v>
      </c>
      <c r="G17" s="56">
        <v>100000</v>
      </c>
      <c r="H17" s="56">
        <v>100000</v>
      </c>
    </row>
    <row r="18" spans="2:8">
      <c r="B18" s="1" t="s">
        <v>169</v>
      </c>
      <c r="G18" s="15">
        <f>SUM(G17:G17)</f>
        <v>100000</v>
      </c>
      <c r="H18" s="41">
        <f>SUM(H17:H17)</f>
        <v>100000</v>
      </c>
    </row>
    <row r="19" spans="2:8">
      <c r="G19" s="56"/>
    </row>
    <row r="20" spans="2:8">
      <c r="B20" s="7" t="s">
        <v>170</v>
      </c>
      <c r="G20" s="56"/>
    </row>
    <row r="21" spans="2:8">
      <c r="B21" s="1" t="s">
        <v>162</v>
      </c>
      <c r="G21" s="11">
        <f>PL!F44</f>
        <v>0</v>
      </c>
      <c r="H21" s="42">
        <f>PL!H44</f>
        <v>0</v>
      </c>
    </row>
    <row r="22" spans="2:8">
      <c r="B22" s="1" t="s">
        <v>171</v>
      </c>
      <c r="G22" s="11">
        <v>50000</v>
      </c>
      <c r="H22" s="42">
        <v>50000</v>
      </c>
    </row>
    <row r="23" spans="2:8">
      <c r="B23" s="7" t="s">
        <v>172</v>
      </c>
      <c r="G23" s="34">
        <f>SUM(G21:G22)</f>
        <v>50000</v>
      </c>
      <c r="H23" s="60">
        <f>SUM(H21:H22)</f>
        <v>50000</v>
      </c>
    </row>
    <row r="24" spans="2:8">
      <c r="G24" s="56"/>
    </row>
    <row r="25" spans="2:8">
      <c r="B25" s="7" t="s">
        <v>173</v>
      </c>
      <c r="G25" s="56"/>
    </row>
    <row r="26" spans="2:8">
      <c r="B26" s="1" t="s">
        <v>168</v>
      </c>
      <c r="G26" s="56">
        <v>100000</v>
      </c>
      <c r="H26">
        <v>100000</v>
      </c>
    </row>
    <row r="27" spans="2:8">
      <c r="B27" s="1" t="s">
        <v>174</v>
      </c>
      <c r="G27" s="56">
        <f>50000/10</f>
        <v>5000</v>
      </c>
      <c r="H27">
        <f>50000/10</f>
        <v>5000</v>
      </c>
    </row>
    <row r="28" spans="2:8">
      <c r="B28" s="1" t="s">
        <v>175</v>
      </c>
      <c r="G28" s="15">
        <v>105000</v>
      </c>
      <c r="H28" s="43">
        <v>105000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codeName="Sheet22">
    <pageSetUpPr fitToPage="1"/>
  </sheetPr>
  <dimension ref="A1:D44"/>
  <sheetViews>
    <sheetView workbookViewId="0">
      <selection activeCell="E28" sqref="E28"/>
    </sheetView>
  </sheetViews>
  <sheetFormatPr defaultRowHeight="15"/>
  <cols>
    <col min="1" max="1" width="37.140625" style="195" customWidth="1"/>
    <col min="2" max="2" width="12.85546875" style="218" bestFit="1" customWidth="1"/>
    <col min="3" max="3" width="17.85546875" style="195" customWidth="1"/>
    <col min="4" max="4" width="17.85546875" style="200" customWidth="1"/>
    <col min="5" max="16384" width="9.140625" style="195"/>
  </cols>
  <sheetData>
    <row r="1" spans="1:4">
      <c r="A1" s="897" t="str">
        <f>master!B2</f>
        <v>ABC LTD</v>
      </c>
      <c r="B1" s="897"/>
      <c r="C1" s="897"/>
      <c r="D1" s="897"/>
    </row>
    <row r="2" spans="1:4">
      <c r="A2" s="900" t="str">
        <f>CONCATENATE("PROFIT &amp; LOSS ACCOUNT FOR THE YEAR ENDED",master!B18)</f>
        <v>PROFIT &amp; LOSS ACCOUNT FOR THE YEAR ENDED31st MARCH, 2012</v>
      </c>
      <c r="B2" s="900"/>
      <c r="C2" s="900"/>
      <c r="D2" s="900"/>
    </row>
    <row r="3" spans="1:4">
      <c r="A3" s="247" t="s">
        <v>855</v>
      </c>
      <c r="B3" s="245" t="s">
        <v>854</v>
      </c>
      <c r="C3" s="245" t="s">
        <v>604</v>
      </c>
      <c r="D3" s="245" t="s">
        <v>603</v>
      </c>
    </row>
    <row r="4" spans="1:4">
      <c r="A4" s="221"/>
      <c r="B4" s="243"/>
      <c r="C4" s="243" t="str">
        <f>master!B16</f>
        <v>31/03/2012</v>
      </c>
      <c r="D4" s="243" t="str">
        <f>master!B17</f>
        <v>31/03/2011</v>
      </c>
    </row>
    <row r="5" spans="1:4">
      <c r="A5" s="198" t="s">
        <v>947</v>
      </c>
      <c r="C5" s="218"/>
    </row>
    <row r="6" spans="1:4">
      <c r="A6" s="196"/>
      <c r="B6" s="209"/>
      <c r="C6" s="200"/>
      <c r="D6" s="195"/>
    </row>
    <row r="7" spans="1:4">
      <c r="A7" s="195" t="s">
        <v>946</v>
      </c>
      <c r="B7" s="271" t="e">
        <f>IF(C7+D7&gt;0,'BS (2)'!B45+1,"")</f>
        <v>#REF!</v>
      </c>
      <c r="C7" s="200" t="e">
        <f>#REF!</f>
        <v>#REF!</v>
      </c>
      <c r="D7" s="200" t="e">
        <f>#REF!</f>
        <v>#REF!</v>
      </c>
    </row>
    <row r="8" spans="1:4">
      <c r="A8" s="195" t="s">
        <v>47</v>
      </c>
      <c r="B8" s="271" t="e">
        <f>IF(C8+D8&gt;0,MAX('BS (2)'!B45,B7)+1,"")</f>
        <v>#REF!</v>
      </c>
      <c r="C8" s="200" t="e">
        <f>#REF!</f>
        <v>#REF!</v>
      </c>
      <c r="D8" s="200" t="e">
        <f>#REF!</f>
        <v>#REF!</v>
      </c>
    </row>
    <row r="9" spans="1:4">
      <c r="B9" s="271"/>
      <c r="C9" s="200"/>
    </row>
    <row r="10" spans="1:4">
      <c r="B10" s="209"/>
      <c r="C10" s="200"/>
      <c r="D10" s="195"/>
    </row>
    <row r="11" spans="1:4">
      <c r="A11" s="205" t="s">
        <v>424</v>
      </c>
      <c r="C11" s="214" t="e">
        <f>SUM(C6:C10)</f>
        <v>#REF!</v>
      </c>
      <c r="D11" s="214" t="e">
        <f>SUM(D6:D10)</f>
        <v>#REF!</v>
      </c>
    </row>
    <row r="12" spans="1:4">
      <c r="A12" s="198" t="s">
        <v>945</v>
      </c>
      <c r="C12" s="218"/>
    </row>
    <row r="13" spans="1:4">
      <c r="A13" s="198"/>
      <c r="C13" s="218"/>
    </row>
    <row r="14" spans="1:4">
      <c r="A14" s="195" t="s">
        <v>690</v>
      </c>
      <c r="B14" s="271" t="e">
        <f>IF(C14+D14&gt;0,MAX('BS (2)'!B50,B7:B13)+1,"")</f>
        <v>#REF!</v>
      </c>
      <c r="C14" s="218" t="e">
        <f>#REF!</f>
        <v>#REF!</v>
      </c>
      <c r="D14" s="200">
        <v>0</v>
      </c>
    </row>
    <row r="15" spans="1:4">
      <c r="A15" s="195" t="s">
        <v>689</v>
      </c>
      <c r="B15" s="271" t="e">
        <f>IF(C15+D15&gt;0,MAX('BS (2)'!B51,B7:B14)+1,"")</f>
        <v>#REF!</v>
      </c>
      <c r="C15" s="218" t="e">
        <f>#REF!</f>
        <v>#REF!</v>
      </c>
      <c r="D15" s="218" t="e">
        <f>#REF!</f>
        <v>#REF!</v>
      </c>
    </row>
    <row r="16" spans="1:4">
      <c r="A16" s="195" t="s">
        <v>944</v>
      </c>
      <c r="B16" s="271" t="e">
        <f>IF(C16+D16&gt;0,MAX('BS (2)'!B52,B7:B15)+1,"")</f>
        <v>#REF!</v>
      </c>
      <c r="C16" s="218" t="e">
        <f>#REF!</f>
        <v>#REF!</v>
      </c>
      <c r="D16" s="218" t="e">
        <f>#REF!</f>
        <v>#REF!</v>
      </c>
    </row>
    <row r="17" spans="1:4">
      <c r="A17" s="195" t="s">
        <v>943</v>
      </c>
      <c r="B17" s="271" t="e">
        <f>IF(C17+D17&gt;0,MAX('BS (2)'!B54,B7:B16)+1,"")</f>
        <v>#REF!</v>
      </c>
      <c r="C17" s="218" t="e">
        <f>#REF!</f>
        <v>#REF!</v>
      </c>
      <c r="D17" s="218" t="e">
        <f>#REF!</f>
        <v>#REF!</v>
      </c>
    </row>
    <row r="18" spans="1:4">
      <c r="A18" s="195" t="s">
        <v>942</v>
      </c>
      <c r="B18" s="271" t="e">
        <f>IF(C18+D18&gt;0,MAX('BS (2)'!B55,B7:B17)+1,"")</f>
        <v>#REF!</v>
      </c>
      <c r="C18" s="218" t="e">
        <f>#REF!</f>
        <v>#REF!</v>
      </c>
      <c r="D18" s="200" t="e">
        <f>#REF!</f>
        <v>#REF!</v>
      </c>
    </row>
    <row r="19" spans="1:4">
      <c r="A19" s="195" t="s">
        <v>941</v>
      </c>
      <c r="B19" s="271" t="e">
        <f>IF(C19+D19&gt;0,MAX('BS (2)'!B56,B7:B18)+1,"")</f>
        <v>#REF!</v>
      </c>
      <c r="C19" s="218" t="e">
        <f>#REF!</f>
        <v>#REF!</v>
      </c>
      <c r="D19" s="218" t="e">
        <f>#REF!</f>
        <v>#REF!</v>
      </c>
    </row>
    <row r="20" spans="1:4">
      <c r="C20" s="218"/>
    </row>
    <row r="21" spans="1:4">
      <c r="C21" s="218"/>
    </row>
    <row r="22" spans="1:4">
      <c r="A22" s="205" t="s">
        <v>424</v>
      </c>
      <c r="B22" s="271"/>
      <c r="C22" s="214" t="e">
        <f>SUM(C13:C21)</f>
        <v>#REF!</v>
      </c>
      <c r="D22" s="214" t="e">
        <f>SUM(D13:D21)</f>
        <v>#REF!</v>
      </c>
    </row>
    <row r="23" spans="1:4">
      <c r="A23" s="195" t="s">
        <v>940</v>
      </c>
      <c r="B23" s="209"/>
      <c r="C23" s="200" t="e">
        <f>SUM(C11-C22)</f>
        <v>#REF!</v>
      </c>
      <c r="D23" s="200" t="e">
        <f>SUM(D11-D22)</f>
        <v>#REF!</v>
      </c>
    </row>
    <row r="24" spans="1:4">
      <c r="A24" s="195" t="s">
        <v>939</v>
      </c>
      <c r="B24" s="200" t="s">
        <v>464</v>
      </c>
      <c r="C24" s="195">
        <f>-tax!C83</f>
        <v>0</v>
      </c>
      <c r="D24" s="195" t="e">
        <f>-#REF!</f>
        <v>#REF!</v>
      </c>
    </row>
    <row r="25" spans="1:4">
      <c r="A25" s="195" t="s">
        <v>624</v>
      </c>
      <c r="B25" s="200" t="s">
        <v>464</v>
      </c>
      <c r="C25" s="195">
        <v>0</v>
      </c>
      <c r="D25" s="195" t="e">
        <f>-#REF!</f>
        <v>#REF!</v>
      </c>
    </row>
    <row r="26" spans="1:4">
      <c r="A26" s="195" t="s">
        <v>623</v>
      </c>
      <c r="B26" s="200" t="s">
        <v>464</v>
      </c>
      <c r="C26" s="200" t="e">
        <f>-#REF!</f>
        <v>#REF!</v>
      </c>
      <c r="D26" s="200" t="e">
        <f>-#REF!</f>
        <v>#REF!</v>
      </c>
    </row>
    <row r="27" spans="1:4">
      <c r="A27" s="195" t="s">
        <v>622</v>
      </c>
      <c r="B27" s="209"/>
      <c r="C27" s="200">
        <v>0</v>
      </c>
      <c r="D27" s="195">
        <v>0</v>
      </c>
    </row>
    <row r="28" spans="1:4">
      <c r="A28" s="195" t="s">
        <v>938</v>
      </c>
      <c r="B28" s="218" t="s">
        <v>464</v>
      </c>
      <c r="C28" s="195" t="e">
        <f>D29</f>
        <v>#REF!</v>
      </c>
      <c r="D28" s="195" t="e">
        <f>#REF!</f>
        <v>#REF!</v>
      </c>
    </row>
    <row r="29" spans="1:4">
      <c r="A29" s="195" t="s">
        <v>937</v>
      </c>
      <c r="C29" s="200" t="e">
        <f>SUM(C23:C28)</f>
        <v>#REF!</v>
      </c>
      <c r="D29" s="200" t="e">
        <f>SUM(D23:D28)</f>
        <v>#REF!</v>
      </c>
    </row>
    <row r="30" spans="1:4">
      <c r="C30" s="200"/>
    </row>
    <row r="31" spans="1:4">
      <c r="C31" s="200"/>
    </row>
    <row r="32" spans="1:4">
      <c r="C32" s="200"/>
    </row>
    <row r="33" spans="1:4">
      <c r="C33" s="218"/>
    </row>
    <row r="34" spans="1:4">
      <c r="A34" s="898" t="str">
        <f>CONCATENATE("For ",master!B2)</f>
        <v>For ABC LTD</v>
      </c>
      <c r="B34" s="898"/>
      <c r="C34" s="897" t="s">
        <v>829</v>
      </c>
      <c r="D34" s="897"/>
    </row>
    <row r="35" spans="1:4">
      <c r="A35" s="205"/>
      <c r="B35" s="224"/>
      <c r="C35" s="897" t="s">
        <v>828</v>
      </c>
      <c r="D35" s="897"/>
    </row>
    <row r="36" spans="1:4">
      <c r="A36" s="205"/>
      <c r="B36" s="224"/>
      <c r="C36" s="898" t="str">
        <f>CONCATENATE("For ",master!B36)</f>
        <v>For ABC &amp; CO</v>
      </c>
      <c r="D36" s="898"/>
    </row>
    <row r="37" spans="1:4">
      <c r="B37" s="195"/>
      <c r="C37" s="898" t="s">
        <v>776</v>
      </c>
      <c r="D37" s="898"/>
    </row>
    <row r="38" spans="1:4">
      <c r="B38" s="195"/>
      <c r="C38" s="224"/>
      <c r="D38" s="224"/>
    </row>
    <row r="39" spans="1:4">
      <c r="A39" s="899" t="s">
        <v>464</v>
      </c>
      <c r="B39" s="899"/>
      <c r="C39" s="205"/>
      <c r="D39" s="205"/>
    </row>
    <row r="40" spans="1:4">
      <c r="A40" s="899" t="str">
        <f>CONCATENATE("Sd-",master!B30,",",master!C30,"        ",              "Sd-",master!B31,",",master!C31)</f>
        <v>Sd-Subhash Gupta,Director        Sd-Tarun Kumar,Director</v>
      </c>
      <c r="B40" s="899"/>
      <c r="C40" s="224"/>
      <c r="D40" s="224"/>
    </row>
    <row r="41" spans="1:4">
      <c r="A41" s="899" t="s">
        <v>464</v>
      </c>
      <c r="B41" s="899"/>
      <c r="C41" s="898" t="e">
        <f>CONCATENATE("Sd-",master!B42,master!#REF!)</f>
        <v>#REF!</v>
      </c>
      <c r="D41" s="898"/>
    </row>
    <row r="42" spans="1:4">
      <c r="B42" s="195"/>
      <c r="C42" s="208"/>
      <c r="D42" s="208"/>
    </row>
    <row r="43" spans="1:4">
      <c r="A43" s="186" t="str">
        <f>CONCATENATE("Place : ",master!B45)</f>
        <v>Place : DELHI</v>
      </c>
      <c r="B43" s="238"/>
      <c r="C43" s="208"/>
      <c r="D43" s="208"/>
    </row>
    <row r="44" spans="1:4">
      <c r="A44" s="186" t="str">
        <f>CONCATENATE("Place : ",master!B46)</f>
        <v>Place : 01/09/2012</v>
      </c>
      <c r="B44" s="238"/>
      <c r="C44" s="208"/>
      <c r="D44" s="208"/>
    </row>
  </sheetData>
  <mergeCells count="11">
    <mergeCell ref="A1:D1"/>
    <mergeCell ref="A2:D2"/>
    <mergeCell ref="C34:D34"/>
    <mergeCell ref="C35:D35"/>
    <mergeCell ref="A34:B34"/>
    <mergeCell ref="A41:B41"/>
    <mergeCell ref="C41:D41"/>
    <mergeCell ref="C36:D36"/>
    <mergeCell ref="C37:D37"/>
    <mergeCell ref="A39:B39"/>
    <mergeCell ref="A40:B40"/>
  </mergeCells>
  <pageMargins left="1" right="0.75" top="1" bottom="1" header="0.5" footer="0.5"/>
  <pageSetup orientation="portrait" horizontalDpi="120" verticalDpi="144" r:id="rId1"/>
  <headerFooter alignWithMargins="0"/>
</worksheet>
</file>

<file path=xl/worksheets/sheet50.xml><?xml version="1.0" encoding="utf-8"?>
<worksheet xmlns="http://schemas.openxmlformats.org/spreadsheetml/2006/main" xmlns:r="http://schemas.openxmlformats.org/officeDocument/2006/relationships">
  <sheetPr codeName="Sheet36">
    <tabColor rgb="FF92D050"/>
  </sheetPr>
  <dimension ref="B1:F101"/>
  <sheetViews>
    <sheetView workbookViewId="0">
      <selection activeCell="I17" sqref="I17"/>
    </sheetView>
  </sheetViews>
  <sheetFormatPr defaultRowHeight="15"/>
  <cols>
    <col min="4" max="4" width="27.140625" customWidth="1"/>
    <col min="5" max="6" width="18.85546875" customWidth="1"/>
  </cols>
  <sheetData>
    <row r="1" spans="2:6" ht="18.75">
      <c r="B1" s="126" t="str">
        <f>PL!B1</f>
        <v>ABC LTD</v>
      </c>
      <c r="C1" s="126"/>
      <c r="D1" s="126"/>
    </row>
    <row r="2" spans="2:6" ht="15.75" thickBot="1">
      <c r="B2" s="127" t="str">
        <f>'1'!B2</f>
        <v>Notes to financial statements for the year ended 31/03/2012</v>
      </c>
      <c r="C2" s="127"/>
      <c r="D2" s="127"/>
      <c r="E2" s="127"/>
      <c r="F2" s="127"/>
    </row>
    <row r="5" spans="2:6" ht="18.75">
      <c r="B5" s="113" t="str">
        <f>CONCATENATE(BS!D54,".  NOTES TO ACCOUNTS")</f>
        <v>4.  NOTES TO ACCOUNTS</v>
      </c>
    </row>
    <row r="7" spans="2:6" ht="16.5" thickBot="1">
      <c r="B7" s="36" t="s">
        <v>1705</v>
      </c>
      <c r="C7" s="91"/>
    </row>
    <row r="9" spans="2:6" ht="30.75" customHeight="1">
      <c r="B9" s="941" t="s">
        <v>1710</v>
      </c>
      <c r="C9" s="941"/>
      <c r="D9" s="941"/>
      <c r="E9" s="941"/>
      <c r="F9" s="941"/>
    </row>
    <row r="11" spans="2:6" ht="16.5" thickBot="1">
      <c r="B11" s="36" t="s">
        <v>1706</v>
      </c>
      <c r="C11" s="91"/>
    </row>
    <row r="13" spans="2:6">
      <c r="B13" s="939" t="s">
        <v>899</v>
      </c>
      <c r="C13" s="939"/>
      <c r="D13" s="939"/>
      <c r="E13" s="939"/>
      <c r="F13" s="939"/>
    </row>
    <row r="14" spans="2:6" ht="106.5" customHeight="1">
      <c r="B14" s="941" t="s">
        <v>898</v>
      </c>
      <c r="C14" s="941"/>
      <c r="D14" s="941"/>
      <c r="E14" s="941"/>
      <c r="F14" s="941"/>
    </row>
    <row r="15" spans="2:6">
      <c r="B15" s="941"/>
      <c r="C15" s="941"/>
      <c r="D15" s="941"/>
      <c r="E15" s="941"/>
      <c r="F15" s="941"/>
    </row>
    <row r="16" spans="2:6">
      <c r="B16" s="939" t="s">
        <v>897</v>
      </c>
      <c r="C16" s="939"/>
      <c r="D16" s="939"/>
      <c r="E16" s="939"/>
      <c r="F16" s="939"/>
    </row>
    <row r="17" spans="2:6">
      <c r="B17" s="941" t="s">
        <v>896</v>
      </c>
      <c r="C17" s="941"/>
      <c r="D17" s="941"/>
      <c r="E17" s="941"/>
      <c r="F17" s="941"/>
    </row>
    <row r="18" spans="2:6">
      <c r="B18" s="941"/>
      <c r="C18" s="941"/>
      <c r="D18" s="941"/>
      <c r="E18" s="941"/>
      <c r="F18" s="941"/>
    </row>
    <row r="19" spans="2:6">
      <c r="B19" s="939" t="s">
        <v>895</v>
      </c>
      <c r="C19" s="939"/>
      <c r="D19" s="939"/>
      <c r="E19" s="939"/>
      <c r="F19" s="939"/>
    </row>
    <row r="20" spans="2:6">
      <c r="B20" s="941" t="s">
        <v>894</v>
      </c>
      <c r="C20" s="941"/>
      <c r="D20" s="941"/>
      <c r="E20" s="941"/>
      <c r="F20" s="941"/>
    </row>
    <row r="21" spans="2:6">
      <c r="B21" s="941"/>
      <c r="C21" s="941"/>
      <c r="D21" s="941"/>
      <c r="E21" s="941"/>
      <c r="F21" s="941"/>
    </row>
    <row r="22" spans="2:6">
      <c r="B22" s="939" t="s">
        <v>1707</v>
      </c>
      <c r="C22" s="939"/>
      <c r="D22" s="939"/>
      <c r="E22" s="939"/>
      <c r="F22" s="939"/>
    </row>
    <row r="23" spans="2:6">
      <c r="B23" s="941" t="s">
        <v>892</v>
      </c>
      <c r="C23" s="941"/>
      <c r="D23" s="941"/>
      <c r="E23" s="941"/>
      <c r="F23" s="941"/>
    </row>
    <row r="24" spans="2:6">
      <c r="B24" s="941"/>
      <c r="C24" s="941"/>
      <c r="D24" s="941"/>
      <c r="E24" s="941"/>
      <c r="F24" s="941"/>
    </row>
    <row r="25" spans="2:6">
      <c r="B25" s="939" t="s">
        <v>891</v>
      </c>
      <c r="C25" s="939"/>
      <c r="D25" s="939"/>
      <c r="E25" s="939"/>
      <c r="F25" s="939"/>
    </row>
    <row r="26" spans="2:6">
      <c r="B26" s="941" t="s">
        <v>890</v>
      </c>
      <c r="C26" s="941"/>
      <c r="D26" s="941"/>
      <c r="E26" s="941"/>
      <c r="F26" s="941"/>
    </row>
    <row r="27" spans="2:6">
      <c r="B27" s="941"/>
      <c r="C27" s="941"/>
      <c r="D27" s="941"/>
      <c r="E27" s="941"/>
      <c r="F27" s="941"/>
    </row>
    <row r="28" spans="2:6">
      <c r="B28" s="939" t="s">
        <v>889</v>
      </c>
      <c r="C28" s="939"/>
      <c r="D28" s="939"/>
      <c r="E28" s="939"/>
      <c r="F28" s="939"/>
    </row>
    <row r="29" spans="2:6">
      <c r="B29" s="941" t="s">
        <v>888</v>
      </c>
      <c r="C29" s="941"/>
      <c r="D29" s="941"/>
      <c r="E29" s="941"/>
      <c r="F29" s="941"/>
    </row>
    <row r="30" spans="2:6">
      <c r="B30" s="941"/>
      <c r="C30" s="941"/>
      <c r="D30" s="941"/>
      <c r="E30" s="941"/>
      <c r="F30" s="941"/>
    </row>
    <row r="32" spans="2:6" ht="16.5" thickBot="1">
      <c r="B32" s="36" t="s">
        <v>399</v>
      </c>
      <c r="C32" s="91"/>
      <c r="E32" s="767" t="str">
        <f>master!B$16</f>
        <v>31/03/2012</v>
      </c>
      <c r="F32" s="767" t="str">
        <f>master!B$17</f>
        <v>31/03/2011</v>
      </c>
    </row>
    <row r="33" spans="2:6">
      <c r="B33" s="1" t="s">
        <v>453</v>
      </c>
      <c r="E33" s="149" t="s">
        <v>459</v>
      </c>
      <c r="F33" s="149" t="s">
        <v>459</v>
      </c>
    </row>
    <row r="34" spans="2:6">
      <c r="B34" s="1" t="s">
        <v>362</v>
      </c>
      <c r="E34" s="149" t="s">
        <v>459</v>
      </c>
      <c r="F34" s="149" t="s">
        <v>459</v>
      </c>
    </row>
    <row r="35" spans="2:6">
      <c r="B35" s="1"/>
      <c r="E35" s="39"/>
      <c r="F35" s="42"/>
    </row>
    <row r="36" spans="2:6">
      <c r="B36" s="7" t="s">
        <v>0</v>
      </c>
      <c r="E36" s="39"/>
      <c r="F36" s="42"/>
    </row>
    <row r="37" spans="2:6">
      <c r="E37" s="56"/>
    </row>
    <row r="38" spans="2:6">
      <c r="E38" s="56"/>
    </row>
    <row r="39" spans="2:6" ht="15.75">
      <c r="B39" s="58" t="s">
        <v>400</v>
      </c>
      <c r="E39" s="56"/>
    </row>
    <row r="40" spans="2:6">
      <c r="E40" s="56"/>
    </row>
    <row r="41" spans="2:6" ht="29.25" customHeight="1">
      <c r="B41" s="941" t="s">
        <v>452</v>
      </c>
      <c r="C41" s="941"/>
      <c r="D41" s="941"/>
      <c r="E41" s="941"/>
      <c r="F41" s="941"/>
    </row>
    <row r="42" spans="2:6">
      <c r="E42" s="56"/>
    </row>
    <row r="43" spans="2:6">
      <c r="E43" s="56"/>
    </row>
    <row r="44" spans="2:6">
      <c r="E44" s="56"/>
    </row>
    <row r="45" spans="2:6">
      <c r="E45" s="56"/>
    </row>
    <row r="46" spans="2:6" ht="15.75">
      <c r="B46" s="58" t="s">
        <v>401</v>
      </c>
      <c r="E46" s="56"/>
    </row>
    <row r="47" spans="2:6" ht="15.75" thickBot="1">
      <c r="E47" s="767" t="str">
        <f>master!B$16</f>
        <v>31/03/2012</v>
      </c>
      <c r="F47" s="767" t="str">
        <f>master!B$17</f>
        <v>31/03/2011</v>
      </c>
    </row>
    <row r="48" spans="2:6">
      <c r="B48" s="1" t="s">
        <v>101</v>
      </c>
      <c r="E48" s="56" t="s">
        <v>459</v>
      </c>
      <c r="F48" s="56" t="s">
        <v>459</v>
      </c>
    </row>
    <row r="49" spans="2:6">
      <c r="B49" s="1" t="s">
        <v>454</v>
      </c>
      <c r="E49" s="56" t="s">
        <v>459</v>
      </c>
      <c r="F49" s="56" t="s">
        <v>459</v>
      </c>
    </row>
    <row r="50" spans="2:6">
      <c r="E50" s="56"/>
    </row>
    <row r="51" spans="2:6">
      <c r="E51" s="56"/>
    </row>
    <row r="52" spans="2:6" ht="15.75">
      <c r="B52" s="58" t="s">
        <v>402</v>
      </c>
      <c r="E52" s="56"/>
    </row>
    <row r="53" spans="2:6" ht="15.75" thickBot="1">
      <c r="E53" s="767" t="str">
        <f>master!B$16</f>
        <v>31/03/2012</v>
      </c>
      <c r="F53" s="767" t="str">
        <f>master!B$17</f>
        <v>31/03/2011</v>
      </c>
    </row>
    <row r="54" spans="2:6">
      <c r="B54" s="766" t="str">
        <f>'30'!B26</f>
        <v>As auditors - statutory audit</v>
      </c>
      <c r="E54" s="765">
        <f>'30'!C26</f>
        <v>0</v>
      </c>
      <c r="F54" s="765">
        <f>'30'!D26</f>
        <v>0</v>
      </c>
    </row>
    <row r="55" spans="2:6">
      <c r="B55" s="766" t="str">
        <f>'30'!B27</f>
        <v xml:space="preserve">For taxation matters </v>
      </c>
      <c r="E55" s="765">
        <f>'30'!C27</f>
        <v>0</v>
      </c>
      <c r="F55" s="765">
        <f>'30'!D27</f>
        <v>0</v>
      </c>
    </row>
    <row r="56" spans="2:6">
      <c r="B56" s="766" t="str">
        <f>'30'!B28</f>
        <v xml:space="preserve">For company law matters </v>
      </c>
      <c r="E56" s="765">
        <f>'30'!C28</f>
        <v>0</v>
      </c>
      <c r="F56" s="765">
        <f>'30'!D28</f>
        <v>0</v>
      </c>
    </row>
    <row r="57" spans="2:6">
      <c r="B57" s="766" t="str">
        <f>'30'!B29</f>
        <v xml:space="preserve">For management services </v>
      </c>
      <c r="E57" s="765">
        <f>'30'!C29</f>
        <v>0</v>
      </c>
      <c r="F57" s="765">
        <f>'30'!D29</f>
        <v>0</v>
      </c>
    </row>
    <row r="58" spans="2:6">
      <c r="B58" s="766" t="str">
        <f>'30'!B30</f>
        <v xml:space="preserve">For other services </v>
      </c>
      <c r="E58" s="765">
        <f>'30'!C30</f>
        <v>0</v>
      </c>
      <c r="F58" s="765">
        <f>'30'!D30</f>
        <v>0</v>
      </c>
    </row>
    <row r="59" spans="2:6">
      <c r="B59" s="766" t="str">
        <f>'30'!B31</f>
        <v>Reimbursement of expenses</v>
      </c>
      <c r="E59" s="765">
        <f>'30'!C31</f>
        <v>0</v>
      </c>
      <c r="F59" s="765">
        <f>'30'!D31</f>
        <v>0</v>
      </c>
    </row>
    <row r="60" spans="2:6">
      <c r="B60" s="766"/>
      <c r="E60" s="39"/>
      <c r="F60" s="42"/>
    </row>
    <row r="61" spans="2:6">
      <c r="B61" s="1"/>
      <c r="E61" s="39"/>
      <c r="F61" s="42"/>
    </row>
    <row r="62" spans="2:6">
      <c r="B62" s="1"/>
      <c r="E62" s="41">
        <f>SUM(E54:E61)</f>
        <v>0</v>
      </c>
      <c r="F62" s="41">
        <f>SUM(F54:F61)</f>
        <v>0</v>
      </c>
    </row>
    <row r="63" spans="2:6">
      <c r="E63" s="56"/>
    </row>
    <row r="64" spans="2:6">
      <c r="E64" s="56"/>
    </row>
    <row r="65" spans="2:6" ht="15.75">
      <c r="B65" s="58" t="s">
        <v>403</v>
      </c>
      <c r="E65" s="56"/>
    </row>
    <row r="66" spans="2:6" ht="15.75" thickBot="1">
      <c r="E66" s="767" t="str">
        <f>master!B$16</f>
        <v>31/03/2012</v>
      </c>
      <c r="F66" s="767" t="str">
        <f>master!B$17</f>
        <v>31/03/2011</v>
      </c>
    </row>
    <row r="67" spans="2:6">
      <c r="B67" s="1" t="s">
        <v>455</v>
      </c>
      <c r="E67" s="56">
        <v>0</v>
      </c>
      <c r="F67" s="56">
        <v>0</v>
      </c>
    </row>
    <row r="68" spans="2:6">
      <c r="B68" s="1" t="s">
        <v>362</v>
      </c>
      <c r="E68" s="56">
        <v>0</v>
      </c>
      <c r="F68" s="56">
        <v>0</v>
      </c>
    </row>
    <row r="69" spans="2:6">
      <c r="E69" s="56"/>
    </row>
    <row r="70" spans="2:6" ht="15.75" thickBot="1">
      <c r="E70" s="46">
        <f>SUM(E67:E69)</f>
        <v>0</v>
      </c>
      <c r="F70" s="45">
        <f>SUM(F67:F69)</f>
        <v>0</v>
      </c>
    </row>
    <row r="71" spans="2:6">
      <c r="E71" s="56"/>
    </row>
    <row r="72" spans="2:6">
      <c r="E72" s="56"/>
    </row>
    <row r="73" spans="2:6" ht="15.75">
      <c r="B73" s="58" t="s">
        <v>404</v>
      </c>
      <c r="E73" s="56"/>
    </row>
    <row r="74" spans="2:6" ht="15.75" thickBot="1">
      <c r="E74" s="767" t="str">
        <f>master!B$16</f>
        <v>31/03/2012</v>
      </c>
      <c r="F74" s="767" t="str">
        <f>master!B$17</f>
        <v>31/03/2011</v>
      </c>
    </row>
    <row r="75" spans="2:6">
      <c r="B75" s="1"/>
      <c r="E75" s="56"/>
    </row>
    <row r="76" spans="2:6">
      <c r="B76" s="1" t="s">
        <v>457</v>
      </c>
      <c r="E76" s="56">
        <v>0</v>
      </c>
      <c r="F76" s="56">
        <v>0</v>
      </c>
    </row>
    <row r="77" spans="2:6">
      <c r="E77" s="56"/>
    </row>
    <row r="78" spans="2:6" ht="15.75" thickBot="1">
      <c r="E78" s="46">
        <f>SUM(E76:E77)</f>
        <v>0</v>
      </c>
      <c r="F78" s="45">
        <f>SUM(F76:F77)</f>
        <v>0</v>
      </c>
    </row>
    <row r="79" spans="2:6">
      <c r="E79" s="56"/>
    </row>
    <row r="80" spans="2:6">
      <c r="E80" s="56"/>
    </row>
    <row r="81" spans="2:6">
      <c r="E81" s="56"/>
    </row>
    <row r="82" spans="2:6">
      <c r="E82" s="56"/>
    </row>
    <row r="83" spans="2:6">
      <c r="E83" s="56"/>
    </row>
    <row r="84" spans="2:6">
      <c r="E84" s="56"/>
    </row>
    <row r="85" spans="2:6">
      <c r="E85" s="56"/>
    </row>
    <row r="86" spans="2:6" ht="15.75">
      <c r="B86" s="58" t="s">
        <v>405</v>
      </c>
      <c r="E86" s="56"/>
    </row>
    <row r="87" spans="2:6" ht="15.75" thickBot="1">
      <c r="E87" s="767" t="str">
        <f>master!B$16</f>
        <v>31/03/2012</v>
      </c>
      <c r="F87" s="767" t="str">
        <f>master!B$17</f>
        <v>31/03/2011</v>
      </c>
    </row>
    <row r="88" spans="2:6">
      <c r="B88" s="1" t="s">
        <v>406</v>
      </c>
      <c r="E88" s="56" t="s">
        <v>458</v>
      </c>
      <c r="F88" t="s">
        <v>456</v>
      </c>
    </row>
    <row r="89" spans="2:6">
      <c r="B89" s="1" t="s">
        <v>407</v>
      </c>
      <c r="E89" s="56" t="s">
        <v>458</v>
      </c>
      <c r="F89" t="s">
        <v>456</v>
      </c>
    </row>
    <row r="90" spans="2:6">
      <c r="B90" s="1" t="s">
        <v>408</v>
      </c>
      <c r="E90" s="56" t="s">
        <v>458</v>
      </c>
      <c r="F90" t="s">
        <v>456</v>
      </c>
    </row>
    <row r="91" spans="2:6">
      <c r="B91" s="1" t="s">
        <v>409</v>
      </c>
      <c r="E91" s="56" t="s">
        <v>458</v>
      </c>
      <c r="F91" t="s">
        <v>456</v>
      </c>
    </row>
    <row r="92" spans="2:6">
      <c r="B92" s="1" t="s">
        <v>410</v>
      </c>
      <c r="E92" s="56" t="s">
        <v>458</v>
      </c>
      <c r="F92" t="s">
        <v>456</v>
      </c>
    </row>
    <row r="93" spans="2:6">
      <c r="E93" s="56"/>
    </row>
    <row r="94" spans="2:6">
      <c r="B94" s="939" t="s">
        <v>1709</v>
      </c>
      <c r="C94" s="939"/>
      <c r="D94" s="939"/>
      <c r="E94" s="939"/>
      <c r="F94" s="939"/>
    </row>
    <row r="95" spans="2:6" ht="60" customHeight="1">
      <c r="B95" s="940" t="s">
        <v>1708</v>
      </c>
      <c r="C95" s="940"/>
      <c r="D95" s="940"/>
      <c r="E95" s="940"/>
      <c r="F95" s="940"/>
    </row>
    <row r="96" spans="2:6">
      <c r="E96" s="56"/>
    </row>
    <row r="97" spans="5:5">
      <c r="E97" s="56"/>
    </row>
    <row r="98" spans="5:5">
      <c r="E98" s="56"/>
    </row>
    <row r="99" spans="5:5">
      <c r="E99" s="56"/>
    </row>
    <row r="100" spans="5:5">
      <c r="E100" s="56"/>
    </row>
    <row r="101" spans="5:5">
      <c r="E101" s="56"/>
    </row>
  </sheetData>
  <mergeCells count="22">
    <mergeCell ref="B26:F26"/>
    <mergeCell ref="B21:F21"/>
    <mergeCell ref="B22:F22"/>
    <mergeCell ref="B23:F23"/>
    <mergeCell ref="B24:F24"/>
    <mergeCell ref="B25:F25"/>
    <mergeCell ref="B94:F94"/>
    <mergeCell ref="B95:F95"/>
    <mergeCell ref="B9:F9"/>
    <mergeCell ref="B27:F27"/>
    <mergeCell ref="B28:F28"/>
    <mergeCell ref="B29:F29"/>
    <mergeCell ref="B30:F30"/>
    <mergeCell ref="B41:F41"/>
    <mergeCell ref="B13:F13"/>
    <mergeCell ref="B14:F14"/>
    <mergeCell ref="B15:F15"/>
    <mergeCell ref="B16:F16"/>
    <mergeCell ref="B17:F17"/>
    <mergeCell ref="B18:F18"/>
    <mergeCell ref="B19:F19"/>
    <mergeCell ref="B20:F20"/>
  </mergeCells>
  <pageMargins left="0.45" right="0.2" top="0.75" bottom="0.75" header="0.3" footer="0.3"/>
  <pageSetup orientation="portrait" r:id="rId1"/>
</worksheet>
</file>

<file path=xl/worksheets/sheet51.xml><?xml version="1.0" encoding="utf-8"?>
<worksheet xmlns="http://schemas.openxmlformats.org/spreadsheetml/2006/main" xmlns:r="http://schemas.openxmlformats.org/officeDocument/2006/relationships">
  <sheetPr>
    <pageSetUpPr fitToPage="1"/>
  </sheetPr>
  <dimension ref="A1:G83"/>
  <sheetViews>
    <sheetView view="pageBreakPreview" topLeftCell="A10" zoomScaleSheetLayoutView="100" workbookViewId="0">
      <selection activeCell="C32" sqref="C32"/>
    </sheetView>
  </sheetViews>
  <sheetFormatPr defaultRowHeight="15.75"/>
  <cols>
    <col min="1" max="1" width="66.42578125" style="542" customWidth="1"/>
    <col min="2" max="3" width="18.28515625" style="542" customWidth="1"/>
    <col min="4" max="4" width="16.28515625" style="542" bestFit="1" customWidth="1"/>
    <col min="5" max="5" width="12" style="542" customWidth="1"/>
    <col min="6" max="7" width="10.42578125" style="542" customWidth="1"/>
    <col min="8" max="8" width="18.85546875" style="542" customWidth="1"/>
    <col min="9" max="9" width="16.140625" style="542" customWidth="1"/>
    <col min="10" max="16384" width="9.140625" style="542"/>
  </cols>
  <sheetData>
    <row r="1" spans="1:4">
      <c r="A1" s="616" t="s">
        <v>1574</v>
      </c>
      <c r="B1" s="619" t="str">
        <f>master!B2</f>
        <v>ABC LTD</v>
      </c>
      <c r="C1" s="617"/>
    </row>
    <row r="2" spans="1:4">
      <c r="A2" s="618"/>
      <c r="B2" s="619" t="str">
        <f>master!B3</f>
        <v xml:space="preserve">18 Satteleite, </v>
      </c>
      <c r="C2" s="620"/>
    </row>
    <row r="3" spans="1:4">
      <c r="A3" s="618"/>
      <c r="B3" s="619" t="str">
        <f>master!B4</f>
        <v xml:space="preserve"> </v>
      </c>
      <c r="C3" s="620"/>
    </row>
    <row r="4" spans="1:4">
      <c r="A4" s="618"/>
      <c r="B4" s="619" t="str">
        <f>master!B5</f>
        <v>Ahmedabad</v>
      </c>
      <c r="C4" s="620"/>
    </row>
    <row r="5" spans="1:4">
      <c r="A5" s="618" t="s">
        <v>1605</v>
      </c>
      <c r="B5" s="619" t="str">
        <f>master!B51</f>
        <v>17/06/2005</v>
      </c>
      <c r="C5" s="620"/>
    </row>
    <row r="6" spans="1:4">
      <c r="A6" s="618" t="s">
        <v>1575</v>
      </c>
      <c r="B6" s="619" t="str">
        <f>master!B13</f>
        <v xml:space="preserve"> </v>
      </c>
      <c r="C6" s="620"/>
    </row>
    <row r="7" spans="1:4">
      <c r="A7" s="618" t="s">
        <v>1576</v>
      </c>
      <c r="B7" s="619" t="str">
        <f>master!B16</f>
        <v>31/03/2012</v>
      </c>
      <c r="C7" s="620"/>
    </row>
    <row r="8" spans="1:4" ht="16.5" thickBot="1">
      <c r="A8" s="621" t="s">
        <v>1577</v>
      </c>
      <c r="B8" s="543" t="str">
        <f>master!B19</f>
        <v>2012-2013</v>
      </c>
      <c r="C8" s="622"/>
    </row>
    <row r="11" spans="1:4">
      <c r="A11" s="623" t="s">
        <v>1578</v>
      </c>
    </row>
    <row r="12" spans="1:4">
      <c r="C12" s="542" t="s">
        <v>1579</v>
      </c>
    </row>
    <row r="13" spans="1:4">
      <c r="D13" s="624"/>
    </row>
    <row r="14" spans="1:4">
      <c r="A14" s="625" t="s">
        <v>1520</v>
      </c>
    </row>
    <row r="16" spans="1:4">
      <c r="A16" s="542" t="s">
        <v>1580</v>
      </c>
      <c r="C16" s="542">
        <f>PL!F33</f>
        <v>0</v>
      </c>
    </row>
    <row r="17" spans="1:3">
      <c r="A17" s="542" t="s">
        <v>1606</v>
      </c>
      <c r="B17" s="542">
        <f>PL!F22</f>
        <v>0</v>
      </c>
    </row>
    <row r="18" spans="1:3">
      <c r="A18" s="542" t="s">
        <v>1607</v>
      </c>
    </row>
    <row r="19" spans="1:3">
      <c r="A19" s="542" t="s">
        <v>1824</v>
      </c>
      <c r="B19" s="885">
        <f>TB!B734</f>
        <v>0</v>
      </c>
    </row>
    <row r="20" spans="1:3">
      <c r="A20" s="542" t="s">
        <v>1825</v>
      </c>
      <c r="B20" s="885">
        <f>TB!B735</f>
        <v>0</v>
      </c>
    </row>
    <row r="21" spans="1:3">
      <c r="A21" s="542" t="s">
        <v>1671</v>
      </c>
      <c r="B21" s="885">
        <f>TB!B741</f>
        <v>0</v>
      </c>
    </row>
    <row r="22" spans="1:3">
      <c r="A22" s="542" t="s">
        <v>1672</v>
      </c>
      <c r="B22" s="885">
        <f>TB!B729</f>
        <v>0</v>
      </c>
    </row>
    <row r="23" spans="1:3">
      <c r="A23" s="542" t="s">
        <v>1608</v>
      </c>
      <c r="B23" s="619">
        <v>0</v>
      </c>
    </row>
    <row r="24" spans="1:3" ht="16.5" thickBot="1">
      <c r="A24" s="542" t="s">
        <v>1609</v>
      </c>
      <c r="B24" s="543">
        <v>0</v>
      </c>
      <c r="C24" s="626">
        <f>SUM(B17:B24)</f>
        <v>0</v>
      </c>
    </row>
    <row r="25" spans="1:3">
      <c r="C25" s="542">
        <f>SUM(C16:C24)</f>
        <v>0</v>
      </c>
    </row>
    <row r="26" spans="1:3">
      <c r="A26" s="542" t="s">
        <v>1610</v>
      </c>
      <c r="B26" s="542">
        <v>0</v>
      </c>
    </row>
    <row r="27" spans="1:3">
      <c r="A27" s="542" t="s">
        <v>1611</v>
      </c>
    </row>
    <row r="28" spans="1:3" ht="16.5" thickBot="1">
      <c r="A28" s="542" t="s">
        <v>1612</v>
      </c>
      <c r="B28" s="543">
        <v>0</v>
      </c>
      <c r="C28" s="542">
        <f>SUM(B27:B28)</f>
        <v>0</v>
      </c>
    </row>
    <row r="29" spans="1:3">
      <c r="B29" s="619"/>
    </row>
    <row r="30" spans="1:3">
      <c r="A30" s="542" t="s">
        <v>1581</v>
      </c>
      <c r="C30" s="542">
        <f>depit!H44</f>
        <v>0</v>
      </c>
    </row>
    <row r="32" spans="1:3">
      <c r="A32" s="542" t="s">
        <v>1613</v>
      </c>
    </row>
    <row r="33" spans="1:3">
      <c r="A33" s="542" t="s">
        <v>1614</v>
      </c>
      <c r="B33" s="542">
        <f>TB!C549</f>
        <v>0</v>
      </c>
    </row>
    <row r="34" spans="1:3" ht="16.5" thickBot="1">
      <c r="A34" s="542" t="s">
        <v>1615</v>
      </c>
      <c r="B34" s="543">
        <v>0</v>
      </c>
      <c r="C34" s="627">
        <f>SUM(B33:B34)</f>
        <v>0</v>
      </c>
    </row>
    <row r="35" spans="1:3">
      <c r="C35" s="619">
        <f>C25-C30-C34</f>
        <v>0</v>
      </c>
    </row>
    <row r="36" spans="1:3">
      <c r="A36" s="542" t="s">
        <v>1582</v>
      </c>
    </row>
    <row r="37" spans="1:3">
      <c r="A37" s="542" t="s">
        <v>1583</v>
      </c>
      <c r="B37" s="542">
        <v>0</v>
      </c>
    </row>
    <row r="38" spans="1:3">
      <c r="A38" s="542" t="s">
        <v>1584</v>
      </c>
      <c r="B38" s="626">
        <v>0</v>
      </c>
    </row>
    <row r="39" spans="1:3" ht="16.5" thickBot="1">
      <c r="B39" s="628">
        <f>SUM(B37:B38)</f>
        <v>0</v>
      </c>
      <c r="C39" s="543">
        <f>IF(B39&gt;B23,B23,B39)</f>
        <v>0</v>
      </c>
    </row>
    <row r="40" spans="1:3">
      <c r="A40" s="629" t="s">
        <v>1585</v>
      </c>
      <c r="C40" s="542">
        <f>C35-C39</f>
        <v>0</v>
      </c>
    </row>
    <row r="41" spans="1:3">
      <c r="A41" s="625" t="s">
        <v>1586</v>
      </c>
    </row>
    <row r="42" spans="1:3">
      <c r="A42" s="629" t="s">
        <v>1673</v>
      </c>
      <c r="C42" s="542">
        <f>(C34-B26)*0.7</f>
        <v>0</v>
      </c>
    </row>
    <row r="43" spans="1:3" ht="16.5" thickBot="1">
      <c r="A43" s="629" t="s">
        <v>1587</v>
      </c>
      <c r="C43" s="543">
        <f>B34</f>
        <v>0</v>
      </c>
    </row>
    <row r="44" spans="1:3">
      <c r="A44" s="623" t="s">
        <v>1588</v>
      </c>
      <c r="C44" s="625">
        <f>C40+C43+C42</f>
        <v>0</v>
      </c>
    </row>
    <row r="46" spans="1:3">
      <c r="A46" s="629" t="s">
        <v>1589</v>
      </c>
      <c r="C46" s="542">
        <v>0</v>
      </c>
    </row>
    <row r="47" spans="1:3">
      <c r="A47" s="623" t="s">
        <v>1590</v>
      </c>
      <c r="B47" s="630"/>
      <c r="C47" s="619">
        <f>C44-C46</f>
        <v>0</v>
      </c>
    </row>
    <row r="48" spans="1:3">
      <c r="A48" s="623" t="s">
        <v>1591</v>
      </c>
      <c r="B48" s="542">
        <f>ROUND(C47/10,0)*10</f>
        <v>0</v>
      </c>
      <c r="C48" s="619"/>
    </row>
    <row r="49" spans="1:7">
      <c r="A49" s="629" t="s">
        <v>1592</v>
      </c>
      <c r="B49" s="542">
        <f>IF(B48&gt;0,B48*30%,0)</f>
        <v>0</v>
      </c>
      <c r="E49" s="625"/>
    </row>
    <row r="50" spans="1:7" ht="16.5" thickBot="1">
      <c r="A50" s="629" t="s">
        <v>1593</v>
      </c>
      <c r="B50" s="543">
        <f>B49*3%</f>
        <v>0</v>
      </c>
      <c r="D50" s="542" t="s">
        <v>1616</v>
      </c>
      <c r="E50" s="631"/>
    </row>
    <row r="51" spans="1:7">
      <c r="A51" s="629" t="s">
        <v>1594</v>
      </c>
      <c r="B51" s="542">
        <f>ROUND((B49+B50),0)</f>
        <v>0</v>
      </c>
      <c r="E51" s="631" t="s">
        <v>1595</v>
      </c>
      <c r="F51" s="631" t="s">
        <v>1596</v>
      </c>
    </row>
    <row r="52" spans="1:7" ht="16.5" thickBot="1">
      <c r="A52" s="629" t="s">
        <v>1597</v>
      </c>
      <c r="B52" s="543">
        <v>0</v>
      </c>
      <c r="E52" s="631"/>
      <c r="F52" s="543"/>
      <c r="G52" s="619"/>
    </row>
    <row r="53" spans="1:7">
      <c r="A53" s="629" t="s">
        <v>1594</v>
      </c>
      <c r="C53" s="542">
        <f>B51-B52</f>
        <v>0</v>
      </c>
      <c r="D53" s="542">
        <f>C53*30%</f>
        <v>0</v>
      </c>
      <c r="E53" s="632">
        <f>D53*1%*3*0</f>
        <v>0</v>
      </c>
      <c r="F53" s="542">
        <f>C55*1%*8*0</f>
        <v>0</v>
      </c>
    </row>
    <row r="54" spans="1:7" ht="16.5" thickBot="1">
      <c r="A54" s="629" t="s">
        <v>1598</v>
      </c>
      <c r="C54" s="543">
        <v>0</v>
      </c>
      <c r="D54" s="542">
        <f>C53*60%</f>
        <v>0</v>
      </c>
      <c r="E54" s="632">
        <f>D54*1%*3*0</f>
        <v>0</v>
      </c>
    </row>
    <row r="55" spans="1:7">
      <c r="A55" s="633" t="s">
        <v>1594</v>
      </c>
      <c r="C55" s="542">
        <f>C53-C54</f>
        <v>0</v>
      </c>
      <c r="D55" s="542">
        <f>C53</f>
        <v>0</v>
      </c>
      <c r="E55" s="632">
        <f>D55*1%*0</f>
        <v>0</v>
      </c>
    </row>
    <row r="56" spans="1:7">
      <c r="A56" s="633" t="s">
        <v>1599</v>
      </c>
      <c r="B56" s="542">
        <f>C55*1%*2*0</f>
        <v>0</v>
      </c>
      <c r="E56" s="632"/>
    </row>
    <row r="57" spans="1:7">
      <c r="A57" s="633" t="s">
        <v>1600</v>
      </c>
      <c r="B57" s="632">
        <f>F53</f>
        <v>0</v>
      </c>
      <c r="D57" s="542" t="s">
        <v>1617</v>
      </c>
      <c r="E57" s="542">
        <f>SUM(E53:E55)</f>
        <v>0</v>
      </c>
    </row>
    <row r="58" spans="1:7" ht="16.5" thickBot="1">
      <c r="A58" s="633" t="s">
        <v>1601</v>
      </c>
      <c r="B58" s="634">
        <f>E57</f>
        <v>0</v>
      </c>
      <c r="C58" s="543">
        <f>SUM(B56:B58)</f>
        <v>0</v>
      </c>
    </row>
    <row r="59" spans="1:7">
      <c r="A59" s="633" t="s">
        <v>1602</v>
      </c>
      <c r="B59" s="632"/>
      <c r="C59" s="542">
        <f>C55+C58</f>
        <v>0</v>
      </c>
    </row>
    <row r="60" spans="1:7" ht="16.5" thickBot="1">
      <c r="A60" s="633" t="s">
        <v>1603</v>
      </c>
      <c r="B60" s="635"/>
      <c r="C60" s="543">
        <v>0</v>
      </c>
    </row>
    <row r="61" spans="1:7">
      <c r="A61" s="629" t="s">
        <v>1604</v>
      </c>
      <c r="B61" s="636"/>
      <c r="C61" s="542">
        <f>C59-C60</f>
        <v>0</v>
      </c>
    </row>
    <row r="62" spans="1:7" ht="16.5" thickBot="1">
      <c r="A62" s="633" t="s">
        <v>1603</v>
      </c>
      <c r="B62" s="629"/>
      <c r="C62" s="543">
        <v>0</v>
      </c>
    </row>
    <row r="63" spans="1:7">
      <c r="C63" s="637">
        <v>0</v>
      </c>
    </row>
    <row r="66" spans="1:4">
      <c r="A66" s="195"/>
      <c r="B66" s="195"/>
      <c r="C66" s="199"/>
      <c r="D66" s="195"/>
    </row>
    <row r="67" spans="1:4">
      <c r="A67" s="195"/>
      <c r="B67" s="195"/>
      <c r="C67" s="199"/>
      <c r="D67" s="195"/>
    </row>
    <row r="68" spans="1:4">
      <c r="A68" s="195"/>
      <c r="B68" s="195"/>
      <c r="C68" s="204"/>
      <c r="D68" s="195"/>
    </row>
    <row r="69" spans="1:4">
      <c r="A69" s="200"/>
      <c r="B69" s="200"/>
      <c r="C69" s="199"/>
      <c r="D69" s="195"/>
    </row>
    <row r="70" spans="1:4">
      <c r="A70" s="197"/>
      <c r="B70" s="197"/>
      <c r="C70" s="203"/>
      <c r="D70" s="195"/>
    </row>
    <row r="71" spans="1:4">
      <c r="A71" s="195"/>
      <c r="B71" s="195"/>
      <c r="C71" s="195"/>
      <c r="D71" s="195"/>
    </row>
    <row r="72" spans="1:4">
      <c r="A72" s="195"/>
      <c r="B72" s="195"/>
      <c r="C72" s="195"/>
      <c r="D72" s="195"/>
    </row>
    <row r="73" spans="1:4">
      <c r="A73" s="195"/>
      <c r="B73" s="195"/>
      <c r="C73" s="202"/>
      <c r="D73" s="195"/>
    </row>
    <row r="74" spans="1:4">
      <c r="A74" s="195"/>
      <c r="B74" s="195"/>
      <c r="C74" s="201"/>
      <c r="D74" s="195"/>
    </row>
    <row r="75" spans="1:4">
      <c r="A75" s="195"/>
      <c r="B75" s="195"/>
      <c r="C75" s="200"/>
      <c r="D75" s="195"/>
    </row>
    <row r="76" spans="1:4">
      <c r="A76" s="195"/>
      <c r="B76" s="195"/>
      <c r="C76" s="195"/>
      <c r="D76" s="195"/>
    </row>
    <row r="77" spans="1:4">
      <c r="A77" s="195"/>
      <c r="B77" s="195"/>
      <c r="C77" s="195"/>
      <c r="D77" s="195"/>
    </row>
    <row r="78" spans="1:4">
      <c r="A78" s="195"/>
      <c r="B78" s="195"/>
      <c r="C78" s="195"/>
      <c r="D78" s="195"/>
    </row>
    <row r="79" spans="1:4">
      <c r="A79" s="195"/>
      <c r="B79" s="195"/>
      <c r="C79" s="199"/>
      <c r="D79" s="195"/>
    </row>
    <row r="80" spans="1:4">
      <c r="A80" s="195"/>
      <c r="B80" s="195"/>
      <c r="C80" s="195"/>
      <c r="D80" s="195"/>
    </row>
    <row r="81" spans="1:4">
      <c r="A81" s="195"/>
      <c r="B81" s="195"/>
      <c r="C81" s="199"/>
      <c r="D81" s="195"/>
    </row>
    <row r="82" spans="1:4">
      <c r="A82" s="195"/>
      <c r="B82" s="195"/>
      <c r="C82" s="195"/>
      <c r="D82" s="195"/>
    </row>
    <row r="83" spans="1:4">
      <c r="A83" s="195"/>
      <c r="B83" s="195"/>
      <c r="C83" s="199"/>
      <c r="D83" s="195"/>
    </row>
  </sheetData>
  <pageMargins left="0.5" right="0.75" top="0.44" bottom="0.61" header="0.44" footer="0.5"/>
  <pageSetup paperSize="9" scale="80" orientation="portrait" horizontalDpi="300" verticalDpi="300" r:id="rId1"/>
  <headerFooter alignWithMargins="0"/>
</worksheet>
</file>

<file path=xl/worksheets/sheet52.xml><?xml version="1.0" encoding="utf-8"?>
<worksheet xmlns="http://schemas.openxmlformats.org/spreadsheetml/2006/main" xmlns:r="http://schemas.openxmlformats.org/officeDocument/2006/relationships">
  <dimension ref="A2:C23"/>
  <sheetViews>
    <sheetView workbookViewId="0">
      <selection activeCell="C23" sqref="C23"/>
    </sheetView>
  </sheetViews>
  <sheetFormatPr defaultRowHeight="15"/>
  <cols>
    <col min="1" max="1" width="40.7109375" bestFit="1" customWidth="1"/>
    <col min="3" max="3" width="19" customWidth="1"/>
  </cols>
  <sheetData>
    <row r="2" spans="1:3">
      <c r="A2" s="195" t="s">
        <v>761</v>
      </c>
      <c r="B2" s="195"/>
      <c r="C2" s="206"/>
    </row>
    <row r="3" spans="1:3">
      <c r="A3" s="195"/>
      <c r="B3" s="195"/>
      <c r="C3" s="206"/>
    </row>
    <row r="4" spans="1:3">
      <c r="A4" s="198" t="s">
        <v>760</v>
      </c>
      <c r="B4" s="198"/>
      <c r="C4" s="206"/>
    </row>
    <row r="5" spans="1:3">
      <c r="A5" s="195" t="s">
        <v>759</v>
      </c>
      <c r="B5" s="195"/>
      <c r="C5" s="220">
        <f>tax!B17</f>
        <v>0</v>
      </c>
    </row>
    <row r="6" spans="1:3">
      <c r="A6" s="195" t="s">
        <v>758</v>
      </c>
      <c r="B6" s="195"/>
      <c r="C6" s="212"/>
    </row>
    <row r="7" spans="1:3">
      <c r="A7" s="195" t="s">
        <v>757</v>
      </c>
      <c r="B7" s="195"/>
      <c r="C7" s="212"/>
    </row>
    <row r="8" spans="1:3">
      <c r="A8" s="195" t="s">
        <v>756</v>
      </c>
      <c r="B8" s="195"/>
      <c r="C8" s="212"/>
    </row>
    <row r="9" spans="1:3">
      <c r="A9" s="195"/>
      <c r="B9" s="195"/>
      <c r="C9" s="219"/>
    </row>
    <row r="10" spans="1:3">
      <c r="A10" s="195"/>
      <c r="B10" s="195"/>
      <c r="C10" s="220">
        <f>SUM(C5:C9)</f>
        <v>0</v>
      </c>
    </row>
    <row r="11" spans="1:3">
      <c r="A11" s="198" t="s">
        <v>755</v>
      </c>
      <c r="B11" s="198"/>
      <c r="C11" s="212"/>
    </row>
    <row r="12" spans="1:3">
      <c r="A12" s="195" t="s">
        <v>754</v>
      </c>
      <c r="B12" s="195"/>
      <c r="C12" s="220">
        <f>tax!C30</f>
        <v>0</v>
      </c>
    </row>
    <row r="13" spans="1:3">
      <c r="A13" s="195" t="s">
        <v>753</v>
      </c>
      <c r="B13" s="195"/>
      <c r="C13" s="212"/>
    </row>
    <row r="14" spans="1:3">
      <c r="A14" s="195" t="s">
        <v>752</v>
      </c>
      <c r="B14" s="195"/>
      <c r="C14" s="212"/>
    </row>
    <row r="15" spans="1:3">
      <c r="A15" s="195" t="s">
        <v>751</v>
      </c>
      <c r="B15" s="195"/>
      <c r="C15" s="219"/>
    </row>
    <row r="16" spans="1:3">
      <c r="A16" s="195" t="s">
        <v>464</v>
      </c>
      <c r="B16" s="195"/>
      <c r="C16" s="220">
        <f>SUM(C12:C15)</f>
        <v>0</v>
      </c>
    </row>
    <row r="17" spans="1:3">
      <c r="A17" s="195" t="s">
        <v>750</v>
      </c>
      <c r="B17" s="195"/>
      <c r="C17" s="220">
        <f>C10-C16</f>
        <v>0</v>
      </c>
    </row>
    <row r="18" spans="1:3">
      <c r="A18" s="195" t="s">
        <v>749</v>
      </c>
      <c r="B18" s="195"/>
      <c r="C18" s="212"/>
    </row>
    <row r="19" spans="1:3">
      <c r="A19" s="195" t="s">
        <v>748</v>
      </c>
      <c r="B19" s="195"/>
      <c r="C19" s="220">
        <f>C17-C18</f>
        <v>0</v>
      </c>
    </row>
    <row r="20" spans="1:3">
      <c r="A20" s="195" t="s">
        <v>747</v>
      </c>
      <c r="B20" s="195"/>
      <c r="C20" s="212">
        <v>30.9</v>
      </c>
    </row>
    <row r="21" spans="1:3">
      <c r="A21" s="195" t="s">
        <v>746</v>
      </c>
      <c r="B21" s="195"/>
      <c r="C21" s="220">
        <f>ROUND(C19*C20/100,0)</f>
        <v>0</v>
      </c>
    </row>
    <row r="22" spans="1:3">
      <c r="A22" s="195" t="s">
        <v>745</v>
      </c>
      <c r="B22" s="195"/>
      <c r="C22" s="219"/>
    </row>
    <row r="23" spans="1:3">
      <c r="A23" s="195" t="s">
        <v>744</v>
      </c>
      <c r="B23" s="195"/>
      <c r="C23" s="207">
        <f>SUM(C21:C22)</f>
        <v>0</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sheetPr codeName="Sheet3"/>
  <dimension ref="A1:C31"/>
  <sheetViews>
    <sheetView workbookViewId="0">
      <selection activeCell="A19" sqref="A19"/>
    </sheetView>
  </sheetViews>
  <sheetFormatPr defaultRowHeight="12.75"/>
  <cols>
    <col min="1" max="1" width="6.7109375" style="235" customWidth="1"/>
    <col min="2" max="2" width="73.140625" style="227" customWidth="1"/>
    <col min="3" max="16384" width="9.140625" style="182"/>
  </cols>
  <sheetData>
    <row r="1" spans="1:2" ht="24">
      <c r="A1" s="317" t="str">
        <f>master!B36</f>
        <v>ABC &amp; CO</v>
      </c>
    </row>
    <row r="2" spans="1:2" ht="19.5">
      <c r="A2" s="316" t="s">
        <v>776</v>
      </c>
    </row>
    <row r="3" spans="1:2">
      <c r="A3" s="315" t="str">
        <f>PROPER(master!B38)</f>
        <v>Ahmedabad</v>
      </c>
    </row>
    <row r="4" spans="1:2">
      <c r="A4" s="315" t="str">
        <f>PROPER(master!B39)</f>
        <v>Ahmedabad-380015</v>
      </c>
    </row>
    <row r="5" spans="1:2">
      <c r="A5" s="315" t="str">
        <f>PROPER(master!B40)</f>
        <v>Tel: 079-43124312, 9899999999</v>
      </c>
    </row>
    <row r="6" spans="1:2">
      <c r="A6" s="315" t="str">
        <f>PROPER(master!B41)</f>
        <v>Tarun Kumar</v>
      </c>
    </row>
    <row r="8" spans="1:2" ht="18.75" customHeight="1">
      <c r="B8" s="313" t="s">
        <v>1110</v>
      </c>
    </row>
    <row r="9" spans="1:2" ht="21" customHeight="1">
      <c r="B9" s="314" t="s">
        <v>1112</v>
      </c>
    </row>
    <row r="10" spans="1:2" ht="18.75" customHeight="1">
      <c r="B10" s="314" t="s">
        <v>1111</v>
      </c>
    </row>
    <row r="11" spans="1:2" ht="18.75" customHeight="1">
      <c r="B11" s="313" t="s">
        <v>1110</v>
      </c>
    </row>
    <row r="12" spans="1:2" ht="38.25">
      <c r="B12" s="312" t="s">
        <v>1109</v>
      </c>
    </row>
    <row r="14" spans="1:2" ht="50.25" customHeight="1">
      <c r="A14" s="235">
        <v>1</v>
      </c>
      <c r="B14" s="227" t="str">
        <f>CONCATENATE("We report that the statutory audit of ",master!B2," ",master!B3,master!B4,master!B5," ",master!B6,"  Permanent Account Number ",master!B13, " was conducted by us under The Companies Act, and we annex hereto a copy of our audit report dated ",master!A18," along with the copy each of :-")</f>
        <v>We report that the statutory audit of ABC LTD 18 Satteleite,  Ahmedabad 380015  Permanent Account Number   was conducted by us under The Companies Act, and we annex hereto a copy of our audit report dated Year ended on along with the copy each of :-</v>
      </c>
    </row>
    <row r="15" spans="1:2">
      <c r="B15" s="311"/>
    </row>
    <row r="16" spans="1:2">
      <c r="B16" s="227" t="str">
        <f>CONCATENATE("(a)  the audited profit &amp; loss account for the year ended on ",master!B16)</f>
        <v>(a)  the audited profit &amp; loss account for the year ended on 31/03/2012</v>
      </c>
    </row>
    <row r="17" spans="1:3">
      <c r="B17" s="227" t="str">
        <f>CONCATENATE("(b)  the audited balance sheet as at ",master!B16)</f>
        <v>(b)  the audited balance sheet as at 31/03/2012</v>
      </c>
    </row>
    <row r="18" spans="1:3" ht="25.5">
      <c r="B18" s="227" t="s">
        <v>1108</v>
      </c>
    </row>
    <row r="19" spans="1:3" ht="25.5">
      <c r="A19" s="235">
        <v>2</v>
      </c>
      <c r="B19" s="227" t="s">
        <v>1107</v>
      </c>
    </row>
    <row r="21" spans="1:3" ht="25.5">
      <c r="A21" s="235">
        <v>3</v>
      </c>
      <c r="B21" s="227" t="s">
        <v>1106</v>
      </c>
    </row>
    <row r="22" spans="1:3" ht="15">
      <c r="A22" s="310"/>
      <c r="B22" s="305"/>
      <c r="C22" s="309"/>
    </row>
    <row r="23" spans="1:3" ht="15">
      <c r="A23" s="308"/>
      <c r="B23" s="302" t="str">
        <f>CONCATENATE("For ",master!B36)</f>
        <v>For ABC &amp; CO</v>
      </c>
      <c r="C23" s="301"/>
    </row>
    <row r="24" spans="1:3" ht="15">
      <c r="B24" s="302" t="s">
        <v>776</v>
      </c>
      <c r="C24" s="307"/>
    </row>
    <row r="25" spans="1:3" ht="15">
      <c r="B25" s="302" t="str">
        <f>CONCATENATE("Firm Regn.No.",master!B37)</f>
        <v>Firm Regn.No.18, Satellite,</v>
      </c>
      <c r="C25" s="306"/>
    </row>
    <row r="26" spans="1:3" ht="15">
      <c r="A26" s="235" t="s">
        <v>1105</v>
      </c>
      <c r="B26" s="305" t="str">
        <f>master!B45</f>
        <v>DELHI</v>
      </c>
      <c r="C26" s="303"/>
    </row>
    <row r="27" spans="1:3" ht="15">
      <c r="A27" s="235" t="s">
        <v>1104</v>
      </c>
      <c r="B27" s="304" t="str">
        <f>master!B46</f>
        <v>01/09/2012</v>
      </c>
      <c r="C27" s="303"/>
    </row>
    <row r="28" spans="1:3" ht="14.25">
      <c r="B28" s="302" t="str">
        <f>master!B43</f>
        <v>99999</v>
      </c>
      <c r="C28" s="301"/>
    </row>
    <row r="29" spans="1:3" ht="15">
      <c r="A29" s="300"/>
      <c r="B29" s="302" t="str">
        <f>CONCATENATE("M.N. ",master!B44)</f>
        <v>M.N. DELHI</v>
      </c>
      <c r="C29" s="301"/>
    </row>
    <row r="30" spans="1:3" ht="15">
      <c r="A30" s="300"/>
      <c r="B30" s="298"/>
      <c r="C30" s="299"/>
    </row>
    <row r="31" spans="1:3" ht="15">
      <c r="B31" s="298"/>
    </row>
  </sheetData>
  <pageMargins left="0.5" right="0.25" top="0.5" bottom="0.5" header="0.5" footer="0.5"/>
  <pageSetup scale="110" orientation="portrait" horizontalDpi="120" verticalDpi="144" r:id="rId1"/>
  <headerFooter alignWithMargins="0"/>
</worksheet>
</file>

<file path=xl/worksheets/sheet54.xml><?xml version="1.0" encoding="utf-8"?>
<worksheet xmlns="http://schemas.openxmlformats.org/spreadsheetml/2006/main" xmlns:r="http://schemas.openxmlformats.org/officeDocument/2006/relationships">
  <dimension ref="A1:G217"/>
  <sheetViews>
    <sheetView view="pageBreakPreview" topLeftCell="A89" zoomScaleSheetLayoutView="100" workbookViewId="0">
      <selection activeCell="A102" sqref="A102"/>
    </sheetView>
  </sheetViews>
  <sheetFormatPr defaultRowHeight="14.25"/>
  <cols>
    <col min="1" max="1" width="5.5703125" style="326" customWidth="1"/>
    <col min="2" max="2" width="5.85546875" style="326" customWidth="1"/>
    <col min="3" max="3" width="54.140625" style="326" customWidth="1"/>
    <col min="4" max="4" width="51.140625" style="327" customWidth="1"/>
    <col min="5" max="5" width="20.140625" style="326" customWidth="1"/>
    <col min="6" max="16384" width="9.140625" style="326"/>
  </cols>
  <sheetData>
    <row r="1" spans="1:6" s="474" customFormat="1" ht="24" thickBot="1">
      <c r="A1" s="983"/>
      <c r="B1" s="983"/>
      <c r="C1" s="983"/>
      <c r="D1" s="983"/>
    </row>
    <row r="2" spans="1:6" ht="25.5" customHeight="1">
      <c r="A2" s="973" t="s">
        <v>1343</v>
      </c>
      <c r="B2" s="974"/>
      <c r="C2" s="974"/>
      <c r="D2" s="975"/>
      <c r="E2" s="473"/>
      <c r="F2" s="473"/>
    </row>
    <row r="3" spans="1:6" ht="25.5" customHeight="1">
      <c r="A3" s="976" t="s">
        <v>1342</v>
      </c>
      <c r="B3" s="977"/>
      <c r="C3" s="977"/>
      <c r="D3" s="978"/>
      <c r="E3" s="473"/>
      <c r="F3" s="473"/>
    </row>
    <row r="4" spans="1:6">
      <c r="A4" s="1000"/>
      <c r="B4" s="1001"/>
      <c r="C4" s="1001"/>
      <c r="D4" s="1002"/>
      <c r="E4" s="327"/>
      <c r="F4" s="327"/>
    </row>
    <row r="5" spans="1:6" ht="18" customHeight="1">
      <c r="A5" s="979" t="s">
        <v>1341</v>
      </c>
      <c r="B5" s="980"/>
      <c r="C5" s="980"/>
      <c r="D5" s="981"/>
      <c r="E5" s="472"/>
    </row>
    <row r="6" spans="1:6" ht="18" customHeight="1" thickBot="1">
      <c r="A6" s="976" t="s">
        <v>1340</v>
      </c>
      <c r="B6" s="977"/>
      <c r="C6" s="977"/>
      <c r="D6" s="978"/>
      <c r="E6" s="469"/>
    </row>
    <row r="7" spans="1:6" ht="16.5" customHeight="1">
      <c r="A7" s="982">
        <v>1</v>
      </c>
      <c r="B7" s="996" t="s">
        <v>1339</v>
      </c>
      <c r="C7" s="997"/>
      <c r="D7" s="998" t="str">
        <f>master!B2</f>
        <v>ABC LTD</v>
      </c>
      <c r="E7" s="471"/>
      <c r="F7" s="353"/>
    </row>
    <row r="8" spans="1:6" ht="29.25" customHeight="1">
      <c r="A8" s="951"/>
      <c r="B8" s="954"/>
      <c r="C8" s="955"/>
      <c r="D8" s="999"/>
      <c r="E8" s="471"/>
      <c r="F8" s="353"/>
    </row>
    <row r="9" spans="1:6" ht="15.75">
      <c r="A9" s="950">
        <v>2</v>
      </c>
      <c r="B9" s="952" t="s">
        <v>588</v>
      </c>
      <c r="C9" s="953"/>
      <c r="D9" s="686" t="str">
        <f>master!B3</f>
        <v xml:space="preserve">18 Satteleite, </v>
      </c>
      <c r="E9" s="353"/>
      <c r="F9" s="353"/>
    </row>
    <row r="10" spans="1:6" ht="15.75">
      <c r="A10" s="968"/>
      <c r="B10" s="969"/>
      <c r="C10" s="970"/>
      <c r="D10" s="686" t="str">
        <f>master!B4</f>
        <v xml:space="preserve"> </v>
      </c>
      <c r="E10" s="353"/>
      <c r="F10" s="353"/>
    </row>
    <row r="11" spans="1:6" ht="15.75">
      <c r="A11" s="951"/>
      <c r="B11" s="954"/>
      <c r="C11" s="955"/>
      <c r="D11" s="687" t="str">
        <f>master!B5</f>
        <v>Ahmedabad</v>
      </c>
      <c r="E11" s="353"/>
      <c r="F11" s="353"/>
    </row>
    <row r="12" spans="1:6" ht="14.25" customHeight="1">
      <c r="A12" s="950">
        <v>3</v>
      </c>
      <c r="B12" s="952" t="s">
        <v>1139</v>
      </c>
      <c r="C12" s="953"/>
      <c r="D12" s="956" t="str">
        <f>master!B13</f>
        <v xml:space="preserve"> </v>
      </c>
      <c r="E12" s="393"/>
      <c r="F12" s="353"/>
    </row>
    <row r="13" spans="1:6" ht="8.25" customHeight="1">
      <c r="A13" s="951"/>
      <c r="B13" s="954"/>
      <c r="C13" s="955"/>
      <c r="D13" s="957"/>
      <c r="E13" s="393"/>
      <c r="F13" s="353"/>
    </row>
    <row r="14" spans="1:6">
      <c r="A14" s="950">
        <v>4</v>
      </c>
      <c r="B14" s="952" t="s">
        <v>1138</v>
      </c>
      <c r="C14" s="953"/>
      <c r="D14" s="956" t="str">
        <f>master!B14</f>
        <v>Private Ltd Company</v>
      </c>
      <c r="E14" s="470"/>
      <c r="F14" s="353"/>
    </row>
    <row r="15" spans="1:6" ht="7.5" customHeight="1">
      <c r="A15" s="951"/>
      <c r="B15" s="954"/>
      <c r="C15" s="955"/>
      <c r="D15" s="957"/>
      <c r="E15" s="470"/>
      <c r="F15" s="353"/>
    </row>
    <row r="16" spans="1:6">
      <c r="A16" s="950">
        <v>5</v>
      </c>
      <c r="B16" s="952" t="s">
        <v>1137</v>
      </c>
      <c r="C16" s="953"/>
      <c r="D16" s="971" t="str">
        <f>master!B16</f>
        <v>31/03/2012</v>
      </c>
      <c r="E16" s="393"/>
      <c r="F16" s="353"/>
    </row>
    <row r="17" spans="1:6" ht="6" customHeight="1">
      <c r="A17" s="951"/>
      <c r="B17" s="954"/>
      <c r="C17" s="955"/>
      <c r="D17" s="972"/>
      <c r="E17" s="393"/>
      <c r="F17" s="353"/>
    </row>
    <row r="18" spans="1:6">
      <c r="A18" s="950">
        <v>6</v>
      </c>
      <c r="B18" s="952" t="s">
        <v>601</v>
      </c>
      <c r="C18" s="953"/>
      <c r="D18" s="986" t="str">
        <f>master!B19</f>
        <v>2012-2013</v>
      </c>
      <c r="E18" s="393"/>
      <c r="F18" s="353"/>
    </row>
    <row r="19" spans="1:6" ht="6.75" customHeight="1">
      <c r="A19" s="951"/>
      <c r="B19" s="954"/>
      <c r="C19" s="955"/>
      <c r="D19" s="972"/>
      <c r="E19" s="393"/>
      <c r="F19" s="353"/>
    </row>
    <row r="20" spans="1:6" ht="18" customHeight="1">
      <c r="A20" s="987" t="s">
        <v>1338</v>
      </c>
      <c r="B20" s="988"/>
      <c r="C20" s="988"/>
      <c r="D20" s="989"/>
      <c r="E20" s="469"/>
    </row>
    <row r="21" spans="1:6" ht="14.25" customHeight="1">
      <c r="A21" s="950">
        <v>7</v>
      </c>
      <c r="B21" s="959" t="s">
        <v>983</v>
      </c>
      <c r="C21" s="994" t="s">
        <v>1337</v>
      </c>
      <c r="D21" s="468" t="s">
        <v>464</v>
      </c>
      <c r="E21" s="373"/>
    </row>
    <row r="22" spans="1:6" ht="14.25" customHeight="1">
      <c r="A22" s="968"/>
      <c r="B22" s="991"/>
      <c r="C22" s="995"/>
      <c r="D22" s="688" t="s">
        <v>1236</v>
      </c>
      <c r="E22" s="373"/>
    </row>
    <row r="23" spans="1:6" ht="14.25" customHeight="1">
      <c r="A23" s="968"/>
      <c r="B23" s="991"/>
      <c r="C23" s="995"/>
      <c r="D23" s="467"/>
      <c r="E23" s="373"/>
    </row>
    <row r="24" spans="1:6" ht="6" customHeight="1">
      <c r="A24" s="990"/>
      <c r="B24" s="954"/>
      <c r="C24" s="466"/>
      <c r="D24" s="397"/>
      <c r="E24" s="373"/>
    </row>
    <row r="25" spans="1:6" ht="45" customHeight="1">
      <c r="A25" s="411"/>
      <c r="B25" s="414" t="s">
        <v>981</v>
      </c>
      <c r="C25" s="465" t="s">
        <v>1336</v>
      </c>
      <c r="D25" s="374" t="s">
        <v>1236</v>
      </c>
      <c r="E25" s="373"/>
    </row>
    <row r="26" spans="1:6">
      <c r="A26" s="950">
        <v>8</v>
      </c>
      <c r="B26" s="959" t="s">
        <v>983</v>
      </c>
      <c r="C26" s="953" t="s">
        <v>1335</v>
      </c>
      <c r="D26" s="992" t="s">
        <v>1136</v>
      </c>
      <c r="E26" s="393"/>
    </row>
    <row r="27" spans="1:6" ht="14.25" customHeight="1">
      <c r="A27" s="951"/>
      <c r="B27" s="960"/>
      <c r="C27" s="955"/>
      <c r="D27" s="993"/>
      <c r="E27" s="393"/>
    </row>
    <row r="28" spans="1:6" ht="45.75" customHeight="1">
      <c r="A28" s="448"/>
      <c r="B28" s="365" t="s">
        <v>981</v>
      </c>
      <c r="C28" s="464" t="s">
        <v>1135</v>
      </c>
      <c r="D28" s="374" t="s">
        <v>571</v>
      </c>
      <c r="E28" s="373"/>
    </row>
    <row r="29" spans="1:6" ht="28.5">
      <c r="A29" s="411">
        <v>9</v>
      </c>
      <c r="B29" s="414" t="s">
        <v>983</v>
      </c>
      <c r="C29" s="450" t="s">
        <v>1334</v>
      </c>
      <c r="D29" s="374" t="s">
        <v>540</v>
      </c>
      <c r="E29" s="373"/>
    </row>
    <row r="30" spans="1:6" ht="89.25" customHeight="1">
      <c r="A30" s="431"/>
      <c r="B30" s="414" t="s">
        <v>981</v>
      </c>
      <c r="C30" s="375" t="s">
        <v>1333</v>
      </c>
      <c r="D30" s="463" t="s">
        <v>1332</v>
      </c>
      <c r="E30" s="462"/>
    </row>
    <row r="31" spans="1:6" ht="14.25" customHeight="1">
      <c r="A31" s="958"/>
      <c r="B31" s="959" t="s">
        <v>1113</v>
      </c>
      <c r="C31" s="953" t="s">
        <v>1331</v>
      </c>
      <c r="D31" s="984" t="s">
        <v>1330</v>
      </c>
      <c r="E31" s="355"/>
    </row>
    <row r="32" spans="1:6" ht="12" customHeight="1">
      <c r="A32" s="951"/>
      <c r="B32" s="960"/>
      <c r="C32" s="955"/>
      <c r="D32" s="985"/>
      <c r="E32" s="355"/>
    </row>
    <row r="33" spans="1:5" ht="101.25" customHeight="1">
      <c r="A33" s="411">
        <v>10</v>
      </c>
      <c r="B33" s="376"/>
      <c r="C33" s="450" t="s">
        <v>1329</v>
      </c>
      <c r="D33" s="374" t="s">
        <v>571</v>
      </c>
      <c r="E33" s="373"/>
    </row>
    <row r="34" spans="1:5" ht="9" customHeight="1">
      <c r="A34" s="411"/>
      <c r="B34" s="376"/>
      <c r="C34" s="450"/>
      <c r="D34" s="384"/>
      <c r="E34" s="353"/>
    </row>
    <row r="35" spans="1:5" ht="30.75" customHeight="1">
      <c r="A35" s="411">
        <v>11</v>
      </c>
      <c r="B35" s="414" t="s">
        <v>983</v>
      </c>
      <c r="C35" s="450" t="s">
        <v>1134</v>
      </c>
      <c r="D35" s="374" t="s">
        <v>1328</v>
      </c>
      <c r="E35" s="373"/>
    </row>
    <row r="36" spans="1:5" ht="60" customHeight="1">
      <c r="A36" s="431"/>
      <c r="B36" s="414" t="s">
        <v>981</v>
      </c>
      <c r="C36" s="385" t="s">
        <v>1327</v>
      </c>
      <c r="D36" s="374" t="s">
        <v>571</v>
      </c>
      <c r="E36" s="373"/>
    </row>
    <row r="37" spans="1:5" ht="48" customHeight="1">
      <c r="A37" s="431"/>
      <c r="B37" s="414" t="s">
        <v>1113</v>
      </c>
      <c r="C37" s="450" t="s">
        <v>1326</v>
      </c>
      <c r="D37" s="374" t="s">
        <v>1114</v>
      </c>
      <c r="E37" s="373"/>
    </row>
    <row r="38" spans="1:5" ht="74.25" customHeight="1">
      <c r="A38" s="431"/>
      <c r="B38" s="414" t="s">
        <v>977</v>
      </c>
      <c r="C38" s="450" t="s">
        <v>1325</v>
      </c>
      <c r="D38" s="461" t="s">
        <v>456</v>
      </c>
      <c r="E38" s="373"/>
    </row>
    <row r="39" spans="1:5" ht="30" customHeight="1">
      <c r="A39" s="460">
        <v>12</v>
      </c>
      <c r="B39" s="459" t="s">
        <v>983</v>
      </c>
      <c r="C39" s="388" t="s">
        <v>1324</v>
      </c>
      <c r="D39" s="458" t="s">
        <v>1323</v>
      </c>
      <c r="E39" s="457"/>
    </row>
    <row r="40" spans="1:5" ht="42.75">
      <c r="A40" s="448"/>
      <c r="B40" s="365" t="s">
        <v>981</v>
      </c>
      <c r="C40" s="394" t="s">
        <v>1322</v>
      </c>
      <c r="D40" s="374" t="s">
        <v>571</v>
      </c>
      <c r="E40" s="373"/>
    </row>
    <row r="41" spans="1:5" ht="30.75" customHeight="1">
      <c r="A41" s="411">
        <v>13</v>
      </c>
      <c r="B41" s="376"/>
      <c r="C41" s="450" t="s">
        <v>1321</v>
      </c>
      <c r="D41" s="384"/>
      <c r="E41" s="353"/>
    </row>
    <row r="42" spans="1:5" ht="30.75" customHeight="1">
      <c r="A42" s="431"/>
      <c r="B42" s="414" t="s">
        <v>1320</v>
      </c>
      <c r="C42" s="385" t="s">
        <v>1319</v>
      </c>
      <c r="D42" s="374" t="s">
        <v>456</v>
      </c>
      <c r="E42" s="373"/>
    </row>
    <row r="43" spans="1:5" ht="73.5" customHeight="1">
      <c r="A43" s="452"/>
      <c r="B43" s="414" t="s">
        <v>1299</v>
      </c>
      <c r="C43" s="385" t="s">
        <v>1318</v>
      </c>
      <c r="D43" s="374" t="s">
        <v>456</v>
      </c>
      <c r="E43" s="373"/>
    </row>
    <row r="44" spans="1:5" ht="29.25" customHeight="1">
      <c r="A44" s="431"/>
      <c r="B44" s="414" t="s">
        <v>1113</v>
      </c>
      <c r="C44" s="385" t="s">
        <v>1317</v>
      </c>
      <c r="D44" s="374" t="s">
        <v>456</v>
      </c>
      <c r="E44" s="373"/>
    </row>
    <row r="45" spans="1:5">
      <c r="A45" s="958"/>
      <c r="B45" s="959" t="s">
        <v>1316</v>
      </c>
      <c r="C45" s="963" t="s">
        <v>1133</v>
      </c>
      <c r="D45" s="965" t="s">
        <v>456</v>
      </c>
      <c r="E45" s="373"/>
    </row>
    <row r="46" spans="1:5" ht="6.75" customHeight="1">
      <c r="A46" s="951"/>
      <c r="B46" s="960"/>
      <c r="C46" s="964"/>
      <c r="D46" s="966"/>
      <c r="E46" s="373"/>
    </row>
    <row r="47" spans="1:5" ht="17.25" customHeight="1">
      <c r="A47" s="366"/>
      <c r="B47" s="365" t="s">
        <v>975</v>
      </c>
      <c r="C47" s="394" t="s">
        <v>1315</v>
      </c>
      <c r="D47" s="383" t="s">
        <v>456</v>
      </c>
      <c r="E47" s="379"/>
    </row>
    <row r="48" spans="1:5" ht="58.5" customHeight="1">
      <c r="A48" s="377">
        <v>14</v>
      </c>
      <c r="B48" s="376"/>
      <c r="C48" s="385" t="s">
        <v>1314</v>
      </c>
      <c r="D48" s="374" t="s">
        <v>1308</v>
      </c>
      <c r="E48" s="373"/>
    </row>
    <row r="49" spans="1:5" ht="15" customHeight="1">
      <c r="A49" s="958"/>
      <c r="B49" s="959" t="s">
        <v>983</v>
      </c>
      <c r="C49" s="963" t="s">
        <v>1313</v>
      </c>
      <c r="D49" s="943" t="s">
        <v>1308</v>
      </c>
      <c r="E49" s="393"/>
    </row>
    <row r="50" spans="1:5" ht="5.25" customHeight="1">
      <c r="A50" s="951"/>
      <c r="B50" s="960"/>
      <c r="C50" s="964"/>
      <c r="D50" s="944"/>
      <c r="E50" s="393"/>
    </row>
    <row r="51" spans="1:5">
      <c r="A51" s="958"/>
      <c r="B51" s="959" t="s">
        <v>981</v>
      </c>
      <c r="C51" s="963" t="s">
        <v>1312</v>
      </c>
      <c r="D51" s="943" t="s">
        <v>1308</v>
      </c>
      <c r="E51" s="393"/>
    </row>
    <row r="52" spans="1:5" ht="5.25" customHeight="1">
      <c r="A52" s="951"/>
      <c r="B52" s="960"/>
      <c r="C52" s="964"/>
      <c r="D52" s="944"/>
      <c r="E52" s="393"/>
    </row>
    <row r="53" spans="1:5">
      <c r="A53" s="431"/>
      <c r="B53" s="414" t="s">
        <v>1311</v>
      </c>
      <c r="C53" s="375" t="s">
        <v>1310</v>
      </c>
      <c r="D53" s="374" t="s">
        <v>1308</v>
      </c>
      <c r="E53" s="353"/>
    </row>
    <row r="54" spans="1:5" ht="60" customHeight="1">
      <c r="A54" s="431"/>
      <c r="B54" s="414" t="s">
        <v>977</v>
      </c>
      <c r="C54" s="385" t="s">
        <v>1309</v>
      </c>
      <c r="D54" s="374" t="s">
        <v>1308</v>
      </c>
      <c r="E54" s="353"/>
    </row>
    <row r="55" spans="1:5" ht="61.5" customHeight="1">
      <c r="A55" s="431"/>
      <c r="B55" s="414" t="s">
        <v>1119</v>
      </c>
      <c r="C55" s="385" t="s">
        <v>1307</v>
      </c>
      <c r="D55" s="374" t="s">
        <v>456</v>
      </c>
      <c r="E55" s="373"/>
    </row>
    <row r="56" spans="1:5" ht="29.25" customHeight="1">
      <c r="A56" s="431"/>
      <c r="B56" s="414" t="s">
        <v>996</v>
      </c>
      <c r="C56" s="385" t="s">
        <v>1306</v>
      </c>
      <c r="D56" s="384" t="s">
        <v>456</v>
      </c>
      <c r="E56" s="353"/>
    </row>
    <row r="57" spans="1:5" ht="30" customHeight="1">
      <c r="A57" s="431"/>
      <c r="B57" s="414" t="s">
        <v>995</v>
      </c>
      <c r="C57" s="375" t="s">
        <v>1305</v>
      </c>
      <c r="D57" s="384" t="s">
        <v>456</v>
      </c>
      <c r="E57" s="353"/>
    </row>
    <row r="58" spans="1:5" ht="12.75" customHeight="1">
      <c r="A58" s="958"/>
      <c r="B58" s="959" t="s">
        <v>975</v>
      </c>
      <c r="C58" s="963" t="s">
        <v>1304</v>
      </c>
      <c r="D58" s="943" t="s">
        <v>1303</v>
      </c>
      <c r="E58" s="393"/>
    </row>
    <row r="59" spans="1:5" ht="6.75" customHeight="1">
      <c r="A59" s="951"/>
      <c r="B59" s="960"/>
      <c r="C59" s="964"/>
      <c r="D59" s="967"/>
      <c r="E59" s="393"/>
    </row>
    <row r="60" spans="1:5" ht="25.5" customHeight="1">
      <c r="A60" s="431"/>
      <c r="B60" s="414" t="s">
        <v>973</v>
      </c>
      <c r="C60" s="385" t="s">
        <v>1302</v>
      </c>
      <c r="D60" s="384" t="str">
        <f>D58</f>
        <v xml:space="preserve">As Per Annexure </v>
      </c>
      <c r="E60" s="353"/>
    </row>
    <row r="61" spans="1:5" ht="48.75" customHeight="1">
      <c r="A61" s="411">
        <v>15</v>
      </c>
      <c r="B61" s="414"/>
      <c r="C61" s="385" t="s">
        <v>1301</v>
      </c>
      <c r="D61" s="374" t="s">
        <v>456</v>
      </c>
      <c r="E61" s="373"/>
    </row>
    <row r="62" spans="1:5" ht="42.75">
      <c r="A62" s="431"/>
      <c r="B62" s="414" t="s">
        <v>983</v>
      </c>
      <c r="C62" s="385" t="s">
        <v>1300</v>
      </c>
      <c r="D62" s="374" t="s">
        <v>456</v>
      </c>
      <c r="E62" s="373"/>
    </row>
    <row r="63" spans="1:5" ht="13.5" customHeight="1">
      <c r="A63" s="958"/>
      <c r="B63" s="959" t="s">
        <v>1299</v>
      </c>
      <c r="C63" s="963" t="s">
        <v>1298</v>
      </c>
      <c r="D63" s="943" t="s">
        <v>456</v>
      </c>
      <c r="E63" s="379"/>
    </row>
    <row r="64" spans="1:5" ht="9.75" customHeight="1">
      <c r="A64" s="951"/>
      <c r="B64" s="960"/>
      <c r="C64" s="964"/>
      <c r="D64" s="944"/>
      <c r="E64" s="379"/>
    </row>
    <row r="65" spans="1:5" ht="62.25" customHeight="1">
      <c r="A65" s="411">
        <v>16</v>
      </c>
      <c r="B65" s="414" t="s">
        <v>983</v>
      </c>
      <c r="C65" s="385" t="s">
        <v>1297</v>
      </c>
      <c r="D65" s="374" t="s">
        <v>456</v>
      </c>
      <c r="E65" s="398"/>
    </row>
    <row r="66" spans="1:5" ht="77.25" customHeight="1">
      <c r="A66" s="453"/>
      <c r="B66" s="414" t="s">
        <v>981</v>
      </c>
      <c r="C66" s="385" t="s">
        <v>1296</v>
      </c>
      <c r="D66" s="456" t="s">
        <v>1653</v>
      </c>
      <c r="E66" s="406"/>
    </row>
    <row r="67" spans="1:5" ht="30" customHeight="1">
      <c r="A67" s="411">
        <v>17</v>
      </c>
      <c r="B67" s="376"/>
      <c r="C67" s="385" t="s">
        <v>1295</v>
      </c>
      <c r="D67" s="455"/>
      <c r="E67" s="373"/>
    </row>
    <row r="68" spans="1:5">
      <c r="A68" s="950"/>
      <c r="B68" s="959" t="s">
        <v>983</v>
      </c>
      <c r="C68" s="963" t="s">
        <v>1132</v>
      </c>
      <c r="D68" s="965" t="s">
        <v>456</v>
      </c>
      <c r="E68" s="373"/>
    </row>
    <row r="69" spans="1:5" ht="6" customHeight="1">
      <c r="A69" s="951"/>
      <c r="B69" s="960"/>
      <c r="C69" s="964"/>
      <c r="D69" s="966"/>
      <c r="E69" s="373"/>
    </row>
    <row r="70" spans="1:5" ht="16.5" customHeight="1">
      <c r="A70" s="454"/>
      <c r="B70" s="365" t="s">
        <v>981</v>
      </c>
      <c r="C70" s="394" t="s">
        <v>1131</v>
      </c>
      <c r="D70" s="327" t="s">
        <v>456</v>
      </c>
      <c r="E70" s="373"/>
    </row>
    <row r="71" spans="1:5" ht="45" customHeight="1">
      <c r="A71" s="453"/>
      <c r="B71" s="414" t="s">
        <v>1113</v>
      </c>
      <c r="C71" s="385" t="s">
        <v>1294</v>
      </c>
      <c r="D71" s="374" t="s">
        <v>456</v>
      </c>
      <c r="E71" s="373"/>
    </row>
    <row r="72" spans="1:5">
      <c r="A72" s="958"/>
      <c r="B72" s="959" t="s">
        <v>977</v>
      </c>
      <c r="C72" s="963" t="s">
        <v>1293</v>
      </c>
      <c r="D72" s="965" t="s">
        <v>456</v>
      </c>
      <c r="E72" s="373"/>
    </row>
    <row r="73" spans="1:5" ht="6.75" customHeight="1">
      <c r="A73" s="951"/>
      <c r="B73" s="960"/>
      <c r="C73" s="964"/>
      <c r="D73" s="966"/>
      <c r="E73" s="373"/>
    </row>
    <row r="74" spans="1:5">
      <c r="A74" s="958"/>
      <c r="B74" s="959" t="s">
        <v>1119</v>
      </c>
      <c r="C74" s="963" t="s">
        <v>1292</v>
      </c>
      <c r="D74" s="965" t="s">
        <v>456</v>
      </c>
      <c r="E74" s="373"/>
    </row>
    <row r="75" spans="1:5" ht="9" customHeight="1">
      <c r="A75" s="951"/>
      <c r="B75" s="960"/>
      <c r="C75" s="964"/>
      <c r="D75" s="966"/>
      <c r="E75" s="373"/>
    </row>
    <row r="76" spans="1:5">
      <c r="A76" s="431"/>
      <c r="B76" s="414" t="s">
        <v>1288</v>
      </c>
      <c r="C76" s="375" t="s">
        <v>1291</v>
      </c>
      <c r="D76" s="374" t="s">
        <v>456</v>
      </c>
      <c r="E76" s="373"/>
    </row>
    <row r="77" spans="1:5" ht="32.25" customHeight="1">
      <c r="A77" s="431"/>
      <c r="B77" s="414" t="s">
        <v>1290</v>
      </c>
      <c r="C77" s="375" t="s">
        <v>1289</v>
      </c>
      <c r="D77" s="374" t="s">
        <v>456</v>
      </c>
      <c r="E77" s="373"/>
    </row>
    <row r="78" spans="1:5">
      <c r="A78" s="961"/>
      <c r="B78" s="959" t="s">
        <v>1288</v>
      </c>
      <c r="C78" s="963" t="s">
        <v>1287</v>
      </c>
      <c r="D78" s="965" t="str">
        <f>D77</f>
        <v>NIL</v>
      </c>
      <c r="E78" s="373"/>
    </row>
    <row r="79" spans="1:5" ht="6.75" customHeight="1">
      <c r="A79" s="962"/>
      <c r="B79" s="960"/>
      <c r="C79" s="964"/>
      <c r="D79" s="966"/>
      <c r="E79" s="373"/>
    </row>
    <row r="80" spans="1:5" ht="33.75" customHeight="1">
      <c r="A80" s="431"/>
      <c r="B80" s="414" t="s">
        <v>995</v>
      </c>
      <c r="C80" s="375" t="s">
        <v>1286</v>
      </c>
      <c r="D80" s="374" t="s">
        <v>456</v>
      </c>
      <c r="E80" s="373"/>
    </row>
    <row r="81" spans="1:5">
      <c r="A81" s="431"/>
      <c r="B81" s="414" t="s">
        <v>973</v>
      </c>
      <c r="C81" s="375" t="s">
        <v>1285</v>
      </c>
      <c r="D81" s="374" t="s">
        <v>1284</v>
      </c>
      <c r="E81" s="373"/>
    </row>
    <row r="82" spans="1:5" ht="48" customHeight="1">
      <c r="A82" s="431"/>
      <c r="B82" s="414" t="s">
        <v>971</v>
      </c>
      <c r="C82" s="385" t="s">
        <v>1283</v>
      </c>
      <c r="D82" s="374"/>
      <c r="E82" s="373"/>
    </row>
    <row r="83" spans="1:5" ht="105" customHeight="1">
      <c r="A83" s="452"/>
      <c r="B83" s="414" t="s">
        <v>969</v>
      </c>
      <c r="C83" s="451" t="s">
        <v>1282</v>
      </c>
      <c r="D83" s="437" t="s">
        <v>1281</v>
      </c>
      <c r="E83" s="373"/>
    </row>
    <row r="84" spans="1:5" ht="28.5">
      <c r="A84" s="431"/>
      <c r="B84" s="414"/>
      <c r="C84" s="450" t="s">
        <v>1280</v>
      </c>
      <c r="D84" s="374" t="s">
        <v>456</v>
      </c>
      <c r="E84" s="373"/>
    </row>
    <row r="85" spans="1:5" ht="28.5" customHeight="1">
      <c r="A85" s="431" t="s">
        <v>464</v>
      </c>
      <c r="B85" s="414" t="s">
        <v>1119</v>
      </c>
      <c r="C85" s="375" t="s">
        <v>1279</v>
      </c>
      <c r="D85" s="374" t="s">
        <v>456</v>
      </c>
      <c r="E85" s="373"/>
    </row>
    <row r="86" spans="1:5" ht="37.5" customHeight="1">
      <c r="A86" s="431"/>
      <c r="B86" s="414" t="s">
        <v>1130</v>
      </c>
      <c r="C86" s="385" t="s">
        <v>1129</v>
      </c>
      <c r="D86" s="374" t="s">
        <v>456</v>
      </c>
      <c r="E86" s="373"/>
    </row>
    <row r="87" spans="1:5">
      <c r="A87" s="431"/>
      <c r="B87" s="414" t="s">
        <v>1128</v>
      </c>
      <c r="C87" s="375" t="s">
        <v>1278</v>
      </c>
      <c r="D87" s="374" t="s">
        <v>456</v>
      </c>
      <c r="E87" s="373"/>
    </row>
    <row r="88" spans="1:5" ht="42.75">
      <c r="A88" s="431"/>
      <c r="B88" s="414" t="s">
        <v>1127</v>
      </c>
      <c r="C88" s="375" t="s">
        <v>1277</v>
      </c>
      <c r="D88" s="374" t="s">
        <v>456</v>
      </c>
      <c r="E88" s="373"/>
    </row>
    <row r="89" spans="1:5" ht="28.5">
      <c r="A89" s="431"/>
      <c r="B89" s="414" t="s">
        <v>1126</v>
      </c>
      <c r="C89" s="375" t="s">
        <v>1276</v>
      </c>
      <c r="D89" s="374" t="s">
        <v>456</v>
      </c>
      <c r="E89" s="373"/>
    </row>
    <row r="90" spans="1:5" ht="42.75">
      <c r="A90" s="449" t="s">
        <v>1275</v>
      </c>
      <c r="B90" s="414"/>
      <c r="C90" s="375" t="s">
        <v>1274</v>
      </c>
      <c r="D90" s="437" t="s">
        <v>456</v>
      </c>
      <c r="E90" s="373"/>
    </row>
    <row r="91" spans="1:5" ht="31.5" customHeight="1">
      <c r="A91" s="440">
        <v>18</v>
      </c>
      <c r="B91" s="376"/>
      <c r="C91" s="375" t="s">
        <v>1273</v>
      </c>
      <c r="D91" s="432" t="s">
        <v>1654</v>
      </c>
      <c r="E91" s="373"/>
    </row>
    <row r="92" spans="1:5" ht="31.5" customHeight="1">
      <c r="A92" s="440">
        <v>19</v>
      </c>
      <c r="B92" s="376"/>
      <c r="C92" s="385" t="s">
        <v>1272</v>
      </c>
      <c r="D92" s="374" t="s">
        <v>456</v>
      </c>
      <c r="E92" s="373"/>
    </row>
    <row r="93" spans="1:5" ht="31.5" customHeight="1">
      <c r="A93" s="440">
        <v>20</v>
      </c>
      <c r="B93" s="376"/>
      <c r="C93" s="375" t="s">
        <v>1271</v>
      </c>
      <c r="D93" s="374" t="s">
        <v>456</v>
      </c>
      <c r="E93" s="373"/>
    </row>
    <row r="94" spans="1:5" ht="43.5" customHeight="1">
      <c r="A94" s="440">
        <v>21</v>
      </c>
      <c r="B94" s="438" t="s">
        <v>1119</v>
      </c>
      <c r="C94" s="375" t="s">
        <v>1270</v>
      </c>
      <c r="D94" s="374" t="s">
        <v>456</v>
      </c>
      <c r="E94" s="373"/>
    </row>
    <row r="95" spans="1:5" ht="45.75" customHeight="1">
      <c r="A95" s="431"/>
      <c r="B95" s="438" t="s">
        <v>1121</v>
      </c>
      <c r="C95" s="375" t="s">
        <v>1269</v>
      </c>
      <c r="D95" s="374" t="s">
        <v>456</v>
      </c>
      <c r="E95" s="373"/>
    </row>
    <row r="96" spans="1:5">
      <c r="A96" s="958"/>
      <c r="B96" s="959" t="s">
        <v>983</v>
      </c>
      <c r="C96" s="963" t="s">
        <v>1268</v>
      </c>
      <c r="D96" s="383" t="s">
        <v>456</v>
      </c>
      <c r="E96" s="379"/>
    </row>
    <row r="97" spans="1:5" ht="7.5" customHeight="1">
      <c r="A97" s="951"/>
      <c r="B97" s="960"/>
      <c r="C97" s="964"/>
      <c r="D97" s="381"/>
      <c r="E97" s="379"/>
    </row>
    <row r="98" spans="1:5" ht="14.25" customHeight="1">
      <c r="A98" s="958"/>
      <c r="B98" s="959" t="s">
        <v>981</v>
      </c>
      <c r="C98" s="963" t="s">
        <v>1267</v>
      </c>
      <c r="D98" s="381" t="s">
        <v>456</v>
      </c>
      <c r="E98" s="379"/>
    </row>
    <row r="99" spans="1:5" ht="8.25" customHeight="1">
      <c r="A99" s="951"/>
      <c r="B99" s="960"/>
      <c r="C99" s="964"/>
      <c r="D99" s="380"/>
      <c r="E99" s="379"/>
    </row>
    <row r="100" spans="1:5" ht="15">
      <c r="A100" s="448"/>
      <c r="B100" s="392" t="s">
        <v>1120</v>
      </c>
      <c r="C100" s="370" t="s">
        <v>1125</v>
      </c>
      <c r="D100" s="389" t="s">
        <v>456</v>
      </c>
      <c r="E100" s="353"/>
    </row>
    <row r="101" spans="1:5" ht="42.75" customHeight="1">
      <c r="A101" s="447"/>
      <c r="B101" s="446" t="s">
        <v>983</v>
      </c>
      <c r="C101" s="445" t="s">
        <v>1266</v>
      </c>
      <c r="D101" s="444" t="s">
        <v>456</v>
      </c>
      <c r="E101" s="442"/>
    </row>
    <row r="102" spans="1:5" ht="18.75" customHeight="1">
      <c r="A102" s="431"/>
      <c r="B102" s="414" t="s">
        <v>981</v>
      </c>
      <c r="C102" s="375" t="s">
        <v>1265</v>
      </c>
      <c r="D102" s="443" t="s">
        <v>456</v>
      </c>
      <c r="E102" s="442"/>
    </row>
    <row r="103" spans="1:5" ht="59.25" customHeight="1">
      <c r="A103" s="431"/>
      <c r="B103" s="438" t="s">
        <v>996</v>
      </c>
      <c r="C103" s="441" t="s">
        <v>1264</v>
      </c>
      <c r="D103" s="374" t="s">
        <v>1263</v>
      </c>
      <c r="E103" s="353"/>
    </row>
    <row r="104" spans="1:5" ht="89.25" customHeight="1">
      <c r="A104" s="440">
        <v>22</v>
      </c>
      <c r="B104" s="414" t="s">
        <v>983</v>
      </c>
      <c r="C104" s="375" t="s">
        <v>1262</v>
      </c>
      <c r="D104" s="374" t="s">
        <v>456</v>
      </c>
      <c r="E104" s="373"/>
    </row>
    <row r="105" spans="1:5" ht="48.75" customHeight="1">
      <c r="A105" s="366"/>
      <c r="B105" s="365" t="s">
        <v>981</v>
      </c>
      <c r="C105" s="370" t="s">
        <v>1261</v>
      </c>
      <c r="D105" s="374" t="s">
        <v>456</v>
      </c>
      <c r="E105" s="373"/>
    </row>
    <row r="106" spans="1:5" ht="75.75" customHeight="1">
      <c r="A106" s="366">
        <v>23</v>
      </c>
      <c r="B106" s="371"/>
      <c r="C106" s="370" t="s">
        <v>1260</v>
      </c>
      <c r="D106" s="396" t="s">
        <v>456</v>
      </c>
      <c r="E106" s="373"/>
    </row>
    <row r="107" spans="1:5" ht="60" customHeight="1">
      <c r="A107" s="440">
        <v>24</v>
      </c>
      <c r="B107" s="438" t="s">
        <v>983</v>
      </c>
      <c r="C107" s="375" t="s">
        <v>1259</v>
      </c>
      <c r="D107" s="374" t="s">
        <v>1655</v>
      </c>
      <c r="E107" s="373"/>
    </row>
    <row r="108" spans="1:5" ht="44.25" customHeight="1">
      <c r="A108" s="431"/>
      <c r="B108" s="414" t="s">
        <v>1224</v>
      </c>
      <c r="C108" s="375" t="s">
        <v>1258</v>
      </c>
      <c r="D108" s="384" t="str">
        <f>D107</f>
        <v>As per Annexure - 3</v>
      </c>
      <c r="E108" s="353"/>
    </row>
    <row r="109" spans="1:5" ht="28.5" customHeight="1">
      <c r="A109" s="431"/>
      <c r="B109" s="414" t="s">
        <v>1213</v>
      </c>
      <c r="C109" s="375" t="s">
        <v>1257</v>
      </c>
      <c r="D109" s="384" t="str">
        <f>D108</f>
        <v>As per Annexure - 3</v>
      </c>
      <c r="E109" s="353"/>
    </row>
    <row r="110" spans="1:5" ht="30" customHeight="1">
      <c r="A110" s="431"/>
      <c r="B110" s="414" t="s">
        <v>1211</v>
      </c>
      <c r="C110" s="375" t="s">
        <v>1256</v>
      </c>
      <c r="D110" s="384" t="str">
        <f>D109</f>
        <v>As per Annexure - 3</v>
      </c>
      <c r="E110" s="353"/>
    </row>
    <row r="111" spans="1:5" ht="30" customHeight="1">
      <c r="A111" s="431"/>
      <c r="B111" s="414" t="s">
        <v>1209</v>
      </c>
      <c r="C111" s="375" t="s">
        <v>1255</v>
      </c>
      <c r="D111" s="384" t="str">
        <f>D110</f>
        <v>As per Annexure - 3</v>
      </c>
      <c r="E111" s="353"/>
    </row>
    <row r="112" spans="1:5" ht="58.5" customHeight="1">
      <c r="A112" s="431"/>
      <c r="B112" s="414" t="s">
        <v>1207</v>
      </c>
      <c r="C112" s="385" t="s">
        <v>1254</v>
      </c>
      <c r="D112" s="384" t="str">
        <f>D111</f>
        <v>As per Annexure - 3</v>
      </c>
      <c r="E112" s="353"/>
    </row>
    <row r="113" spans="1:5" ht="57" customHeight="1">
      <c r="A113" s="439"/>
      <c r="B113" s="438" t="s">
        <v>981</v>
      </c>
      <c r="C113" s="375" t="s">
        <v>1253</v>
      </c>
      <c r="D113" s="374" t="s">
        <v>1656</v>
      </c>
      <c r="E113" s="373"/>
    </row>
    <row r="114" spans="1:5" ht="28.5">
      <c r="A114" s="431"/>
      <c r="B114" s="414" t="s">
        <v>1224</v>
      </c>
      <c r="C114" s="375" t="s">
        <v>1252</v>
      </c>
      <c r="D114" s="437" t="str">
        <f>D113</f>
        <v>As per Annexure-4</v>
      </c>
      <c r="E114" s="353"/>
    </row>
    <row r="115" spans="1:5">
      <c r="A115" s="958"/>
      <c r="B115" s="959" t="s">
        <v>1213</v>
      </c>
      <c r="C115" s="953" t="s">
        <v>1251</v>
      </c>
      <c r="D115" s="943" t="str">
        <f>D114</f>
        <v>As per Annexure-4</v>
      </c>
      <c r="E115" s="393"/>
    </row>
    <row r="116" spans="1:5">
      <c r="A116" s="951"/>
      <c r="B116" s="960"/>
      <c r="C116" s="955"/>
      <c r="D116" s="944"/>
      <c r="E116" s="393"/>
    </row>
    <row r="117" spans="1:5" ht="28.5">
      <c r="A117" s="436"/>
      <c r="B117" s="363" t="s">
        <v>1211</v>
      </c>
      <c r="C117" s="435" t="s">
        <v>1250</v>
      </c>
      <c r="D117" s="434" t="str">
        <f>D115</f>
        <v>As per Annexure-4</v>
      </c>
      <c r="E117" s="353"/>
    </row>
    <row r="118" spans="1:5" ht="43.5" customHeight="1">
      <c r="A118" s="431"/>
      <c r="B118" s="414" t="s">
        <v>1209</v>
      </c>
      <c r="C118" s="375" t="s">
        <v>1249</v>
      </c>
      <c r="D118" s="384" t="str">
        <f>D117</f>
        <v>As per Annexure-4</v>
      </c>
      <c r="E118" s="353"/>
    </row>
    <row r="119" spans="1:5" ht="57.75" customHeight="1">
      <c r="A119" s="431"/>
      <c r="B119" s="414" t="s">
        <v>1248</v>
      </c>
      <c r="C119" s="433" t="s">
        <v>1247</v>
      </c>
      <c r="D119" s="432" t="s">
        <v>540</v>
      </c>
      <c r="E119" s="353"/>
    </row>
    <row r="120" spans="1:5" ht="80.25" customHeight="1">
      <c r="A120" s="431"/>
      <c r="B120" s="414"/>
      <c r="C120" s="430" t="s">
        <v>1246</v>
      </c>
      <c r="D120" s="429"/>
      <c r="E120" s="353"/>
    </row>
    <row r="121" spans="1:5" ht="14.25" customHeight="1">
      <c r="A121" s="428">
        <v>25</v>
      </c>
      <c r="B121" s="365" t="s">
        <v>983</v>
      </c>
      <c r="C121" s="427" t="s">
        <v>1245</v>
      </c>
      <c r="D121" s="336"/>
      <c r="E121" s="353"/>
    </row>
    <row r="122" spans="1:5" ht="15" thickBot="1">
      <c r="A122" s="356"/>
      <c r="B122" s="426"/>
      <c r="C122" s="421" t="s">
        <v>1244</v>
      </c>
      <c r="D122" s="420"/>
      <c r="E122" s="353"/>
    </row>
    <row r="123" spans="1:5">
      <c r="A123" s="425" t="s">
        <v>1243</v>
      </c>
      <c r="B123" s="393" t="s">
        <v>1242</v>
      </c>
      <c r="C123" s="354"/>
      <c r="D123" s="336"/>
      <c r="E123" s="353"/>
    </row>
    <row r="124" spans="1:5">
      <c r="A124" s="424" t="s">
        <v>1241</v>
      </c>
      <c r="B124" s="393" t="s">
        <v>1240</v>
      </c>
      <c r="C124" s="354"/>
      <c r="D124" s="336"/>
      <c r="E124" s="353"/>
    </row>
    <row r="125" spans="1:5">
      <c r="A125" s="424"/>
      <c r="B125" s="393" t="s">
        <v>1239</v>
      </c>
      <c r="C125" s="354"/>
      <c r="D125" s="336"/>
      <c r="E125" s="353"/>
    </row>
    <row r="126" spans="1:5" ht="15" thickBot="1">
      <c r="A126" s="423"/>
      <c r="B126" s="422" t="s">
        <v>1238</v>
      </c>
      <c r="C126" s="421"/>
      <c r="D126" s="420"/>
      <c r="E126" s="353"/>
    </row>
    <row r="127" spans="1:5" ht="14.25" customHeight="1">
      <c r="A127" s="419"/>
      <c r="B127" s="418" t="s">
        <v>1237</v>
      </c>
      <c r="C127" s="417" t="s">
        <v>459</v>
      </c>
      <c r="D127" s="416"/>
      <c r="E127" s="353"/>
    </row>
    <row r="128" spans="1:5" ht="69.75" customHeight="1">
      <c r="A128" s="415"/>
      <c r="B128" s="414" t="s">
        <v>981</v>
      </c>
      <c r="C128" s="413" t="s">
        <v>1124</v>
      </c>
      <c r="D128" s="412" t="s">
        <v>1236</v>
      </c>
      <c r="E128" s="353"/>
    </row>
    <row r="129" spans="1:5" ht="28.5" customHeight="1">
      <c r="A129" s="411">
        <v>26</v>
      </c>
      <c r="B129" s="376"/>
      <c r="C129" s="375" t="s">
        <v>1235</v>
      </c>
      <c r="D129" s="410" t="s">
        <v>456</v>
      </c>
      <c r="E129" s="409"/>
    </row>
    <row r="130" spans="1:5" ht="129" customHeight="1">
      <c r="A130" s="372">
        <v>27</v>
      </c>
      <c r="B130" s="365" t="s">
        <v>983</v>
      </c>
      <c r="C130" s="408" t="s">
        <v>1234</v>
      </c>
      <c r="D130" s="407" t="s">
        <v>1657</v>
      </c>
      <c r="E130" s="406"/>
    </row>
    <row r="131" spans="1:5" ht="35.25" customHeight="1">
      <c r="A131" s="372"/>
      <c r="B131" s="365" t="s">
        <v>981</v>
      </c>
      <c r="C131" s="403" t="s">
        <v>1233</v>
      </c>
      <c r="D131" s="405"/>
      <c r="E131" s="353"/>
    </row>
    <row r="132" spans="1:5" ht="18.75" customHeight="1">
      <c r="A132" s="404"/>
      <c r="B132" s="365" t="s">
        <v>1119</v>
      </c>
      <c r="C132" s="403" t="s">
        <v>1232</v>
      </c>
      <c r="D132" s="402"/>
      <c r="E132" s="353"/>
    </row>
    <row r="133" spans="1:5" ht="32.25" customHeight="1">
      <c r="A133" s="372"/>
      <c r="B133" s="365" t="s">
        <v>996</v>
      </c>
      <c r="C133" s="403" t="s">
        <v>1123</v>
      </c>
      <c r="D133" s="402" t="s">
        <v>459</v>
      </c>
      <c r="E133" s="353"/>
    </row>
    <row r="134" spans="1:5" ht="19.5" customHeight="1">
      <c r="A134" s="404"/>
      <c r="B134" s="365" t="s">
        <v>995</v>
      </c>
      <c r="C134" s="403" t="s">
        <v>1122</v>
      </c>
      <c r="D134" s="402" t="s">
        <v>459</v>
      </c>
      <c r="E134" s="353"/>
    </row>
    <row r="135" spans="1:5" ht="30.75" customHeight="1">
      <c r="A135" s="372"/>
      <c r="B135" s="371" t="s">
        <v>994</v>
      </c>
      <c r="C135" s="403" t="s">
        <v>1231</v>
      </c>
      <c r="D135" s="402"/>
      <c r="E135" s="353"/>
    </row>
    <row r="136" spans="1:5" ht="30.75" customHeight="1">
      <c r="A136" s="404"/>
      <c r="B136" s="371"/>
      <c r="C136" s="403" t="s">
        <v>1230</v>
      </c>
      <c r="D136" s="402" t="s">
        <v>464</v>
      </c>
      <c r="E136" s="353"/>
    </row>
    <row r="137" spans="1:5" ht="28.5">
      <c r="A137" s="401">
        <v>28</v>
      </c>
      <c r="B137" s="400" t="s">
        <v>983</v>
      </c>
      <c r="C137" s="399" t="s">
        <v>1229</v>
      </c>
      <c r="D137" s="948" t="s">
        <v>1658</v>
      </c>
      <c r="E137" s="398"/>
    </row>
    <row r="138" spans="1:5" ht="14.25" customHeight="1">
      <c r="A138" s="946"/>
      <c r="B138" s="959" t="s">
        <v>1224</v>
      </c>
      <c r="C138" s="953" t="s">
        <v>1228</v>
      </c>
      <c r="D138" s="949"/>
      <c r="E138" s="373"/>
    </row>
    <row r="139" spans="1:5" ht="5.25" customHeight="1">
      <c r="A139" s="947"/>
      <c r="B139" s="960"/>
      <c r="C139" s="955"/>
      <c r="D139" s="949"/>
      <c r="E139" s="373"/>
    </row>
    <row r="140" spans="1:5" ht="21" customHeight="1">
      <c r="A140" s="1003"/>
      <c r="B140" s="959" t="s">
        <v>1213</v>
      </c>
      <c r="C140" s="953" t="s">
        <v>1227</v>
      </c>
      <c r="D140" s="949"/>
      <c r="E140" s="373"/>
    </row>
    <row r="141" spans="1:5" ht="11.25" hidden="1" customHeight="1">
      <c r="A141" s="1004"/>
      <c r="B141" s="960"/>
      <c r="C141" s="955"/>
      <c r="D141" s="949"/>
      <c r="E141" s="373"/>
    </row>
    <row r="142" spans="1:5" ht="14.25" customHeight="1">
      <c r="A142" s="1003"/>
      <c r="B142" s="959" t="s">
        <v>1211</v>
      </c>
      <c r="C142" s="953" t="s">
        <v>1208</v>
      </c>
      <c r="D142" s="949"/>
      <c r="E142" s="373"/>
    </row>
    <row r="143" spans="1:5" ht="6" customHeight="1">
      <c r="A143" s="1004"/>
      <c r="B143" s="960"/>
      <c r="C143" s="955"/>
      <c r="D143" s="949"/>
      <c r="E143" s="373"/>
    </row>
    <row r="144" spans="1:5" ht="14.25" customHeight="1">
      <c r="A144" s="1003"/>
      <c r="B144" s="959" t="s">
        <v>1209</v>
      </c>
      <c r="C144" s="953" t="s">
        <v>1206</v>
      </c>
      <c r="D144" s="949"/>
      <c r="E144" s="373"/>
    </row>
    <row r="145" spans="1:5" ht="5.25" customHeight="1">
      <c r="A145" s="1004"/>
      <c r="B145" s="960"/>
      <c r="C145" s="955"/>
      <c r="D145" s="949"/>
      <c r="E145" s="373"/>
    </row>
    <row r="146" spans="1:5" ht="15" customHeight="1">
      <c r="A146" s="1003"/>
      <c r="B146" s="959" t="s">
        <v>1207</v>
      </c>
      <c r="C146" s="953" t="s">
        <v>1204</v>
      </c>
      <c r="D146" s="949"/>
      <c r="E146" s="373"/>
    </row>
    <row r="147" spans="1:5" ht="6" customHeight="1">
      <c r="A147" s="1004"/>
      <c r="B147" s="960"/>
      <c r="C147" s="955"/>
      <c r="D147" s="397"/>
      <c r="E147" s="373"/>
    </row>
    <row r="148" spans="1:5" ht="58.5" customHeight="1">
      <c r="A148" s="390"/>
      <c r="B148" s="395" t="s">
        <v>981</v>
      </c>
      <c r="C148" s="370" t="s">
        <v>1226</v>
      </c>
      <c r="D148" s="396" t="s">
        <v>456</v>
      </c>
      <c r="E148" s="373"/>
    </row>
    <row r="149" spans="1:5">
      <c r="A149" s="958"/>
      <c r="B149" s="1005" t="s">
        <v>1121</v>
      </c>
      <c r="C149" s="1007" t="s">
        <v>1225</v>
      </c>
      <c r="D149" s="943"/>
      <c r="E149" s="379"/>
    </row>
    <row r="150" spans="1:5" ht="6" customHeight="1">
      <c r="A150" s="951"/>
      <c r="B150" s="1006"/>
      <c r="C150" s="1008"/>
      <c r="D150" s="944"/>
      <c r="E150" s="379"/>
    </row>
    <row r="151" spans="1:5">
      <c r="A151" s="958"/>
      <c r="B151" s="1009" t="s">
        <v>1224</v>
      </c>
      <c r="C151" s="1011" t="s">
        <v>1223</v>
      </c>
      <c r="D151" s="943" t="s">
        <v>456</v>
      </c>
      <c r="E151" s="379"/>
    </row>
    <row r="152" spans="1:5" ht="5.25" customHeight="1">
      <c r="A152" s="951"/>
      <c r="B152" s="1010"/>
      <c r="C152" s="1012"/>
      <c r="D152" s="944"/>
      <c r="E152" s="379"/>
    </row>
    <row r="153" spans="1:5">
      <c r="A153" s="958"/>
      <c r="B153" s="959" t="s">
        <v>1213</v>
      </c>
      <c r="C153" s="953" t="s">
        <v>1212</v>
      </c>
      <c r="D153" s="943" t="str">
        <f>D151</f>
        <v>NIL</v>
      </c>
      <c r="E153" s="379"/>
    </row>
    <row r="154" spans="1:5" ht="6" customHeight="1">
      <c r="A154" s="951"/>
      <c r="B154" s="960"/>
      <c r="C154" s="955"/>
      <c r="D154" s="944"/>
      <c r="E154" s="379"/>
    </row>
    <row r="155" spans="1:5">
      <c r="A155" s="958"/>
      <c r="B155" s="959" t="s">
        <v>1211</v>
      </c>
      <c r="C155" s="953" t="s">
        <v>1222</v>
      </c>
      <c r="D155" s="943" t="str">
        <f>D153</f>
        <v>NIL</v>
      </c>
      <c r="E155" s="393"/>
    </row>
    <row r="156" spans="1:5" ht="4.5" customHeight="1">
      <c r="A156" s="951"/>
      <c r="B156" s="960"/>
      <c r="C156" s="955"/>
      <c r="D156" s="944"/>
      <c r="E156" s="393"/>
    </row>
    <row r="157" spans="1:5">
      <c r="A157" s="958"/>
      <c r="B157" s="959" t="s">
        <v>1209</v>
      </c>
      <c r="C157" s="963" t="s">
        <v>1208</v>
      </c>
      <c r="D157" s="943" t="s">
        <v>456</v>
      </c>
      <c r="E157" s="393"/>
    </row>
    <row r="158" spans="1:5" ht="5.25" customHeight="1">
      <c r="A158" s="951"/>
      <c r="B158" s="960"/>
      <c r="C158" s="964"/>
      <c r="D158" s="944"/>
      <c r="E158" s="393"/>
    </row>
    <row r="159" spans="1:5">
      <c r="A159" s="958"/>
      <c r="B159" s="959" t="s">
        <v>1207</v>
      </c>
      <c r="C159" s="953" t="s">
        <v>1206</v>
      </c>
      <c r="D159" s="943" t="str">
        <f>D155</f>
        <v>NIL</v>
      </c>
      <c r="E159" s="393"/>
    </row>
    <row r="160" spans="1:5" ht="5.25" customHeight="1">
      <c r="A160" s="951"/>
      <c r="B160" s="960"/>
      <c r="C160" s="955"/>
      <c r="D160" s="944"/>
      <c r="E160" s="393"/>
    </row>
    <row r="161" spans="1:5">
      <c r="A161" s="958"/>
      <c r="B161" s="959" t="s">
        <v>1205</v>
      </c>
      <c r="C161" s="953" t="s">
        <v>1221</v>
      </c>
      <c r="D161" s="1013" t="str">
        <f>D159</f>
        <v>NIL</v>
      </c>
      <c r="E161" s="379"/>
    </row>
    <row r="162" spans="1:5" ht="4.5" customHeight="1">
      <c r="A162" s="951"/>
      <c r="B162" s="960"/>
      <c r="C162" s="955"/>
      <c r="D162" s="944"/>
      <c r="E162" s="379"/>
    </row>
    <row r="163" spans="1:5">
      <c r="A163" s="1015"/>
      <c r="B163" s="959" t="s">
        <v>1220</v>
      </c>
      <c r="C163" s="953" t="s">
        <v>1219</v>
      </c>
      <c r="D163" s="1013" t="str">
        <f>D161</f>
        <v>NIL</v>
      </c>
      <c r="E163" s="379"/>
    </row>
    <row r="164" spans="1:5" ht="4.5" customHeight="1">
      <c r="A164" s="951"/>
      <c r="B164" s="960"/>
      <c r="C164" s="955"/>
      <c r="D164" s="944"/>
      <c r="E164" s="379"/>
    </row>
    <row r="165" spans="1:5">
      <c r="A165" s="958"/>
      <c r="B165" s="959" t="s">
        <v>1218</v>
      </c>
      <c r="C165" s="953" t="s">
        <v>1217</v>
      </c>
      <c r="D165" s="943" t="s">
        <v>456</v>
      </c>
      <c r="E165" s="379"/>
    </row>
    <row r="166" spans="1:5" ht="3.75" customHeight="1">
      <c r="A166" s="951"/>
      <c r="B166" s="960"/>
      <c r="C166" s="955"/>
      <c r="D166" s="944"/>
      <c r="E166" s="379"/>
    </row>
    <row r="167" spans="1:5">
      <c r="A167" s="958"/>
      <c r="B167" s="1014" t="s">
        <v>1120</v>
      </c>
      <c r="C167" s="1007" t="s">
        <v>1216</v>
      </c>
      <c r="D167" s="943"/>
      <c r="E167" s="379"/>
    </row>
    <row r="168" spans="1:5" ht="6" customHeight="1">
      <c r="A168" s="951"/>
      <c r="B168" s="1006"/>
      <c r="C168" s="955"/>
      <c r="D168" s="944"/>
      <c r="E168" s="379"/>
    </row>
    <row r="169" spans="1:5">
      <c r="A169" s="958"/>
      <c r="B169" s="959" t="s">
        <v>1215</v>
      </c>
      <c r="C169" s="953" t="s">
        <v>1214</v>
      </c>
      <c r="D169" s="1013" t="str">
        <f>D161</f>
        <v>NIL</v>
      </c>
      <c r="E169" s="379"/>
    </row>
    <row r="170" spans="1:5" ht="6" customHeight="1">
      <c r="A170" s="951"/>
      <c r="B170" s="960"/>
      <c r="C170" s="955"/>
      <c r="D170" s="944"/>
      <c r="E170" s="379"/>
    </row>
    <row r="171" spans="1:5">
      <c r="A171" s="958"/>
      <c r="B171" s="959" t="s">
        <v>1213</v>
      </c>
      <c r="C171" s="953" t="s">
        <v>1212</v>
      </c>
      <c r="D171" s="1013" t="str">
        <f>D169</f>
        <v>NIL</v>
      </c>
      <c r="E171" s="379"/>
    </row>
    <row r="172" spans="1:5" ht="6" customHeight="1">
      <c r="A172" s="951"/>
      <c r="B172" s="960"/>
      <c r="C172" s="955"/>
      <c r="D172" s="944"/>
      <c r="E172" s="379"/>
    </row>
    <row r="173" spans="1:5">
      <c r="A173" s="390"/>
      <c r="B173" s="365" t="s">
        <v>1211</v>
      </c>
      <c r="C173" s="370" t="s">
        <v>1210</v>
      </c>
      <c r="D173" s="391" t="str">
        <f>D171</f>
        <v>NIL</v>
      </c>
      <c r="E173" s="353"/>
    </row>
    <row r="174" spans="1:5">
      <c r="A174" s="958"/>
      <c r="B174" s="959" t="s">
        <v>1209</v>
      </c>
      <c r="C174" s="953" t="s">
        <v>1208</v>
      </c>
      <c r="D174" s="1013" t="str">
        <f>D173</f>
        <v>NIL</v>
      </c>
      <c r="E174" s="379"/>
    </row>
    <row r="175" spans="1:5" ht="6" customHeight="1">
      <c r="A175" s="951"/>
      <c r="B175" s="960"/>
      <c r="C175" s="955"/>
      <c r="D175" s="944"/>
      <c r="E175" s="379"/>
    </row>
    <row r="176" spans="1:5">
      <c r="A176" s="958"/>
      <c r="B176" s="959" t="s">
        <v>1207</v>
      </c>
      <c r="C176" s="953" t="s">
        <v>1206</v>
      </c>
      <c r="D176" s="1013" t="str">
        <f>D174</f>
        <v>NIL</v>
      </c>
      <c r="E176" s="379"/>
    </row>
    <row r="177" spans="1:5" ht="5.25" customHeight="1">
      <c r="A177" s="951"/>
      <c r="B177" s="960"/>
      <c r="C177" s="955"/>
      <c r="D177" s="944"/>
      <c r="E177" s="379"/>
    </row>
    <row r="178" spans="1:5" ht="16.5" customHeight="1">
      <c r="A178" s="390"/>
      <c r="B178" s="365" t="s">
        <v>1205</v>
      </c>
      <c r="C178" s="382" t="s">
        <v>1204</v>
      </c>
      <c r="D178" s="389" t="s">
        <v>456</v>
      </c>
      <c r="E178" s="353"/>
    </row>
    <row r="179" spans="1:5">
      <c r="A179" s="1016"/>
      <c r="B179" s="1017"/>
      <c r="C179" s="1018" t="s">
        <v>1203</v>
      </c>
      <c r="D179" s="336"/>
      <c r="E179" s="353"/>
    </row>
    <row r="180" spans="1:5">
      <c r="A180" s="1016"/>
      <c r="B180" s="1017"/>
      <c r="C180" s="1018"/>
      <c r="D180" s="336"/>
      <c r="E180" s="353"/>
    </row>
    <row r="181" spans="1:5">
      <c r="A181" s="387"/>
      <c r="B181" s="386"/>
      <c r="C181" s="385"/>
      <c r="D181" s="384"/>
      <c r="E181" s="353"/>
    </row>
    <row r="182" spans="1:5" ht="42.75">
      <c r="A182" s="377">
        <v>29</v>
      </c>
      <c r="B182" s="376"/>
      <c r="C182" s="375" t="s">
        <v>1202</v>
      </c>
      <c r="D182" s="943" t="s">
        <v>1114</v>
      </c>
      <c r="E182" s="379"/>
    </row>
    <row r="183" spans="1:5" ht="12.75" customHeight="1">
      <c r="A183" s="958"/>
      <c r="B183" s="959" t="s">
        <v>983</v>
      </c>
      <c r="C183" s="953" t="s">
        <v>1118</v>
      </c>
      <c r="D183" s="945"/>
      <c r="E183" s="379"/>
    </row>
    <row r="184" spans="1:5" ht="4.5" customHeight="1">
      <c r="A184" s="951"/>
      <c r="B184" s="960"/>
      <c r="C184" s="955"/>
      <c r="D184" s="945"/>
      <c r="E184" s="379"/>
    </row>
    <row r="185" spans="1:5" ht="12.75" customHeight="1">
      <c r="A185" s="958"/>
      <c r="B185" s="959" t="s">
        <v>981</v>
      </c>
      <c r="C185" s="953" t="s">
        <v>1117</v>
      </c>
      <c r="D185" s="945"/>
      <c r="E185" s="379"/>
    </row>
    <row r="186" spans="1:5" ht="5.25" customHeight="1">
      <c r="A186" s="951"/>
      <c r="B186" s="960"/>
      <c r="C186" s="955"/>
      <c r="D186" s="945"/>
      <c r="E186" s="379"/>
    </row>
    <row r="187" spans="1:5" ht="12.75" customHeight="1">
      <c r="A187" s="958"/>
      <c r="B187" s="959" t="s">
        <v>1113</v>
      </c>
      <c r="C187" s="953" t="s">
        <v>1116</v>
      </c>
      <c r="D187" s="945"/>
      <c r="E187" s="379"/>
    </row>
    <row r="188" spans="1:5" ht="5.25" customHeight="1">
      <c r="A188" s="951"/>
      <c r="B188" s="960"/>
      <c r="C188" s="955"/>
      <c r="D188" s="944"/>
      <c r="E188" s="379"/>
    </row>
    <row r="189" spans="1:5" ht="44.25" customHeight="1">
      <c r="A189" s="378">
        <v>30</v>
      </c>
      <c r="B189" s="376"/>
      <c r="C189" s="375" t="s">
        <v>1201</v>
      </c>
      <c r="D189" s="374" t="s">
        <v>1114</v>
      </c>
      <c r="E189" s="373"/>
    </row>
    <row r="190" spans="1:5" ht="57" customHeight="1">
      <c r="A190" s="377" t="s">
        <v>1200</v>
      </c>
      <c r="B190" s="376"/>
      <c r="C190" s="375" t="s">
        <v>1115</v>
      </c>
      <c r="D190" s="374" t="s">
        <v>1114</v>
      </c>
      <c r="E190" s="373"/>
    </row>
    <row r="191" spans="1:5">
      <c r="A191" s="372">
        <v>32</v>
      </c>
      <c r="B191" s="371"/>
      <c r="C191" s="370" t="s">
        <v>1199</v>
      </c>
      <c r="D191" s="369"/>
      <c r="E191" s="353"/>
    </row>
    <row r="192" spans="1:5" ht="12.75" customHeight="1">
      <c r="A192" s="958"/>
      <c r="B192" s="959" t="s">
        <v>983</v>
      </c>
      <c r="C192" s="959" t="s">
        <v>1198</v>
      </c>
      <c r="D192" s="368" t="e">
        <f>(PL!F11+PL!F12-PL!F17-PL!F18-PL!F19)/PL!F11</f>
        <v>#DIV/0!</v>
      </c>
      <c r="E192" s="357"/>
    </row>
    <row r="193" spans="1:6" ht="4.5" customHeight="1">
      <c r="A193" s="951"/>
      <c r="B193" s="960"/>
      <c r="C193" s="960"/>
      <c r="D193" s="367"/>
      <c r="E193" s="357"/>
    </row>
    <row r="194" spans="1:6" ht="14.25" customHeight="1">
      <c r="A194" s="958"/>
      <c r="B194" s="959" t="s">
        <v>981</v>
      </c>
      <c r="C194" s="959" t="s">
        <v>1197</v>
      </c>
      <c r="D194" s="368" t="e">
        <f>PL!F26/PL!F11</f>
        <v>#DIV/0!</v>
      </c>
      <c r="E194" s="357"/>
    </row>
    <row r="195" spans="1:6" ht="5.25" customHeight="1">
      <c r="A195" s="951"/>
      <c r="B195" s="960"/>
      <c r="C195" s="960"/>
      <c r="D195" s="367"/>
      <c r="E195" s="357"/>
    </row>
    <row r="196" spans="1:6" ht="14.25" customHeight="1">
      <c r="A196" s="958"/>
      <c r="B196" s="959" t="s">
        <v>1113</v>
      </c>
      <c r="C196" s="959" t="s">
        <v>1196</v>
      </c>
      <c r="D196" s="364" t="e">
        <f>BS!F45/PL!F11</f>
        <v>#DIV/0!</v>
      </c>
      <c r="E196" s="357"/>
    </row>
    <row r="197" spans="1:6" ht="5.25" customHeight="1">
      <c r="A197" s="951"/>
      <c r="B197" s="960"/>
      <c r="C197" s="960"/>
      <c r="D197" s="362"/>
      <c r="E197" s="357"/>
    </row>
    <row r="198" spans="1:6" ht="15" thickBot="1">
      <c r="A198" s="361"/>
      <c r="B198" s="360" t="s">
        <v>977</v>
      </c>
      <c r="C198" s="359" t="s">
        <v>1195</v>
      </c>
      <c r="D198" s="358" t="s">
        <v>1114</v>
      </c>
      <c r="E198" s="357"/>
    </row>
    <row r="199" spans="1:6">
      <c r="A199" s="356"/>
      <c r="B199" s="355"/>
      <c r="C199" s="354"/>
      <c r="D199" s="336"/>
      <c r="E199" s="353"/>
    </row>
    <row r="200" spans="1:6">
      <c r="A200" s="356"/>
      <c r="B200" s="355"/>
      <c r="C200" s="354"/>
      <c r="D200" s="336"/>
      <c r="E200" s="353"/>
    </row>
    <row r="201" spans="1:6" ht="15.75">
      <c r="A201" s="352"/>
      <c r="B201" s="351" t="str">
        <f>master!B36</f>
        <v>ABC &amp; CO</v>
      </c>
      <c r="C201" s="350"/>
      <c r="D201" s="349"/>
      <c r="E201" s="329"/>
      <c r="F201" s="329"/>
    </row>
    <row r="202" spans="1:6" ht="15.75">
      <c r="A202" s="339"/>
      <c r="B202" s="338" t="s">
        <v>40</v>
      </c>
      <c r="C202" s="348"/>
      <c r="D202" s="340"/>
      <c r="E202" s="329"/>
      <c r="F202" s="329"/>
    </row>
    <row r="203" spans="1:6" ht="15.75">
      <c r="A203" s="339"/>
      <c r="B203" s="338" t="str">
        <f>CONCATENATE("Firm Regn.No.",master!B37)</f>
        <v>Firm Regn.No.18, Satellite,</v>
      </c>
      <c r="C203" s="348"/>
      <c r="D203" s="340"/>
      <c r="E203" s="329"/>
      <c r="F203" s="329"/>
    </row>
    <row r="204" spans="1:6" ht="15.75">
      <c r="A204" s="339"/>
      <c r="B204" s="338"/>
      <c r="C204" s="348"/>
      <c r="D204" s="340"/>
      <c r="E204" s="329"/>
      <c r="F204" s="329"/>
    </row>
    <row r="205" spans="1:6" ht="15.75">
      <c r="A205" s="339"/>
      <c r="B205" s="348"/>
      <c r="C205" s="348"/>
      <c r="D205" s="340"/>
      <c r="E205" s="329"/>
      <c r="F205" s="329"/>
    </row>
    <row r="206" spans="1:6" ht="15.75">
      <c r="A206" s="347"/>
      <c r="B206" s="344" t="str">
        <f>master!B42</f>
        <v>, Prop.)</v>
      </c>
      <c r="C206" s="342"/>
      <c r="D206" s="346"/>
      <c r="E206" s="328"/>
      <c r="F206" s="345"/>
    </row>
    <row r="207" spans="1:6" ht="15.75">
      <c r="A207" s="343"/>
      <c r="B207" s="344" t="str">
        <f>master!B43</f>
        <v>99999</v>
      </c>
      <c r="C207" s="341"/>
      <c r="D207" s="340"/>
      <c r="F207" s="328"/>
    </row>
    <row r="208" spans="1:6" ht="15.75">
      <c r="A208" s="343"/>
      <c r="B208" s="344" t="str">
        <f>CONCATENATE("M. No.",master!B44)</f>
        <v>M. No.DELHI</v>
      </c>
      <c r="C208" s="341"/>
      <c r="D208" s="340"/>
      <c r="F208" s="328"/>
    </row>
    <row r="209" spans="1:7" ht="15.75">
      <c r="A209" s="343"/>
      <c r="B209" s="342"/>
      <c r="C209" s="341"/>
      <c r="D209" s="340"/>
      <c r="E209" s="329"/>
      <c r="F209" s="328"/>
      <c r="G209" s="328"/>
    </row>
    <row r="210" spans="1:7" ht="15.75">
      <c r="A210" s="339"/>
      <c r="B210" s="338" t="s">
        <v>1105</v>
      </c>
      <c r="C210" s="337" t="str">
        <f>master!B45</f>
        <v>DELHI</v>
      </c>
      <c r="D210" s="336"/>
      <c r="E210" s="331"/>
      <c r="F210" s="331"/>
      <c r="G210" s="331"/>
    </row>
    <row r="211" spans="1:7" ht="16.5" thickBot="1">
      <c r="A211" s="335"/>
      <c r="B211" s="334" t="s">
        <v>1104</v>
      </c>
      <c r="C211" s="333" t="str">
        <f>master!B46</f>
        <v>01/09/2012</v>
      </c>
      <c r="D211" s="332"/>
      <c r="E211" s="331"/>
      <c r="F211" s="331"/>
      <c r="G211" s="331"/>
    </row>
    <row r="212" spans="1:7" ht="15.75">
      <c r="A212" s="329"/>
      <c r="B212" s="1019"/>
      <c r="C212" s="1019"/>
      <c r="D212" s="330"/>
      <c r="E212" s="329"/>
      <c r="F212" s="1020"/>
      <c r="G212" s="1020"/>
    </row>
    <row r="213" spans="1:7">
      <c r="A213" s="326" t="s">
        <v>1194</v>
      </c>
    </row>
    <row r="214" spans="1:7">
      <c r="A214" s="326" t="s">
        <v>1193</v>
      </c>
    </row>
    <row r="216" spans="1:7">
      <c r="A216" s="942" t="s">
        <v>1192</v>
      </c>
      <c r="B216" s="942"/>
      <c r="C216" s="942"/>
      <c r="D216" s="942"/>
    </row>
    <row r="217" spans="1:7">
      <c r="A217" s="942"/>
      <c r="B217" s="942"/>
      <c r="C217" s="942"/>
      <c r="D217" s="942"/>
    </row>
  </sheetData>
  <mergeCells count="178">
    <mergeCell ref="B212:C212"/>
    <mergeCell ref="F212:G212"/>
    <mergeCell ref="A196:A197"/>
    <mergeCell ref="B196:B197"/>
    <mergeCell ref="C196:C197"/>
    <mergeCell ref="A192:A193"/>
    <mergeCell ref="B192:B193"/>
    <mergeCell ref="C192:C193"/>
    <mergeCell ref="A194:A195"/>
    <mergeCell ref="B194:B195"/>
    <mergeCell ref="C194:C195"/>
    <mergeCell ref="A183:A184"/>
    <mergeCell ref="B183:B184"/>
    <mergeCell ref="C183:C184"/>
    <mergeCell ref="A187:A188"/>
    <mergeCell ref="B187:B188"/>
    <mergeCell ref="C187:C188"/>
    <mergeCell ref="A185:A186"/>
    <mergeCell ref="B185:B186"/>
    <mergeCell ref="C185:C186"/>
    <mergeCell ref="A176:A177"/>
    <mergeCell ref="B176:B177"/>
    <mergeCell ref="C176:C177"/>
    <mergeCell ref="D176:D177"/>
    <mergeCell ref="A179:A180"/>
    <mergeCell ref="B179:B180"/>
    <mergeCell ref="C179:C180"/>
    <mergeCell ref="A171:A172"/>
    <mergeCell ref="B171:B172"/>
    <mergeCell ref="C171:C172"/>
    <mergeCell ref="D171:D172"/>
    <mergeCell ref="A174:A175"/>
    <mergeCell ref="B174:B175"/>
    <mergeCell ref="C174:C175"/>
    <mergeCell ref="D174:D175"/>
    <mergeCell ref="A169:A170"/>
    <mergeCell ref="B169:B170"/>
    <mergeCell ref="C169:C170"/>
    <mergeCell ref="D169:D170"/>
    <mergeCell ref="A163:A164"/>
    <mergeCell ref="B163:B164"/>
    <mergeCell ref="C163:C164"/>
    <mergeCell ref="D163:D164"/>
    <mergeCell ref="A165:A166"/>
    <mergeCell ref="B165:B166"/>
    <mergeCell ref="C165:C166"/>
    <mergeCell ref="D165:D166"/>
    <mergeCell ref="A161:A162"/>
    <mergeCell ref="B161:B162"/>
    <mergeCell ref="C161:C162"/>
    <mergeCell ref="D161:D162"/>
    <mergeCell ref="A155:A156"/>
    <mergeCell ref="B155:B156"/>
    <mergeCell ref="C155:C156"/>
    <mergeCell ref="D153:D154"/>
    <mergeCell ref="A167:A168"/>
    <mergeCell ref="B167:B168"/>
    <mergeCell ref="C167:C168"/>
    <mergeCell ref="D167:D168"/>
    <mergeCell ref="D151:D152"/>
    <mergeCell ref="A159:A160"/>
    <mergeCell ref="B159:B160"/>
    <mergeCell ref="C159:C160"/>
    <mergeCell ref="D159:D160"/>
    <mergeCell ref="A157:A158"/>
    <mergeCell ref="B157:B158"/>
    <mergeCell ref="C157:C158"/>
    <mergeCell ref="D157:D158"/>
    <mergeCell ref="A153:A154"/>
    <mergeCell ref="B153:B154"/>
    <mergeCell ref="D155:D156"/>
    <mergeCell ref="A144:A145"/>
    <mergeCell ref="B144:B145"/>
    <mergeCell ref="B146:B147"/>
    <mergeCell ref="C146:C147"/>
    <mergeCell ref="A149:A150"/>
    <mergeCell ref="B149:B150"/>
    <mergeCell ref="C149:C150"/>
    <mergeCell ref="C153:C154"/>
    <mergeCell ref="A142:A143"/>
    <mergeCell ref="B142:B143"/>
    <mergeCell ref="C142:C143"/>
    <mergeCell ref="C144:C145"/>
    <mergeCell ref="A151:A152"/>
    <mergeCell ref="B151:B152"/>
    <mergeCell ref="C151:C152"/>
    <mergeCell ref="A146:A147"/>
    <mergeCell ref="A115:A116"/>
    <mergeCell ref="B115:B116"/>
    <mergeCell ref="C115:C116"/>
    <mergeCell ref="C138:C139"/>
    <mergeCell ref="B138:B139"/>
    <mergeCell ref="A140:A141"/>
    <mergeCell ref="B140:B141"/>
    <mergeCell ref="C140:C141"/>
    <mergeCell ref="D115:D116"/>
    <mergeCell ref="B78:B79"/>
    <mergeCell ref="C78:C79"/>
    <mergeCell ref="A96:A97"/>
    <mergeCell ref="B96:B97"/>
    <mergeCell ref="C96:C97"/>
    <mergeCell ref="A98:A99"/>
    <mergeCell ref="B98:B99"/>
    <mergeCell ref="C98:C99"/>
    <mergeCell ref="D78:D79"/>
    <mergeCell ref="A51:A52"/>
    <mergeCell ref="B51:B52"/>
    <mergeCell ref="C51:C52"/>
    <mergeCell ref="C49:C50"/>
    <mergeCell ref="D49:D50"/>
    <mergeCell ref="D63:D64"/>
    <mergeCell ref="A74:A75"/>
    <mergeCell ref="B74:B75"/>
    <mergeCell ref="C74:C75"/>
    <mergeCell ref="D74:D75"/>
    <mergeCell ref="A72:A73"/>
    <mergeCell ref="B72:B73"/>
    <mergeCell ref="C72:C73"/>
    <mergeCell ref="D72:D73"/>
    <mergeCell ref="A1:D1"/>
    <mergeCell ref="D12:D13"/>
    <mergeCell ref="A31:A32"/>
    <mergeCell ref="B31:B32"/>
    <mergeCell ref="C31:C32"/>
    <mergeCell ref="D31:D32"/>
    <mergeCell ref="B45:B46"/>
    <mergeCell ref="C45:C46"/>
    <mergeCell ref="D45:D46"/>
    <mergeCell ref="B18:C19"/>
    <mergeCell ref="D18:D19"/>
    <mergeCell ref="A26:A27"/>
    <mergeCell ref="B26:B27"/>
    <mergeCell ref="C26:C27"/>
    <mergeCell ref="A20:D20"/>
    <mergeCell ref="A21:A24"/>
    <mergeCell ref="B21:B24"/>
    <mergeCell ref="D26:D27"/>
    <mergeCell ref="C21:C23"/>
    <mergeCell ref="A45:A46"/>
    <mergeCell ref="A18:A19"/>
    <mergeCell ref="B7:C8"/>
    <mergeCell ref="D7:D8"/>
    <mergeCell ref="A4:D4"/>
    <mergeCell ref="A9:A11"/>
    <mergeCell ref="B9:C11"/>
    <mergeCell ref="A14:A15"/>
    <mergeCell ref="D16:D17"/>
    <mergeCell ref="A2:D2"/>
    <mergeCell ref="A3:D3"/>
    <mergeCell ref="A5:D5"/>
    <mergeCell ref="A6:D6"/>
    <mergeCell ref="A7:A8"/>
    <mergeCell ref="A12:A13"/>
    <mergeCell ref="B12:C13"/>
    <mergeCell ref="A216:D217"/>
    <mergeCell ref="D149:D150"/>
    <mergeCell ref="D182:D188"/>
    <mergeCell ref="A138:A139"/>
    <mergeCell ref="D137:D146"/>
    <mergeCell ref="A16:A17"/>
    <mergeCell ref="B16:C17"/>
    <mergeCell ref="B14:C15"/>
    <mergeCell ref="D14:D15"/>
    <mergeCell ref="A49:A50"/>
    <mergeCell ref="B49:B50"/>
    <mergeCell ref="A78:A79"/>
    <mergeCell ref="D51:D52"/>
    <mergeCell ref="A68:A69"/>
    <mergeCell ref="B68:B69"/>
    <mergeCell ref="C68:C69"/>
    <mergeCell ref="D68:D69"/>
    <mergeCell ref="A63:A64"/>
    <mergeCell ref="B63:B64"/>
    <mergeCell ref="C63:C64"/>
    <mergeCell ref="A58:A59"/>
    <mergeCell ref="B58:B59"/>
    <mergeCell ref="C58:C59"/>
    <mergeCell ref="D58:D59"/>
  </mergeCells>
  <printOptions horizontalCentered="1"/>
  <pageMargins left="0.34" right="0.34" top="0.6" bottom="0.6" header="0.39" footer="0.24"/>
  <pageSetup paperSize="40" scale="85" orientation="portrait" horizontalDpi="180" verticalDpi="180" r:id="rId1"/>
  <headerFooter alignWithMargins="0"/>
  <legacyDrawing r:id="rId2"/>
</worksheet>
</file>

<file path=xl/worksheets/sheet55.xml><?xml version="1.0" encoding="utf-8"?>
<worksheet xmlns="http://schemas.openxmlformats.org/spreadsheetml/2006/main" xmlns:r="http://schemas.openxmlformats.org/officeDocument/2006/relationships">
  <dimension ref="A1:E56"/>
  <sheetViews>
    <sheetView topLeftCell="A27" zoomScaleSheetLayoutView="100" workbookViewId="0">
      <selection activeCell="B45" sqref="B45"/>
    </sheetView>
  </sheetViews>
  <sheetFormatPr defaultRowHeight="15"/>
  <cols>
    <col min="1" max="1" width="12.85546875" style="475" customWidth="1"/>
    <col min="2" max="2" width="42.140625" style="475" customWidth="1"/>
    <col min="3" max="3" width="19.28515625" style="475" customWidth="1"/>
    <col min="4" max="4" width="18.7109375" style="475" customWidth="1"/>
    <col min="5" max="5" width="12.28515625" style="475" customWidth="1"/>
    <col min="6" max="16384" width="9.140625" style="475"/>
  </cols>
  <sheetData>
    <row r="1" spans="1:5" ht="20.25">
      <c r="A1" s="1021" t="s">
        <v>1357</v>
      </c>
      <c r="B1" s="1021"/>
      <c r="C1" s="1021"/>
      <c r="D1" s="1021"/>
    </row>
    <row r="3" spans="1:5">
      <c r="B3" s="515" t="s">
        <v>1356</v>
      </c>
    </row>
    <row r="5" spans="1:5" ht="14.25" customHeight="1">
      <c r="A5" s="475" t="s">
        <v>1355</v>
      </c>
      <c r="C5" s="329" t="str">
        <f>'3CD'!D7</f>
        <v>ABC LTD</v>
      </c>
    </row>
    <row r="6" spans="1:5" ht="15.75">
      <c r="C6" s="329" t="s">
        <v>464</v>
      </c>
    </row>
    <row r="7" spans="1:5" ht="15.75">
      <c r="A7" s="475" t="s">
        <v>1354</v>
      </c>
      <c r="B7" s="514"/>
      <c r="C7" s="329" t="str">
        <f>'3CD'!D9</f>
        <v xml:space="preserve">18 Satteleite, </v>
      </c>
      <c r="D7" s="344"/>
      <c r="E7" s="318"/>
    </row>
    <row r="8" spans="1:5" ht="15.75">
      <c r="B8" s="512"/>
      <c r="C8" s="329" t="str">
        <f>'3CD'!D10</f>
        <v xml:space="preserve"> </v>
      </c>
      <c r="D8" s="513"/>
      <c r="E8" s="338"/>
    </row>
    <row r="9" spans="1:5" ht="15.75">
      <c r="B9" s="512"/>
      <c r="C9" s="329" t="str">
        <f>'3CD'!D11</f>
        <v>Ahmedabad</v>
      </c>
      <c r="D9" s="338"/>
      <c r="E9" s="338"/>
    </row>
    <row r="10" spans="1:5" ht="15.75">
      <c r="B10" s="512"/>
      <c r="C10" s="338"/>
      <c r="D10" s="338"/>
      <c r="E10" s="338"/>
    </row>
    <row r="11" spans="1:5">
      <c r="A11" s="475" t="s">
        <v>1353</v>
      </c>
      <c r="C11" s="1022" t="str">
        <f>'3CD'!D12</f>
        <v xml:space="preserve"> </v>
      </c>
      <c r="D11" s="1022"/>
    </row>
    <row r="12" spans="1:5">
      <c r="C12" s="1022"/>
      <c r="D12" s="1022"/>
    </row>
    <row r="13" spans="1:5">
      <c r="A13" s="475" t="s">
        <v>1352</v>
      </c>
      <c r="C13" s="1022" t="str">
        <f>'3CD'!D14</f>
        <v>Private Ltd Company</v>
      </c>
      <c r="D13" s="1022"/>
    </row>
    <row r="14" spans="1:5">
      <c r="C14" s="1022"/>
      <c r="D14" s="1022"/>
    </row>
    <row r="15" spans="1:5">
      <c r="A15" s="475" t="s">
        <v>1351</v>
      </c>
      <c r="C15" s="1022" t="str">
        <f>'3CD'!D16</f>
        <v>31/03/2012</v>
      </c>
      <c r="D15" s="1022"/>
    </row>
    <row r="16" spans="1:5">
      <c r="C16" s="1022"/>
      <c r="D16" s="1022"/>
    </row>
    <row r="17" spans="1:5">
      <c r="A17" s="475" t="s">
        <v>1350</v>
      </c>
      <c r="C17" s="1022" t="str">
        <f>'3CD'!D18</f>
        <v>2012-2013</v>
      </c>
      <c r="D17" s="1022"/>
    </row>
    <row r="18" spans="1:5">
      <c r="C18" s="1022"/>
      <c r="D18" s="1022"/>
    </row>
    <row r="19" spans="1:5">
      <c r="B19" s="491" t="s">
        <v>1349</v>
      </c>
      <c r="C19" s="490"/>
      <c r="D19" s="490"/>
      <c r="E19" s="490"/>
    </row>
    <row r="20" spans="1:5">
      <c r="A20" s="492"/>
      <c r="B20" s="492"/>
      <c r="C20" s="492"/>
      <c r="D20" s="493"/>
      <c r="E20" s="492"/>
    </row>
    <row r="21" spans="1:5">
      <c r="A21" s="511" t="s">
        <v>1348</v>
      </c>
      <c r="B21" s="511" t="s">
        <v>1186</v>
      </c>
      <c r="C21" s="500"/>
      <c r="D21" s="510" t="s">
        <v>1185</v>
      </c>
      <c r="E21" s="492"/>
    </row>
    <row r="22" spans="1:5">
      <c r="A22" s="509"/>
      <c r="B22" s="509" t="s">
        <v>1184</v>
      </c>
      <c r="C22" s="508"/>
      <c r="D22" s="507"/>
      <c r="E22" s="492"/>
    </row>
    <row r="23" spans="1:5">
      <c r="A23" s="509"/>
      <c r="B23" s="509" t="s">
        <v>1183</v>
      </c>
      <c r="C23" s="508"/>
      <c r="D23" s="507"/>
      <c r="E23" s="492"/>
    </row>
    <row r="24" spans="1:5">
      <c r="A24" s="506"/>
      <c r="B24" s="505"/>
      <c r="C24" s="504"/>
      <c r="D24" s="503"/>
      <c r="E24" s="492"/>
    </row>
    <row r="25" spans="1:5">
      <c r="A25" s="502">
        <v>1</v>
      </c>
      <c r="B25" s="501" t="str">
        <f>'3CD'!D26</f>
        <v>Trading in Cotton Fabric</v>
      </c>
      <c r="C25" s="500"/>
      <c r="D25" s="499"/>
      <c r="E25" s="492"/>
    </row>
    <row r="26" spans="1:5">
      <c r="A26" s="498"/>
      <c r="B26" s="497" t="str">
        <f>'C'!C31</f>
        <v>Wholesalers</v>
      </c>
      <c r="C26" s="496"/>
      <c r="D26" s="495">
        <v>203</v>
      </c>
      <c r="E26" s="492"/>
    </row>
    <row r="27" spans="1:5">
      <c r="A27" s="492"/>
      <c r="B27" s="492"/>
      <c r="C27" s="494"/>
      <c r="D27" s="493"/>
      <c r="E27" s="492"/>
    </row>
    <row r="28" spans="1:5">
      <c r="A28" s="1023" t="s">
        <v>1347</v>
      </c>
      <c r="B28" s="1023"/>
      <c r="C28" s="1023"/>
      <c r="D28" s="1023"/>
      <c r="E28" s="490"/>
    </row>
    <row r="29" spans="1:5">
      <c r="A29" s="489"/>
      <c r="B29" s="489"/>
      <c r="C29" s="489"/>
      <c r="D29" s="489"/>
      <c r="E29" s="489"/>
    </row>
    <row r="30" spans="1:5">
      <c r="A30" s="488" t="s">
        <v>1346</v>
      </c>
      <c r="B30" s="487" t="s">
        <v>1181</v>
      </c>
      <c r="C30" s="486" t="s">
        <v>1180</v>
      </c>
      <c r="D30" s="486" t="s">
        <v>1179</v>
      </c>
    </row>
    <row r="31" spans="1:5">
      <c r="A31" s="485"/>
      <c r="B31" s="484"/>
      <c r="C31" s="483" t="s">
        <v>1178</v>
      </c>
      <c r="D31" s="483" t="s">
        <v>1178</v>
      </c>
    </row>
    <row r="32" spans="1:5">
      <c r="A32" s="479">
        <v>1</v>
      </c>
      <c r="B32" s="478" t="s">
        <v>1177</v>
      </c>
      <c r="C32" s="477">
        <f>BS!F9</f>
        <v>100000</v>
      </c>
      <c r="D32" s="477">
        <f>BS!H9</f>
        <v>100000</v>
      </c>
      <c r="E32" s="476"/>
    </row>
    <row r="33" spans="1:5" ht="30">
      <c r="A33" s="479">
        <v>2</v>
      </c>
      <c r="B33" s="480" t="s">
        <v>1176</v>
      </c>
      <c r="C33" s="477">
        <f>BS!F14</f>
        <v>0</v>
      </c>
      <c r="D33" s="477">
        <f>BS!H14</f>
        <v>0</v>
      </c>
      <c r="E33" s="476"/>
    </row>
    <row r="34" spans="1:5">
      <c r="A34" s="479">
        <v>3</v>
      </c>
      <c r="B34" s="478" t="s">
        <v>1175</v>
      </c>
      <c r="C34" s="477">
        <f>BS!F10</f>
        <v>0</v>
      </c>
      <c r="D34" s="477">
        <f>BS!H10</f>
        <v>0</v>
      </c>
      <c r="E34" s="482"/>
    </row>
    <row r="35" spans="1:5">
      <c r="A35" s="479">
        <v>4</v>
      </c>
      <c r="B35" s="478" t="s">
        <v>1174</v>
      </c>
      <c r="C35" s="477">
        <f>'4'!F15+'4'!F23+'4'!F31+'4'!F48+'8'!E7+'8'!E15+'8'!E23+'8'!E31</f>
        <v>0</v>
      </c>
      <c r="D35" s="477">
        <f>'4'!G15+'4'!G23+'4'!G31+'4'!G48+'8'!F7+'8'!F15+'8'!F23+'8'!F31</f>
        <v>0</v>
      </c>
      <c r="E35" s="476"/>
    </row>
    <row r="36" spans="1:5">
      <c r="A36" s="479">
        <v>5</v>
      </c>
      <c r="B36" s="478" t="s">
        <v>1173</v>
      </c>
      <c r="C36" s="477">
        <f>'4'!F11+'4'!F19+'4'!F27+'4'!F35+'4'!F62+'8'!E11+'8'!E19+'8'!E27+'8'!E35</f>
        <v>0</v>
      </c>
      <c r="D36" s="477">
        <f>'4'!G11+'4'!G19+'4'!G27+'4'!G35+'4'!G62+'8'!F11+'8'!F19+'8'!F27+'8'!F35</f>
        <v>0</v>
      </c>
      <c r="E36" s="476"/>
    </row>
    <row r="37" spans="1:5">
      <c r="A37" s="479">
        <v>6</v>
      </c>
      <c r="B37" s="478" t="s">
        <v>1172</v>
      </c>
      <c r="C37" s="477">
        <f>BS!F24+BS!F25+BS!F26</f>
        <v>0</v>
      </c>
      <c r="D37" s="477">
        <f>BS!H24+BS!H25+BS!H26</f>
        <v>0</v>
      </c>
      <c r="E37" s="476"/>
    </row>
    <row r="38" spans="1:5">
      <c r="A38" s="479">
        <v>7</v>
      </c>
      <c r="B38" s="478" t="s">
        <v>1171</v>
      </c>
      <c r="C38" s="481">
        <f>BS!F29</f>
        <v>100000</v>
      </c>
      <c r="D38" s="481">
        <f>BS!H29</f>
        <v>100000</v>
      </c>
      <c r="E38" s="476"/>
    </row>
    <row r="39" spans="1:5">
      <c r="A39" s="479">
        <v>8</v>
      </c>
      <c r="B39" s="478" t="s">
        <v>1170</v>
      </c>
      <c r="C39" s="477">
        <f>PL!F14</f>
        <v>0</v>
      </c>
      <c r="D39" s="477">
        <f>PL!H14</f>
        <v>0</v>
      </c>
      <c r="E39" s="476"/>
    </row>
    <row r="40" spans="1:5">
      <c r="A40" s="479">
        <v>9</v>
      </c>
      <c r="B40" s="478" t="s">
        <v>1169</v>
      </c>
      <c r="C40" s="477">
        <f>(PL!F11+PL!F12-PL!F17-PL!F18-PL!F19)</f>
        <v>0</v>
      </c>
      <c r="D40" s="477">
        <f>(PL!H11+PL!H12-PL!H17-PL!H18-PL!H19)</f>
        <v>0</v>
      </c>
      <c r="E40" s="476"/>
    </row>
    <row r="41" spans="1:5">
      <c r="A41" s="479">
        <v>10</v>
      </c>
      <c r="B41" s="478" t="s">
        <v>1168</v>
      </c>
      <c r="C41" s="477">
        <f>'23'!C7</f>
        <v>0</v>
      </c>
      <c r="D41" s="477">
        <f>'23'!D7</f>
        <v>0</v>
      </c>
      <c r="E41" s="476"/>
    </row>
    <row r="42" spans="1:5">
      <c r="A42" s="479">
        <v>11</v>
      </c>
      <c r="B42" s="478" t="s">
        <v>1167</v>
      </c>
      <c r="C42" s="477">
        <f>'30'!C37</f>
        <v>0</v>
      </c>
      <c r="D42" s="477">
        <f>'30'!D37</f>
        <v>0</v>
      </c>
      <c r="E42" s="476"/>
    </row>
    <row r="43" spans="1:5">
      <c r="A43" s="479">
        <v>12</v>
      </c>
      <c r="B43" s="478" t="s">
        <v>1166</v>
      </c>
      <c r="C43" s="477">
        <f>'23'!C9</f>
        <v>0</v>
      </c>
      <c r="D43" s="477">
        <f>'23'!D9</f>
        <v>0</v>
      </c>
      <c r="E43" s="476"/>
    </row>
    <row r="44" spans="1:5">
      <c r="A44" s="479">
        <v>13</v>
      </c>
      <c r="B44" s="478" t="s">
        <v>1165</v>
      </c>
      <c r="C44" s="477">
        <f>'28'!E7</f>
        <v>0</v>
      </c>
      <c r="D44" s="477">
        <f>'28'!F7</f>
        <v>0</v>
      </c>
      <c r="E44" s="476"/>
    </row>
    <row r="45" spans="1:5">
      <c r="A45" s="479">
        <v>14</v>
      </c>
      <c r="B45" s="478" t="s">
        <v>1164</v>
      </c>
      <c r="C45" s="477">
        <f>PL!F22</f>
        <v>0</v>
      </c>
      <c r="D45" s="477">
        <f>PL!H22</f>
        <v>0</v>
      </c>
      <c r="E45" s="476"/>
    </row>
    <row r="46" spans="1:5" ht="30">
      <c r="A46" s="479">
        <v>15</v>
      </c>
      <c r="B46" s="480" t="s">
        <v>1163</v>
      </c>
      <c r="C46" s="477">
        <f>PL!F33</f>
        <v>0</v>
      </c>
      <c r="D46" s="477">
        <f>PL!H33</f>
        <v>0</v>
      </c>
      <c r="E46" s="476"/>
    </row>
    <row r="47" spans="1:5">
      <c r="A47" s="479">
        <v>16</v>
      </c>
      <c r="B47" s="478" t="s">
        <v>1345</v>
      </c>
      <c r="C47" s="477">
        <f>PL!F34</f>
        <v>0</v>
      </c>
      <c r="D47" s="477">
        <f>PL!H34</f>
        <v>0</v>
      </c>
      <c r="E47" s="476"/>
    </row>
    <row r="49" spans="1:3">
      <c r="C49" s="475" t="str">
        <f>'3CD'!B201</f>
        <v>ABC &amp; CO</v>
      </c>
    </row>
    <row r="50" spans="1:3">
      <c r="C50" s="475" t="str">
        <f>'3CD'!B202</f>
        <v>Chartered Accountants</v>
      </c>
    </row>
    <row r="51" spans="1:3">
      <c r="C51" s="475" t="str">
        <f>'3CD'!B203</f>
        <v>Firm Regn.No.18, Satellite,</v>
      </c>
    </row>
    <row r="54" spans="1:3">
      <c r="C54" s="475" t="str">
        <f>'3CD'!B206</f>
        <v>, Prop.)</v>
      </c>
    </row>
    <row r="55" spans="1:3">
      <c r="A55" s="475" t="s">
        <v>1344</v>
      </c>
      <c r="B55" s="689" t="str">
        <f>'3CD'!C210</f>
        <v>DELHI</v>
      </c>
      <c r="C55" s="475" t="str">
        <f>'3CD'!B207</f>
        <v>99999</v>
      </c>
    </row>
    <row r="56" spans="1:3">
      <c r="A56" s="475" t="s">
        <v>1104</v>
      </c>
      <c r="B56" s="689" t="str">
        <f>'3CD'!C211</f>
        <v>01/09/2012</v>
      </c>
      <c r="C56" s="475" t="str">
        <f>'3CD'!B208</f>
        <v>M. No.DELHI</v>
      </c>
    </row>
  </sheetData>
  <mergeCells count="6">
    <mergeCell ref="A1:D1"/>
    <mergeCell ref="C11:D12"/>
    <mergeCell ref="A28:D28"/>
    <mergeCell ref="C13:D14"/>
    <mergeCell ref="C15:D16"/>
    <mergeCell ref="C17:D18"/>
  </mergeCells>
  <printOptions horizontalCentered="1"/>
  <pageMargins left="0.81" right="0.24" top="0.53" bottom="0.09" header="0.5" footer="0.02"/>
  <pageSetup paperSize="40" scale="90" orientation="portrait" horizontalDpi="120" verticalDpi="180" r:id="rId1"/>
  <headerFooter alignWithMargins="0"/>
  <legacyDrawing r:id="rId2"/>
</worksheet>
</file>

<file path=xl/worksheets/sheet56.xml><?xml version="1.0" encoding="utf-8"?>
<worksheet xmlns="http://schemas.openxmlformats.org/spreadsheetml/2006/main" xmlns:r="http://schemas.openxmlformats.org/officeDocument/2006/relationships">
  <dimension ref="A2:D101"/>
  <sheetViews>
    <sheetView zoomScaleSheetLayoutView="100" workbookViewId="0">
      <selection activeCell="C20" sqref="C20"/>
    </sheetView>
  </sheetViews>
  <sheetFormatPr defaultRowHeight="12.75"/>
  <cols>
    <col min="1" max="1" width="3.5703125" style="182" bestFit="1" customWidth="1"/>
    <col min="2" max="2" width="41.5703125" style="182" bestFit="1" customWidth="1"/>
    <col min="3" max="3" width="46.5703125" style="182" bestFit="1" customWidth="1"/>
    <col min="4" max="4" width="5.28515625" style="182" bestFit="1" customWidth="1"/>
    <col min="5" max="16384" width="9.140625" style="182"/>
  </cols>
  <sheetData>
    <row r="2" spans="1:4" ht="16.5" thickBot="1">
      <c r="A2" s="1024" t="s">
        <v>1509</v>
      </c>
      <c r="B2" s="1024"/>
      <c r="C2" s="1024"/>
      <c r="D2" s="1024"/>
    </row>
    <row r="3" spans="1:4">
      <c r="A3" s="527" t="s">
        <v>1182</v>
      </c>
      <c r="B3" s="526" t="s">
        <v>1508</v>
      </c>
      <c r="C3" s="526" t="s">
        <v>1507</v>
      </c>
      <c r="D3" s="525" t="s">
        <v>1185</v>
      </c>
    </row>
    <row r="4" spans="1:4">
      <c r="A4" s="1031">
        <v>1</v>
      </c>
      <c r="B4" s="1030" t="s">
        <v>1506</v>
      </c>
      <c r="C4" s="524" t="s">
        <v>1505</v>
      </c>
      <c r="D4" s="523" t="s">
        <v>1504</v>
      </c>
    </row>
    <row r="5" spans="1:4">
      <c r="A5" s="1031"/>
      <c r="B5" s="1030"/>
      <c r="C5" s="524" t="s">
        <v>1503</v>
      </c>
      <c r="D5" s="523" t="s">
        <v>1502</v>
      </c>
    </row>
    <row r="6" spans="1:4">
      <c r="A6" s="1031"/>
      <c r="B6" s="1030"/>
      <c r="C6" s="520" t="s">
        <v>1501</v>
      </c>
      <c r="D6" s="523" t="s">
        <v>1500</v>
      </c>
    </row>
    <row r="7" spans="1:4">
      <c r="A7" s="1031"/>
      <c r="B7" s="1030"/>
      <c r="C7" s="520" t="s">
        <v>1499</v>
      </c>
      <c r="D7" s="523" t="s">
        <v>1498</v>
      </c>
    </row>
    <row r="8" spans="1:4">
      <c r="A8" s="1031"/>
      <c r="B8" s="1030"/>
      <c r="C8" s="520" t="s">
        <v>1497</v>
      </c>
      <c r="D8" s="523" t="s">
        <v>1496</v>
      </c>
    </row>
    <row r="9" spans="1:4">
      <c r="A9" s="1031"/>
      <c r="B9" s="1030"/>
      <c r="C9" s="520" t="s">
        <v>1495</v>
      </c>
      <c r="D9" s="523" t="s">
        <v>1494</v>
      </c>
    </row>
    <row r="10" spans="1:4">
      <c r="A10" s="1031"/>
      <c r="B10" s="1030"/>
      <c r="C10" s="520" t="s">
        <v>1493</v>
      </c>
      <c r="D10" s="523" t="s">
        <v>1492</v>
      </c>
    </row>
    <row r="11" spans="1:4">
      <c r="A11" s="1031"/>
      <c r="B11" s="1030"/>
      <c r="C11" s="520" t="s">
        <v>1491</v>
      </c>
      <c r="D11" s="523" t="s">
        <v>1490</v>
      </c>
    </row>
    <row r="12" spans="1:4">
      <c r="A12" s="1031"/>
      <c r="B12" s="1030"/>
      <c r="C12" s="520" t="s">
        <v>1489</v>
      </c>
      <c r="D12" s="523" t="s">
        <v>1488</v>
      </c>
    </row>
    <row r="13" spans="1:4">
      <c r="A13" s="1031"/>
      <c r="B13" s="1030"/>
      <c r="C13" s="520" t="s">
        <v>1487</v>
      </c>
      <c r="D13" s="523" t="s">
        <v>1486</v>
      </c>
    </row>
    <row r="14" spans="1:4">
      <c r="A14" s="1031"/>
      <c r="B14" s="1030"/>
      <c r="C14" s="520" t="s">
        <v>1485</v>
      </c>
      <c r="D14" s="523" t="s">
        <v>1484</v>
      </c>
    </row>
    <row r="15" spans="1:4">
      <c r="A15" s="1031"/>
      <c r="B15" s="1030"/>
      <c r="C15" s="520" t="s">
        <v>1483</v>
      </c>
      <c r="D15" s="523" t="s">
        <v>1482</v>
      </c>
    </row>
    <row r="16" spans="1:4">
      <c r="A16" s="1031"/>
      <c r="B16" s="1030"/>
      <c r="C16" s="520" t="s">
        <v>1481</v>
      </c>
      <c r="D16" s="523" t="s">
        <v>1480</v>
      </c>
    </row>
    <row r="17" spans="1:4">
      <c r="A17" s="1031"/>
      <c r="B17" s="1030"/>
      <c r="C17" s="520" t="s">
        <v>1479</v>
      </c>
      <c r="D17" s="523" t="s">
        <v>1478</v>
      </c>
    </row>
    <row r="18" spans="1:4">
      <c r="A18" s="1031"/>
      <c r="B18" s="1030"/>
      <c r="C18" s="520" t="s">
        <v>1477</v>
      </c>
      <c r="D18" s="523" t="s">
        <v>1476</v>
      </c>
    </row>
    <row r="19" spans="1:4">
      <c r="A19" s="1031"/>
      <c r="B19" s="1030"/>
      <c r="C19" s="520" t="s">
        <v>1475</v>
      </c>
      <c r="D19" s="523" t="s">
        <v>1474</v>
      </c>
    </row>
    <row r="20" spans="1:4">
      <c r="A20" s="1031"/>
      <c r="B20" s="1030"/>
      <c r="C20" s="520" t="s">
        <v>1473</v>
      </c>
      <c r="D20" s="523" t="s">
        <v>1472</v>
      </c>
    </row>
    <row r="21" spans="1:4">
      <c r="A21" s="1031"/>
      <c r="B21" s="1030"/>
      <c r="C21" s="520" t="s">
        <v>1471</v>
      </c>
      <c r="D21" s="523" t="s">
        <v>1470</v>
      </c>
    </row>
    <row r="22" spans="1:4">
      <c r="A22" s="1031"/>
      <c r="B22" s="1030"/>
      <c r="C22" s="520" t="s">
        <v>1469</v>
      </c>
      <c r="D22" s="523" t="s">
        <v>1468</v>
      </c>
    </row>
    <row r="23" spans="1:4">
      <c r="A23" s="1031"/>
      <c r="B23" s="1030"/>
      <c r="C23" s="520" t="s">
        <v>1467</v>
      </c>
      <c r="D23" s="523" t="s">
        <v>1466</v>
      </c>
    </row>
    <row r="24" spans="1:4">
      <c r="A24" s="1031"/>
      <c r="B24" s="1030"/>
      <c r="C24" s="520" t="s">
        <v>1465</v>
      </c>
      <c r="D24" s="523" t="s">
        <v>1464</v>
      </c>
    </row>
    <row r="25" spans="1:4">
      <c r="A25" s="1031"/>
      <c r="B25" s="1030"/>
      <c r="C25" s="520" t="s">
        <v>1463</v>
      </c>
      <c r="D25" s="523" t="s">
        <v>1462</v>
      </c>
    </row>
    <row r="26" spans="1:4">
      <c r="A26" s="1031"/>
      <c r="B26" s="1030"/>
      <c r="C26" s="520" t="s">
        <v>1461</v>
      </c>
      <c r="D26" s="523" t="s">
        <v>1460</v>
      </c>
    </row>
    <row r="27" spans="1:4">
      <c r="A27" s="1031"/>
      <c r="B27" s="1030"/>
      <c r="C27" s="520" t="s">
        <v>362</v>
      </c>
      <c r="D27" s="523" t="s">
        <v>1459</v>
      </c>
    </row>
    <row r="28" spans="1:4">
      <c r="A28" s="1031"/>
      <c r="B28" s="1030"/>
      <c r="C28" s="520"/>
      <c r="D28" s="523"/>
    </row>
    <row r="29" spans="1:4">
      <c r="A29" s="1031">
        <v>2</v>
      </c>
      <c r="B29" s="1030" t="s">
        <v>1458</v>
      </c>
      <c r="C29" s="520" t="s">
        <v>1457</v>
      </c>
      <c r="D29" s="522" t="s">
        <v>1456</v>
      </c>
    </row>
    <row r="30" spans="1:4">
      <c r="A30" s="1031"/>
      <c r="B30" s="1030"/>
      <c r="C30" s="520" t="s">
        <v>1455</v>
      </c>
      <c r="D30" s="522" t="s">
        <v>1454</v>
      </c>
    </row>
    <row r="31" spans="1:4">
      <c r="A31" s="1031"/>
      <c r="B31" s="1030"/>
      <c r="C31" s="520" t="s">
        <v>1453</v>
      </c>
      <c r="D31" s="522" t="s">
        <v>1452</v>
      </c>
    </row>
    <row r="32" spans="1:4">
      <c r="A32" s="1031"/>
      <c r="B32" s="1030"/>
      <c r="C32" s="520" t="s">
        <v>362</v>
      </c>
      <c r="D32" s="522" t="s">
        <v>1451</v>
      </c>
    </row>
    <row r="33" spans="1:4">
      <c r="A33" s="1031"/>
      <c r="B33" s="1030"/>
      <c r="C33" s="520"/>
      <c r="D33" s="521"/>
    </row>
    <row r="34" spans="1:4">
      <c r="A34" s="1027">
        <v>3</v>
      </c>
      <c r="B34" s="1025" t="s">
        <v>1450</v>
      </c>
      <c r="C34" s="520" t="s">
        <v>1449</v>
      </c>
      <c r="D34" s="519" t="s">
        <v>1448</v>
      </c>
    </row>
    <row r="35" spans="1:4">
      <c r="A35" s="1029"/>
      <c r="B35" s="1026"/>
      <c r="C35" s="520"/>
      <c r="D35" s="519"/>
    </row>
    <row r="36" spans="1:4">
      <c r="A36" s="1031">
        <v>4</v>
      </c>
      <c r="B36" s="1030" t="s">
        <v>1447</v>
      </c>
      <c r="C36" s="520" t="s">
        <v>1446</v>
      </c>
      <c r="D36" s="519" t="s">
        <v>1445</v>
      </c>
    </row>
    <row r="37" spans="1:4">
      <c r="A37" s="1031"/>
      <c r="B37" s="1030"/>
      <c r="C37" s="520" t="s">
        <v>1444</v>
      </c>
      <c r="D37" s="519" t="s">
        <v>1443</v>
      </c>
    </row>
    <row r="38" spans="1:4">
      <c r="A38" s="1031"/>
      <c r="B38" s="1030"/>
      <c r="C38" s="520" t="s">
        <v>1442</v>
      </c>
      <c r="D38" s="519" t="s">
        <v>1441</v>
      </c>
    </row>
    <row r="39" spans="1:4">
      <c r="A39" s="1031"/>
      <c r="B39" s="1030"/>
      <c r="C39" s="520" t="s">
        <v>362</v>
      </c>
      <c r="D39" s="519" t="s">
        <v>1440</v>
      </c>
    </row>
    <row r="40" spans="1:4">
      <c r="A40" s="1031"/>
      <c r="B40" s="1030"/>
      <c r="C40" s="520"/>
      <c r="D40" s="519"/>
    </row>
    <row r="41" spans="1:4">
      <c r="A41" s="1031">
        <v>5</v>
      </c>
      <c r="B41" s="1030" t="s">
        <v>1439</v>
      </c>
      <c r="C41" s="520" t="s">
        <v>1438</v>
      </c>
      <c r="D41" s="519" t="s">
        <v>1437</v>
      </c>
    </row>
    <row r="42" spans="1:4">
      <c r="A42" s="1031"/>
      <c r="B42" s="1030"/>
      <c r="C42" s="520" t="s">
        <v>1436</v>
      </c>
      <c r="D42" s="519" t="s">
        <v>1435</v>
      </c>
    </row>
    <row r="43" spans="1:4">
      <c r="A43" s="1031"/>
      <c r="B43" s="1030"/>
      <c r="C43" s="520" t="s">
        <v>1434</v>
      </c>
      <c r="D43" s="519" t="s">
        <v>1433</v>
      </c>
    </row>
    <row r="44" spans="1:4">
      <c r="A44" s="1031"/>
      <c r="B44" s="1030"/>
      <c r="C44" s="520" t="s">
        <v>1432</v>
      </c>
      <c r="D44" s="519" t="s">
        <v>1431</v>
      </c>
    </row>
    <row r="45" spans="1:4">
      <c r="A45" s="1031"/>
      <c r="B45" s="1030"/>
      <c r="C45" s="520" t="s">
        <v>362</v>
      </c>
      <c r="D45" s="519" t="s">
        <v>1430</v>
      </c>
    </row>
    <row r="46" spans="1:4">
      <c r="A46" s="1031"/>
      <c r="B46" s="1030"/>
      <c r="C46" s="520"/>
      <c r="D46" s="519"/>
    </row>
    <row r="47" spans="1:4">
      <c r="A47" s="1031">
        <v>6</v>
      </c>
      <c r="B47" s="1030" t="s">
        <v>1429</v>
      </c>
      <c r="C47" s="520" t="s">
        <v>1428</v>
      </c>
      <c r="D47" s="519" t="s">
        <v>1427</v>
      </c>
    </row>
    <row r="48" spans="1:4">
      <c r="A48" s="1031"/>
      <c r="B48" s="1030"/>
      <c r="C48" s="520" t="s">
        <v>1426</v>
      </c>
      <c r="D48" s="519" t="s">
        <v>1425</v>
      </c>
    </row>
    <row r="49" spans="1:4">
      <c r="A49" s="1031"/>
      <c r="B49" s="1030"/>
      <c r="C49" s="520" t="s">
        <v>1424</v>
      </c>
      <c r="D49" s="519" t="s">
        <v>1423</v>
      </c>
    </row>
    <row r="50" spans="1:4">
      <c r="A50" s="1031"/>
      <c r="B50" s="1030"/>
      <c r="C50" s="520" t="s">
        <v>1422</v>
      </c>
      <c r="D50" s="519" t="s">
        <v>1421</v>
      </c>
    </row>
    <row r="51" spans="1:4">
      <c r="A51" s="1031"/>
      <c r="B51" s="1030"/>
      <c r="C51" s="520" t="s">
        <v>1420</v>
      </c>
      <c r="D51" s="519" t="s">
        <v>1419</v>
      </c>
    </row>
    <row r="52" spans="1:4">
      <c r="A52" s="1031"/>
      <c r="B52" s="1030"/>
      <c r="C52" s="520" t="s">
        <v>1418</v>
      </c>
      <c r="D52" s="519" t="s">
        <v>1417</v>
      </c>
    </row>
    <row r="53" spans="1:4">
      <c r="A53" s="1031"/>
      <c r="B53" s="1030"/>
      <c r="C53" s="520" t="s">
        <v>362</v>
      </c>
      <c r="D53" s="519" t="s">
        <v>1416</v>
      </c>
    </row>
    <row r="54" spans="1:4">
      <c r="A54" s="1031"/>
      <c r="B54" s="1030"/>
      <c r="C54" s="520"/>
      <c r="D54" s="519"/>
    </row>
    <row r="55" spans="1:4">
      <c r="A55" s="1027">
        <v>7</v>
      </c>
      <c r="B55" s="1025" t="s">
        <v>1415</v>
      </c>
      <c r="C55" s="520" t="s">
        <v>1414</v>
      </c>
      <c r="D55" s="519" t="s">
        <v>1413</v>
      </c>
    </row>
    <row r="56" spans="1:4">
      <c r="A56" s="1028"/>
      <c r="B56" s="1033"/>
      <c r="C56" s="520" t="s">
        <v>1412</v>
      </c>
      <c r="D56" s="519" t="s">
        <v>1411</v>
      </c>
    </row>
    <row r="57" spans="1:4">
      <c r="A57" s="1028"/>
      <c r="B57" s="1033"/>
      <c r="C57" s="520" t="s">
        <v>1410</v>
      </c>
      <c r="D57" s="519" t="s">
        <v>1409</v>
      </c>
    </row>
    <row r="58" spans="1:4">
      <c r="A58" s="1028"/>
      <c r="B58" s="1033"/>
      <c r="C58" s="520" t="s">
        <v>1408</v>
      </c>
      <c r="D58" s="519" t="s">
        <v>1407</v>
      </c>
    </row>
    <row r="59" spans="1:4">
      <c r="A59" s="1028"/>
      <c r="B59" s="1033"/>
      <c r="C59" s="520" t="s">
        <v>1406</v>
      </c>
      <c r="D59" s="519" t="s">
        <v>1405</v>
      </c>
    </row>
    <row r="60" spans="1:4">
      <c r="A60" s="1028"/>
      <c r="B60" s="1033"/>
      <c r="C60" s="520" t="s">
        <v>1404</v>
      </c>
      <c r="D60" s="519" t="s">
        <v>1403</v>
      </c>
    </row>
    <row r="61" spans="1:4">
      <c r="A61" s="1028"/>
      <c r="B61" s="1033"/>
      <c r="C61" s="520" t="s">
        <v>1402</v>
      </c>
      <c r="D61" s="519" t="s">
        <v>1401</v>
      </c>
    </row>
    <row r="62" spans="1:4">
      <c r="A62" s="1028"/>
      <c r="B62" s="1033"/>
      <c r="C62" s="520" t="s">
        <v>1400</v>
      </c>
      <c r="D62" s="519" t="s">
        <v>1399</v>
      </c>
    </row>
    <row r="63" spans="1:4">
      <c r="A63" s="1028"/>
      <c r="B63" s="1033"/>
      <c r="C63" s="520" t="s">
        <v>1398</v>
      </c>
      <c r="D63" s="519" t="s">
        <v>1397</v>
      </c>
    </row>
    <row r="64" spans="1:4">
      <c r="A64" s="1028"/>
      <c r="B64" s="1033"/>
      <c r="C64" s="520" t="s">
        <v>1396</v>
      </c>
      <c r="D64" s="519" t="s">
        <v>1395</v>
      </c>
    </row>
    <row r="65" spans="1:4">
      <c r="A65" s="1028"/>
      <c r="B65" s="1033"/>
      <c r="C65" s="520" t="s">
        <v>1394</v>
      </c>
      <c r="D65" s="519" t="s">
        <v>1393</v>
      </c>
    </row>
    <row r="66" spans="1:4">
      <c r="A66" s="1028"/>
      <c r="B66" s="1033"/>
      <c r="C66" s="520" t="s">
        <v>1392</v>
      </c>
      <c r="D66" s="519" t="s">
        <v>1391</v>
      </c>
    </row>
    <row r="67" spans="1:4">
      <c r="A67" s="1028"/>
      <c r="B67" s="1033"/>
      <c r="C67" s="520" t="s">
        <v>1390</v>
      </c>
      <c r="D67" s="519" t="s">
        <v>1389</v>
      </c>
    </row>
    <row r="68" spans="1:4">
      <c r="A68" s="1028"/>
      <c r="B68" s="1033"/>
      <c r="C68" s="520" t="s">
        <v>362</v>
      </c>
      <c r="D68" s="519" t="s">
        <v>1388</v>
      </c>
    </row>
    <row r="69" spans="1:4">
      <c r="A69" s="1029"/>
      <c r="B69" s="1026"/>
      <c r="C69" s="520"/>
      <c r="D69" s="519"/>
    </row>
    <row r="70" spans="1:4">
      <c r="A70" s="1027">
        <v>8</v>
      </c>
      <c r="B70" s="1025" t="s">
        <v>1387</v>
      </c>
      <c r="C70" s="520" t="s">
        <v>1386</v>
      </c>
      <c r="D70" s="519" t="s">
        <v>1385</v>
      </c>
    </row>
    <row r="71" spans="1:4">
      <c r="A71" s="1028"/>
      <c r="B71" s="1033"/>
      <c r="C71" s="520" t="s">
        <v>1384</v>
      </c>
      <c r="D71" s="519" t="s">
        <v>1383</v>
      </c>
    </row>
    <row r="72" spans="1:4">
      <c r="A72" s="1028"/>
      <c r="B72" s="1033"/>
      <c r="C72" s="520" t="s">
        <v>1382</v>
      </c>
      <c r="D72" s="519" t="s">
        <v>1381</v>
      </c>
    </row>
    <row r="73" spans="1:4">
      <c r="A73" s="1028"/>
      <c r="B73" s="1033"/>
      <c r="C73" s="520" t="s">
        <v>1380</v>
      </c>
      <c r="D73" s="519" t="s">
        <v>1379</v>
      </c>
    </row>
    <row r="74" spans="1:4">
      <c r="A74" s="1028"/>
      <c r="B74" s="1033"/>
      <c r="C74" s="520" t="s">
        <v>1378</v>
      </c>
      <c r="D74" s="519" t="s">
        <v>1377</v>
      </c>
    </row>
    <row r="75" spans="1:4">
      <c r="A75" s="1028"/>
      <c r="B75" s="1033"/>
      <c r="C75" s="520" t="s">
        <v>1376</v>
      </c>
      <c r="D75" s="519" t="s">
        <v>1375</v>
      </c>
    </row>
    <row r="76" spans="1:4">
      <c r="A76" s="1028"/>
      <c r="B76" s="1033"/>
      <c r="C76" s="520" t="s">
        <v>1374</v>
      </c>
      <c r="D76" s="519" t="s">
        <v>1373</v>
      </c>
    </row>
    <row r="77" spans="1:4">
      <c r="A77" s="1028"/>
      <c r="B77" s="1033"/>
      <c r="C77" s="520" t="s">
        <v>1372</v>
      </c>
      <c r="D77" s="519" t="s">
        <v>1371</v>
      </c>
    </row>
    <row r="78" spans="1:4">
      <c r="A78" s="1028"/>
      <c r="B78" s="1033"/>
      <c r="C78" s="520" t="s">
        <v>362</v>
      </c>
      <c r="D78" s="519" t="s">
        <v>1370</v>
      </c>
    </row>
    <row r="79" spans="1:4">
      <c r="A79" s="1029"/>
      <c r="B79" s="1026"/>
      <c r="C79" s="520"/>
      <c r="D79" s="519"/>
    </row>
    <row r="80" spans="1:4">
      <c r="A80" s="1031">
        <v>9</v>
      </c>
      <c r="B80" s="1025" t="s">
        <v>1369</v>
      </c>
      <c r="C80" s="520" t="s">
        <v>1368</v>
      </c>
      <c r="D80" s="519" t="s">
        <v>1367</v>
      </c>
    </row>
    <row r="81" spans="1:4">
      <c r="A81" s="1031"/>
      <c r="B81" s="1033"/>
      <c r="C81" s="520" t="s">
        <v>1366</v>
      </c>
      <c r="D81" s="519" t="s">
        <v>1365</v>
      </c>
    </row>
    <row r="82" spans="1:4">
      <c r="A82" s="1031"/>
      <c r="B82" s="1033"/>
      <c r="C82" s="520" t="s">
        <v>1364</v>
      </c>
      <c r="D82" s="519" t="s">
        <v>1363</v>
      </c>
    </row>
    <row r="83" spans="1:4">
      <c r="A83" s="1031"/>
      <c r="B83" s="1033"/>
      <c r="C83" s="520" t="s">
        <v>1362</v>
      </c>
      <c r="D83" s="519" t="s">
        <v>1361</v>
      </c>
    </row>
    <row r="84" spans="1:4">
      <c r="A84" s="1031"/>
      <c r="B84" s="1033"/>
      <c r="C84" s="520" t="s">
        <v>1360</v>
      </c>
      <c r="D84" s="519" t="s">
        <v>1359</v>
      </c>
    </row>
    <row r="85" spans="1:4" ht="13.5" thickBot="1">
      <c r="A85" s="1032"/>
      <c r="B85" s="1034"/>
      <c r="C85" s="518" t="s">
        <v>362</v>
      </c>
      <c r="D85" s="517" t="s">
        <v>1358</v>
      </c>
    </row>
    <row r="86" spans="1:4">
      <c r="A86" s="235"/>
      <c r="B86" s="516"/>
    </row>
    <row r="87" spans="1:4">
      <c r="A87" s="235"/>
      <c r="B87" s="516"/>
    </row>
    <row r="88" spans="1:4">
      <c r="A88" s="235"/>
      <c r="B88" s="516"/>
    </row>
    <row r="89" spans="1:4">
      <c r="A89" s="235"/>
      <c r="B89" s="516"/>
    </row>
    <row r="90" spans="1:4">
      <c r="A90" s="235"/>
      <c r="B90" s="516"/>
    </row>
    <row r="91" spans="1:4">
      <c r="A91" s="235"/>
      <c r="B91" s="516"/>
    </row>
    <row r="92" spans="1:4">
      <c r="A92" s="235"/>
      <c r="B92" s="516"/>
    </row>
    <row r="93" spans="1:4">
      <c r="A93" s="235"/>
      <c r="B93" s="516"/>
    </row>
    <row r="94" spans="1:4">
      <c r="A94" s="235"/>
      <c r="B94" s="516"/>
    </row>
    <row r="95" spans="1:4">
      <c r="A95" s="235"/>
      <c r="B95" s="516"/>
    </row>
    <row r="96" spans="1:4">
      <c r="A96" s="235"/>
      <c r="B96" s="516"/>
    </row>
    <row r="97" spans="1:2">
      <c r="A97" s="235"/>
      <c r="B97" s="516"/>
    </row>
    <row r="98" spans="1:2">
      <c r="A98" s="235"/>
      <c r="B98" s="516"/>
    </row>
    <row r="99" spans="1:2">
      <c r="A99" s="235"/>
      <c r="B99" s="516"/>
    </row>
    <row r="100" spans="1:2">
      <c r="A100" s="235"/>
      <c r="B100" s="516"/>
    </row>
    <row r="101" spans="1:2">
      <c r="A101" s="235"/>
      <c r="B101" s="516"/>
    </row>
  </sheetData>
  <mergeCells count="19">
    <mergeCell ref="A80:A85"/>
    <mergeCell ref="B80:B85"/>
    <mergeCell ref="B70:B79"/>
    <mergeCell ref="B47:B54"/>
    <mergeCell ref="A47:A54"/>
    <mergeCell ref="B55:B69"/>
    <mergeCell ref="A2:D2"/>
    <mergeCell ref="B34:B35"/>
    <mergeCell ref="A55:A69"/>
    <mergeCell ref="A70:A79"/>
    <mergeCell ref="A34:A35"/>
    <mergeCell ref="B36:B40"/>
    <mergeCell ref="A36:A40"/>
    <mergeCell ref="A41:A46"/>
    <mergeCell ref="B41:B46"/>
    <mergeCell ref="A4:A28"/>
    <mergeCell ref="B4:B28"/>
    <mergeCell ref="B29:B33"/>
    <mergeCell ref="A29:A33"/>
  </mergeCells>
  <pageMargins left="0.75" right="0.17" top="0.72" bottom="0.82" header="0.5" footer="0.5"/>
  <pageSetup orientation="portrait" r:id="rId1"/>
  <headerFooter alignWithMargins="0"/>
</worksheet>
</file>

<file path=xl/worksheets/sheet57.xml><?xml version="1.0" encoding="utf-8"?>
<worksheet xmlns="http://schemas.openxmlformats.org/spreadsheetml/2006/main" xmlns:r="http://schemas.openxmlformats.org/officeDocument/2006/relationships">
  <sheetPr>
    <pageSetUpPr fitToPage="1"/>
  </sheetPr>
  <dimension ref="A1:J46"/>
  <sheetViews>
    <sheetView view="pageBreakPreview" topLeftCell="A25" zoomScaleSheetLayoutView="100" workbookViewId="0">
      <selection activeCell="H45" sqref="H45"/>
    </sheetView>
  </sheetViews>
  <sheetFormatPr defaultRowHeight="15"/>
  <cols>
    <col min="1" max="1" width="20.5703125" style="707" customWidth="1"/>
    <col min="2" max="2" width="10.7109375" style="707" bestFit="1" customWidth="1"/>
    <col min="3" max="3" width="14" style="196" bestFit="1" customWidth="1"/>
    <col min="4" max="4" width="12.85546875" style="196" bestFit="1" customWidth="1"/>
    <col min="5" max="5" width="13.140625" style="196" bestFit="1" customWidth="1"/>
    <col min="6" max="6" width="11.5703125" style="196" customWidth="1"/>
    <col min="7" max="7" width="13.28515625" style="196" bestFit="1" customWidth="1"/>
    <col min="8" max="8" width="14" style="707" bestFit="1" customWidth="1"/>
    <col min="9" max="16384" width="9.140625" style="707"/>
  </cols>
  <sheetData>
    <row r="1" spans="1:10">
      <c r="A1" s="264" t="str">
        <f>'34'!B1</f>
        <v>ABC LTD</v>
      </c>
      <c r="B1" s="274"/>
      <c r="C1" s="274"/>
      <c r="D1" s="274"/>
      <c r="E1" s="274"/>
      <c r="F1" s="186" t="s">
        <v>1511</v>
      </c>
      <c r="G1" s="274"/>
    </row>
    <row r="2" spans="1:10">
      <c r="A2" s="264"/>
      <c r="B2" s="274"/>
      <c r="C2" s="274"/>
      <c r="D2" s="274"/>
      <c r="E2" s="274"/>
      <c r="F2" s="274"/>
      <c r="G2" s="274"/>
    </row>
    <row r="3" spans="1:10">
      <c r="A3" s="264" t="s">
        <v>961</v>
      </c>
      <c r="B3" s="274"/>
      <c r="C3" s="274"/>
      <c r="D3" s="274"/>
      <c r="E3" s="274"/>
      <c r="F3" s="274"/>
      <c r="G3" s="274"/>
    </row>
    <row r="4" spans="1:10">
      <c r="A4" s="274"/>
      <c r="B4" s="274"/>
      <c r="C4" s="274"/>
      <c r="D4" s="274"/>
      <c r="E4" s="274"/>
      <c r="F4" s="274"/>
      <c r="G4" s="274"/>
    </row>
    <row r="5" spans="1:10">
      <c r="A5" s="247" t="s">
        <v>960</v>
      </c>
      <c r="B5" s="245" t="s">
        <v>959</v>
      </c>
      <c r="C5" s="245" t="s">
        <v>955</v>
      </c>
      <c r="D5" s="245" t="s">
        <v>958</v>
      </c>
      <c r="E5" s="245" t="s">
        <v>958</v>
      </c>
      <c r="F5" s="245" t="s">
        <v>957</v>
      </c>
      <c r="G5" s="245" t="s">
        <v>956</v>
      </c>
      <c r="H5" s="245" t="s">
        <v>955</v>
      </c>
    </row>
    <row r="6" spans="1:10">
      <c r="A6" s="206"/>
      <c r="B6" s="272" t="s">
        <v>954</v>
      </c>
      <c r="C6" s="272" t="s">
        <v>951</v>
      </c>
      <c r="D6" s="272" t="s">
        <v>1690</v>
      </c>
      <c r="E6" s="272" t="s">
        <v>1692</v>
      </c>
      <c r="F6" s="272" t="s">
        <v>953</v>
      </c>
      <c r="G6" s="272" t="s">
        <v>952</v>
      </c>
      <c r="H6" s="272" t="s">
        <v>951</v>
      </c>
    </row>
    <row r="7" spans="1:10">
      <c r="A7" s="221"/>
      <c r="B7" s="243"/>
      <c r="C7" s="751" t="str">
        <f>master!B17</f>
        <v>31/03/2011</v>
      </c>
      <c r="D7" s="243" t="s">
        <v>1691</v>
      </c>
      <c r="E7" s="243" t="s">
        <v>1691</v>
      </c>
      <c r="F7" s="243" t="s">
        <v>464</v>
      </c>
      <c r="G7" s="243" t="s">
        <v>950</v>
      </c>
      <c r="H7" s="751" t="str">
        <f>master!B16</f>
        <v>31/03/2012</v>
      </c>
    </row>
    <row r="8" spans="1:10">
      <c r="C8" s="196" t="s">
        <v>464</v>
      </c>
    </row>
    <row r="9" spans="1:10">
      <c r="A9" s="752" t="s">
        <v>1846</v>
      </c>
      <c r="B9" s="707">
        <v>0</v>
      </c>
    </row>
    <row r="10" spans="1:10">
      <c r="A10" s="850" t="s">
        <v>1840</v>
      </c>
      <c r="B10" s="707">
        <v>0</v>
      </c>
      <c r="C10" s="196">
        <v>9466664</v>
      </c>
      <c r="D10" s="255"/>
      <c r="E10" s="255">
        <v>0</v>
      </c>
      <c r="F10" s="255"/>
      <c r="G10" s="273">
        <f t="shared" ref="G10:G11" si="0">ROUND(B10*(C10+D10)+B10*(E10/2),0)</f>
        <v>0</v>
      </c>
      <c r="H10" s="255">
        <f t="shared" ref="H10:H11" si="1">C10+D10+E10-F10-G10</f>
        <v>9466664</v>
      </c>
    </row>
    <row r="11" spans="1:10">
      <c r="A11" s="894" t="s">
        <v>1841</v>
      </c>
      <c r="C11" s="196">
        <v>2508700</v>
      </c>
      <c r="D11" s="255"/>
      <c r="E11" s="255">
        <v>0</v>
      </c>
      <c r="F11" s="255"/>
      <c r="G11" s="273">
        <f t="shared" si="0"/>
        <v>0</v>
      </c>
      <c r="H11" s="255">
        <f t="shared" si="1"/>
        <v>2508700</v>
      </c>
    </row>
    <row r="13" spans="1:10" ht="15.75" thickBot="1">
      <c r="A13" s="258" t="s">
        <v>424</v>
      </c>
      <c r="B13" s="864"/>
      <c r="C13" s="256">
        <f>SUM(C10:C12)</f>
        <v>11975364</v>
      </c>
      <c r="D13" s="256">
        <f t="shared" ref="D13:H13" si="2">SUM(D10)</f>
        <v>0</v>
      </c>
      <c r="E13" s="256">
        <f t="shared" si="2"/>
        <v>0</v>
      </c>
      <c r="F13" s="256">
        <f t="shared" si="2"/>
        <v>0</v>
      </c>
      <c r="G13" s="256">
        <f>SUM(G10:G12)</f>
        <v>0</v>
      </c>
      <c r="H13" s="256">
        <f t="shared" si="2"/>
        <v>9466664</v>
      </c>
    </row>
    <row r="14" spans="1:10" ht="15.75" thickTop="1">
      <c r="A14" s="752" t="s">
        <v>1688</v>
      </c>
      <c r="J14" s="890" t="s">
        <v>1831</v>
      </c>
    </row>
    <row r="15" spans="1:10">
      <c r="A15" s="887" t="s">
        <v>1845</v>
      </c>
      <c r="B15" s="864">
        <v>0.15</v>
      </c>
      <c r="C15" s="853">
        <v>1792822</v>
      </c>
      <c r="D15" s="255"/>
      <c r="E15" s="255">
        <v>0</v>
      </c>
      <c r="F15" s="255"/>
      <c r="G15" s="273">
        <f>ROUND(B15*(C15+D15)+B15*(E15/2),0)</f>
        <v>268923</v>
      </c>
      <c r="H15" s="255">
        <f t="shared" ref="H15:H18" si="3">C15+D15+E15-F15-G15</f>
        <v>1523899</v>
      </c>
    </row>
    <row r="16" spans="1:10">
      <c r="A16" s="887" t="s">
        <v>1827</v>
      </c>
      <c r="B16" s="864">
        <v>0.15</v>
      </c>
      <c r="C16" s="853">
        <v>0</v>
      </c>
      <c r="D16" s="255"/>
      <c r="E16" s="255"/>
      <c r="F16" s="255"/>
      <c r="G16" s="273">
        <f t="shared" ref="G16:G18" si="4">ROUND(B16*(C16+D16)+B16*(E16/2),0)</f>
        <v>0</v>
      </c>
      <c r="H16" s="255">
        <f t="shared" si="3"/>
        <v>0</v>
      </c>
    </row>
    <row r="17" spans="1:8">
      <c r="A17" s="887" t="s">
        <v>1828</v>
      </c>
      <c r="B17" s="864">
        <v>0.15</v>
      </c>
      <c r="C17" s="255">
        <v>0</v>
      </c>
      <c r="D17" s="255">
        <v>0</v>
      </c>
      <c r="E17" s="255"/>
      <c r="F17" s="255"/>
      <c r="G17" s="273">
        <f t="shared" si="4"/>
        <v>0</v>
      </c>
      <c r="H17" s="255">
        <f t="shared" si="3"/>
        <v>0</v>
      </c>
    </row>
    <row r="18" spans="1:8">
      <c r="A18" s="887" t="s">
        <v>1829</v>
      </c>
      <c r="B18" s="864">
        <v>0.15</v>
      </c>
      <c r="C18" s="255">
        <v>0</v>
      </c>
      <c r="D18" s="255">
        <v>0</v>
      </c>
      <c r="E18" s="255">
        <v>0</v>
      </c>
      <c r="F18" s="255"/>
      <c r="G18" s="273">
        <f t="shared" si="4"/>
        <v>0</v>
      </c>
      <c r="H18" s="255">
        <f t="shared" si="3"/>
        <v>0</v>
      </c>
    </row>
    <row r="19" spans="1:8">
      <c r="A19" s="255"/>
      <c r="B19" s="864"/>
      <c r="C19" s="255"/>
      <c r="D19" s="255"/>
      <c r="E19" s="255"/>
      <c r="F19" s="255"/>
      <c r="G19" s="273"/>
      <c r="H19" s="255"/>
    </row>
    <row r="20" spans="1:8" ht="15.75" thickBot="1">
      <c r="A20" s="258" t="s">
        <v>424</v>
      </c>
      <c r="B20" s="864"/>
      <c r="C20" s="256">
        <f t="shared" ref="C20:H20" si="5">SUM(C15:C19)</f>
        <v>1792822</v>
      </c>
      <c r="D20" s="256">
        <f t="shared" si="5"/>
        <v>0</v>
      </c>
      <c r="E20" s="256">
        <f t="shared" si="5"/>
        <v>0</v>
      </c>
      <c r="F20" s="256">
        <f t="shared" si="5"/>
        <v>0</v>
      </c>
      <c r="G20" s="256">
        <f t="shared" si="5"/>
        <v>268923</v>
      </c>
      <c r="H20" s="256">
        <f t="shared" si="5"/>
        <v>1523899</v>
      </c>
    </row>
    <row r="21" spans="1:8" ht="15.75" thickTop="1">
      <c r="A21" s="754"/>
      <c r="B21" s="865"/>
      <c r="C21" s="755"/>
      <c r="D21" s="755"/>
      <c r="E21" s="755"/>
      <c r="F21" s="755"/>
      <c r="G21" s="755"/>
      <c r="H21" s="755"/>
    </row>
    <row r="22" spans="1:8">
      <c r="A22" s="752" t="s">
        <v>1687</v>
      </c>
      <c r="B22" s="866"/>
    </row>
    <row r="23" spans="1:8">
      <c r="A23" s="255" t="s">
        <v>948</v>
      </c>
      <c r="B23" s="864">
        <v>0.6</v>
      </c>
      <c r="C23" s="255">
        <v>30410</v>
      </c>
      <c r="D23" s="255">
        <v>0</v>
      </c>
      <c r="E23" s="255">
        <v>0</v>
      </c>
      <c r="F23" s="255">
        <v>0</v>
      </c>
      <c r="G23" s="273">
        <f>ROUND(B23*(C23+D23)+B23*(E23/2),0)</f>
        <v>18246</v>
      </c>
      <c r="H23" s="255">
        <f>C23+D23+E23-F23-G23</f>
        <v>12164</v>
      </c>
    </row>
    <row r="24" spans="1:8">
      <c r="A24" s="255" t="s">
        <v>1847</v>
      </c>
      <c r="B24" s="864">
        <v>0.6</v>
      </c>
      <c r="C24" s="255">
        <v>119824</v>
      </c>
      <c r="D24" s="255">
        <v>0</v>
      </c>
      <c r="E24" s="255">
        <v>0</v>
      </c>
      <c r="F24" s="255">
        <v>0</v>
      </c>
      <c r="G24" s="273">
        <f>ROUND(B24*(C24+D24)+B24*(E24/2),0)</f>
        <v>71894</v>
      </c>
      <c r="H24" s="255">
        <f>C24+D24+E24-F24-G24</f>
        <v>47930</v>
      </c>
    </row>
    <row r="25" spans="1:8">
      <c r="A25" s="255"/>
      <c r="B25" s="864"/>
      <c r="C25" s="255"/>
      <c r="D25" s="255"/>
      <c r="E25" s="255"/>
      <c r="F25" s="255"/>
      <c r="G25" s="273"/>
      <c r="H25" s="255"/>
    </row>
    <row r="26" spans="1:8" ht="15.75" thickBot="1">
      <c r="A26" s="258" t="s">
        <v>424</v>
      </c>
      <c r="B26" s="864"/>
      <c r="C26" s="256">
        <f>SUM(C23:C25)</f>
        <v>150234</v>
      </c>
      <c r="D26" s="256">
        <f t="shared" ref="D26:H26" si="6">SUM(D23)</f>
        <v>0</v>
      </c>
      <c r="E26" s="256">
        <f t="shared" si="6"/>
        <v>0</v>
      </c>
      <c r="F26" s="256">
        <f t="shared" si="6"/>
        <v>0</v>
      </c>
      <c r="G26" s="256">
        <f>SUM(G23:G25)</f>
        <v>90140</v>
      </c>
      <c r="H26" s="256">
        <f t="shared" si="6"/>
        <v>12164</v>
      </c>
    </row>
    <row r="27" spans="1:8" ht="15.75" thickTop="1">
      <c r="B27" s="866"/>
      <c r="C27" s="707"/>
      <c r="D27" s="707"/>
      <c r="E27" s="707"/>
      <c r="F27" s="707"/>
      <c r="G27" s="707"/>
    </row>
    <row r="28" spans="1:8">
      <c r="A28" s="752" t="s">
        <v>423</v>
      </c>
      <c r="B28" s="866"/>
      <c r="C28" s="707"/>
      <c r="D28" s="707"/>
      <c r="E28" s="707"/>
      <c r="F28" s="707"/>
      <c r="G28" s="707"/>
    </row>
    <row r="29" spans="1:8">
      <c r="A29" s="850" t="s">
        <v>1840</v>
      </c>
      <c r="B29" s="864">
        <v>0.05</v>
      </c>
      <c r="C29" s="255">
        <v>1390450</v>
      </c>
      <c r="D29" s="255"/>
      <c r="E29" s="255"/>
      <c r="F29" s="255"/>
      <c r="G29" s="273"/>
      <c r="H29" s="255"/>
    </row>
    <row r="30" spans="1:8">
      <c r="A30" s="894" t="s">
        <v>1841</v>
      </c>
      <c r="B30" s="864">
        <v>0.05</v>
      </c>
      <c r="C30" s="255">
        <v>845557</v>
      </c>
      <c r="D30" s="255"/>
      <c r="E30" s="255"/>
      <c r="F30" s="255"/>
      <c r="G30" s="273"/>
      <c r="H30" s="255"/>
    </row>
    <row r="31" spans="1:8">
      <c r="A31" s="894" t="s">
        <v>1842</v>
      </c>
      <c r="B31" s="864">
        <v>0.05</v>
      </c>
      <c r="C31" s="255">
        <v>3085600</v>
      </c>
      <c r="D31" s="255"/>
      <c r="E31" s="255"/>
      <c r="F31" s="255"/>
      <c r="G31" s="273"/>
      <c r="H31" s="255"/>
    </row>
    <row r="32" spans="1:8" ht="15.75" thickBot="1">
      <c r="A32" s="258" t="s">
        <v>424</v>
      </c>
      <c r="B32" s="864"/>
      <c r="C32" s="256">
        <f>SUM(C29:C31)</f>
        <v>5321607</v>
      </c>
      <c r="D32" s="256">
        <f t="shared" ref="D32:H32" si="7">SUM(D29:D31)</f>
        <v>0</v>
      </c>
      <c r="E32" s="256">
        <f t="shared" si="7"/>
        <v>0</v>
      </c>
      <c r="F32" s="256">
        <f t="shared" si="7"/>
        <v>0</v>
      </c>
      <c r="G32" s="256">
        <f t="shared" si="7"/>
        <v>0</v>
      </c>
      <c r="H32" s="256">
        <f t="shared" si="7"/>
        <v>0</v>
      </c>
    </row>
    <row r="33" spans="1:8" ht="15.75" thickTop="1">
      <c r="B33" s="866"/>
      <c r="C33" s="707"/>
      <c r="D33" s="707"/>
      <c r="E33" s="707"/>
      <c r="F33" s="707"/>
      <c r="G33" s="707"/>
    </row>
    <row r="34" spans="1:8">
      <c r="A34" s="753" t="s">
        <v>1686</v>
      </c>
      <c r="B34" s="866"/>
      <c r="C34" s="707"/>
      <c r="D34" s="707"/>
      <c r="E34" s="707"/>
      <c r="F34" s="707"/>
      <c r="G34" s="707"/>
    </row>
    <row r="35" spans="1:8">
      <c r="A35" s="255" t="s">
        <v>949</v>
      </c>
      <c r="B35" s="864">
        <v>0.1</v>
      </c>
      <c r="C35" s="255"/>
      <c r="D35" s="255"/>
      <c r="E35" s="255"/>
      <c r="F35" s="255"/>
      <c r="G35" s="273"/>
      <c r="H35" s="255"/>
    </row>
    <row r="36" spans="1:8" ht="15.75" thickBot="1">
      <c r="A36" s="258" t="s">
        <v>424</v>
      </c>
      <c r="B36" s="864"/>
      <c r="C36" s="256">
        <f>SUM(C35)</f>
        <v>0</v>
      </c>
      <c r="D36" s="256">
        <f t="shared" ref="D36" si="8">SUM(D35)</f>
        <v>0</v>
      </c>
      <c r="E36" s="256">
        <f t="shared" ref="E36" si="9">SUM(E35)</f>
        <v>0</v>
      </c>
      <c r="F36" s="256">
        <f t="shared" ref="F36" si="10">SUM(F35)</f>
        <v>0</v>
      </c>
      <c r="G36" s="256">
        <f t="shared" ref="G36" si="11">SUM(G35)</f>
        <v>0</v>
      </c>
      <c r="H36" s="256">
        <f t="shared" ref="H36" si="12">SUM(H35)</f>
        <v>0</v>
      </c>
    </row>
    <row r="37" spans="1:8" ht="15.75" thickTop="1">
      <c r="A37" s="754"/>
      <c r="B37" s="865"/>
      <c r="C37" s="755"/>
      <c r="D37" s="755"/>
      <c r="E37" s="755"/>
      <c r="F37" s="755"/>
      <c r="G37" s="755"/>
      <c r="H37" s="755"/>
    </row>
    <row r="38" spans="1:8" ht="15.75" thickBot="1">
      <c r="A38" s="258" t="s">
        <v>1689</v>
      </c>
      <c r="B38" s="864"/>
      <c r="C38" s="256">
        <f>C20+C26+C32+C36+C13</f>
        <v>19240027</v>
      </c>
      <c r="D38" s="256">
        <f>D20+D26+D32+D36</f>
        <v>0</v>
      </c>
      <c r="E38" s="256">
        <f>E20+E26+E32+E36</f>
        <v>0</v>
      </c>
      <c r="F38" s="256">
        <f>F20+F26+F32+F36</f>
        <v>0</v>
      </c>
      <c r="G38" s="256">
        <f>G20+G26+G32+G36</f>
        <v>359063</v>
      </c>
      <c r="H38" s="256">
        <f>H20+H26+H32+H36</f>
        <v>1536063</v>
      </c>
    </row>
    <row r="39" spans="1:8" ht="16.5" thickTop="1" thickBot="1">
      <c r="A39" s="258" t="s">
        <v>603</v>
      </c>
      <c r="B39" s="196"/>
      <c r="C39" s="256">
        <v>14419640.360000001</v>
      </c>
      <c r="D39" s="256">
        <v>4193000</v>
      </c>
      <c r="E39" s="256">
        <v>1331700</v>
      </c>
      <c r="F39" s="256">
        <v>0</v>
      </c>
      <c r="G39" s="256">
        <v>704313</v>
      </c>
      <c r="H39" s="256">
        <v>19240027</v>
      </c>
    </row>
    <row r="40" spans="1:8" ht="15.75" thickTop="1"/>
    <row r="41" spans="1:8" ht="31.5">
      <c r="B41" s="876" t="str">
        <f>IF(C38=H39,"OK ","ERROR - DIFF IN OPEN WDV)")</f>
        <v xml:space="preserve">OK </v>
      </c>
    </row>
    <row r="42" spans="1:8">
      <c r="A42" s="872"/>
      <c r="B42" s="872"/>
      <c r="C42" s="873"/>
      <c r="D42" s="873"/>
      <c r="E42" s="873"/>
      <c r="F42" s="873"/>
      <c r="H42" s="874" t="s">
        <v>1811</v>
      </c>
    </row>
    <row r="43" spans="1:8">
      <c r="A43" s="874" t="s">
        <v>1810</v>
      </c>
      <c r="B43" s="872"/>
      <c r="C43" s="875"/>
      <c r="D43" s="875"/>
      <c r="E43" s="875"/>
      <c r="F43" s="875"/>
      <c r="G43" s="875"/>
      <c r="H43" s="872"/>
    </row>
    <row r="44" spans="1:8">
      <c r="A44" s="874" t="s">
        <v>1713</v>
      </c>
      <c r="B44" s="872"/>
      <c r="C44" s="875"/>
      <c r="D44" s="875"/>
      <c r="E44" s="875"/>
      <c r="F44" s="875"/>
      <c r="H44" s="874">
        <f>G38*0</f>
        <v>0</v>
      </c>
    </row>
    <row r="45" spans="1:8">
      <c r="A45" s="872"/>
      <c r="B45" s="872"/>
      <c r="C45" s="873"/>
      <c r="D45" s="873"/>
      <c r="E45" s="873"/>
      <c r="F45" s="873"/>
      <c r="G45" s="873"/>
      <c r="H45" s="872"/>
    </row>
    <row r="46" spans="1:8">
      <c r="A46" s="872"/>
      <c r="B46" s="872"/>
      <c r="C46" s="873"/>
      <c r="D46" s="873"/>
      <c r="E46" s="873"/>
      <c r="F46" s="873"/>
      <c r="G46" s="873"/>
      <c r="H46" s="872"/>
    </row>
  </sheetData>
  <hyperlinks>
    <hyperlink ref="J14" location="'11'!A1" display="Shhet 11"/>
  </hyperlinks>
  <pageMargins left="0.5" right="0.25" top="1" bottom="1" header="0.5" footer="0.5"/>
  <pageSetup scale="92"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dimension ref="B1:M17"/>
  <sheetViews>
    <sheetView view="pageBreakPreview" zoomScaleSheetLayoutView="100" workbookViewId="0"/>
  </sheetViews>
  <sheetFormatPr defaultRowHeight="12.75"/>
  <cols>
    <col min="1" max="1" width="9.140625" style="182"/>
    <col min="2" max="2" width="6.85546875" style="182" customWidth="1"/>
    <col min="3" max="4" width="20.42578125" style="182" customWidth="1"/>
    <col min="5" max="5" width="22.5703125" style="182" customWidth="1"/>
    <col min="6" max="6" width="23.28515625" style="182" customWidth="1"/>
    <col min="7" max="7" width="24.85546875" style="182" customWidth="1"/>
    <col min="8" max="8" width="26.28515625" style="182" customWidth="1"/>
    <col min="9" max="9" width="6.85546875" style="832" customWidth="1"/>
    <col min="10" max="11" width="10.140625" style="832" bestFit="1" customWidth="1"/>
    <col min="12" max="13" width="9.140625" style="832"/>
    <col min="14" max="16384" width="9.140625" style="182"/>
  </cols>
  <sheetData>
    <row r="1" spans="2:13" ht="13.5" thickBot="1"/>
    <row r="2" spans="2:13" ht="15.75">
      <c r="B2" s="1038" t="str">
        <f>depit!A1</f>
        <v>ABC LTD</v>
      </c>
      <c r="C2" s="1039"/>
      <c r="D2" s="1039"/>
      <c r="E2" s="1039"/>
      <c r="F2" s="1039"/>
      <c r="G2" s="1039"/>
      <c r="H2" s="1040"/>
      <c r="I2" s="833"/>
    </row>
    <row r="3" spans="2:13" ht="16.5" thickBot="1">
      <c r="B3" s="1035" t="s">
        <v>1519</v>
      </c>
      <c r="C3" s="1036"/>
      <c r="D3" s="1036"/>
      <c r="E3" s="1036"/>
      <c r="F3" s="1036"/>
      <c r="G3" s="1036"/>
      <c r="H3" s="1037"/>
      <c r="I3" s="834"/>
    </row>
    <row r="4" spans="2:13">
      <c r="B4" s="541"/>
      <c r="C4" s="540"/>
      <c r="D4" s="540"/>
      <c r="E4" s="540"/>
      <c r="F4" s="540"/>
      <c r="G4" s="540"/>
      <c r="H4" s="539"/>
      <c r="I4" s="835"/>
    </row>
    <row r="5" spans="2:13">
      <c r="B5" s="534"/>
      <c r="C5" s="520"/>
      <c r="D5" s="520"/>
      <c r="E5" s="520"/>
      <c r="F5" s="520"/>
      <c r="G5" s="520"/>
      <c r="H5" s="538"/>
      <c r="I5" s="835"/>
    </row>
    <row r="6" spans="2:13" ht="15.75">
      <c r="B6" s="537"/>
      <c r="C6" s="536" t="s">
        <v>1518</v>
      </c>
      <c r="D6" s="536" t="s">
        <v>1517</v>
      </c>
      <c r="E6" s="536" t="s">
        <v>1516</v>
      </c>
      <c r="F6" s="536" t="s">
        <v>1515</v>
      </c>
      <c r="G6" s="536" t="s">
        <v>1514</v>
      </c>
      <c r="H6" s="535" t="s">
        <v>1513</v>
      </c>
      <c r="I6" s="836"/>
      <c r="J6" s="836" t="s">
        <v>1786</v>
      </c>
      <c r="K6" s="836" t="s">
        <v>1787</v>
      </c>
      <c r="L6" s="836" t="s">
        <v>872</v>
      </c>
      <c r="M6" s="836" t="s">
        <v>998</v>
      </c>
    </row>
    <row r="7" spans="2:13">
      <c r="B7" s="534">
        <v>1</v>
      </c>
      <c r="C7" s="520" t="s">
        <v>1693</v>
      </c>
      <c r="D7" s="265" t="s">
        <v>1512</v>
      </c>
      <c r="E7" s="520"/>
      <c r="F7" s="756">
        <f>depit!E15</f>
        <v>0</v>
      </c>
      <c r="G7" s="759" t="s">
        <v>1701</v>
      </c>
      <c r="H7" s="831" t="str">
        <f>G7</f>
        <v>23/03/2012</v>
      </c>
      <c r="I7" s="837"/>
      <c r="J7" s="838" t="str">
        <f>master!B16</f>
        <v>31/03/2012</v>
      </c>
      <c r="K7" s="839">
        <f>(J7-H7)+1</f>
        <v>9</v>
      </c>
      <c r="L7" s="841">
        <v>0.15</v>
      </c>
      <c r="M7" s="832">
        <f>ROUND(F7*L7*K7/365,0)</f>
        <v>0</v>
      </c>
    </row>
    <row r="8" spans="2:13">
      <c r="B8" s="534">
        <v>2</v>
      </c>
      <c r="C8" s="520" t="s">
        <v>1510</v>
      </c>
      <c r="D8" s="265" t="s">
        <v>1512</v>
      </c>
      <c r="E8" s="520"/>
      <c r="F8" s="756">
        <v>3000</v>
      </c>
      <c r="G8" s="758" t="s">
        <v>1700</v>
      </c>
      <c r="H8" s="533" t="str">
        <f t="shared" ref="H8:H13" si="0">G8</f>
        <v>24/01/2012</v>
      </c>
      <c r="I8" s="840"/>
      <c r="J8" s="838" t="str">
        <f>J$7</f>
        <v>31/03/2012</v>
      </c>
      <c r="K8" s="839">
        <f t="shared" ref="K8:K13" si="1">(J8-H8)+1</f>
        <v>68</v>
      </c>
      <c r="L8" s="841">
        <v>0.15</v>
      </c>
      <c r="M8" s="832">
        <f t="shared" ref="M8:M13" si="2">ROUND(F8*L8*K8/365,0)</f>
        <v>84</v>
      </c>
    </row>
    <row r="9" spans="2:13">
      <c r="B9" s="534">
        <v>3</v>
      </c>
      <c r="C9" s="520" t="s">
        <v>875</v>
      </c>
      <c r="D9" s="265" t="s">
        <v>1512</v>
      </c>
      <c r="E9" s="520"/>
      <c r="F9" s="756">
        <f>depit!D19</f>
        <v>0</v>
      </c>
      <c r="G9" s="758" t="s">
        <v>1696</v>
      </c>
      <c r="H9" s="533" t="str">
        <f t="shared" si="0"/>
        <v>08/06/2011</v>
      </c>
      <c r="I9" s="840"/>
      <c r="J9" s="838" t="str">
        <f t="shared" ref="J9:J13" si="3">J$7</f>
        <v>31/03/2012</v>
      </c>
      <c r="K9" s="839">
        <f t="shared" si="1"/>
        <v>298</v>
      </c>
      <c r="L9" s="841">
        <v>0.15</v>
      </c>
      <c r="M9" s="832">
        <f t="shared" si="2"/>
        <v>0</v>
      </c>
    </row>
    <row r="10" spans="2:13">
      <c r="B10" s="534">
        <v>4</v>
      </c>
      <c r="C10" s="520" t="s">
        <v>1702</v>
      </c>
      <c r="D10" s="265" t="s">
        <v>1512</v>
      </c>
      <c r="E10" s="520"/>
      <c r="F10" s="756">
        <v>16770</v>
      </c>
      <c r="G10" s="758" t="s">
        <v>1699</v>
      </c>
      <c r="H10" s="533" t="str">
        <f t="shared" si="0"/>
        <v>15/04/2011</v>
      </c>
      <c r="I10" s="840"/>
      <c r="J10" s="838" t="str">
        <f t="shared" si="3"/>
        <v>31/03/2012</v>
      </c>
      <c r="K10" s="839">
        <f t="shared" si="1"/>
        <v>352</v>
      </c>
      <c r="L10" s="841">
        <v>0.15</v>
      </c>
      <c r="M10" s="832">
        <f t="shared" si="2"/>
        <v>2426</v>
      </c>
    </row>
    <row r="11" spans="2:13">
      <c r="B11" s="534">
        <v>5</v>
      </c>
      <c r="C11" s="520" t="s">
        <v>1702</v>
      </c>
      <c r="D11" s="265" t="s">
        <v>1512</v>
      </c>
      <c r="E11" s="520"/>
      <c r="F11" s="756">
        <v>66539</v>
      </c>
      <c r="G11" s="758" t="s">
        <v>1698</v>
      </c>
      <c r="H11" s="533" t="str">
        <f t="shared" si="0"/>
        <v>30/04/2011</v>
      </c>
      <c r="I11" s="840"/>
      <c r="J11" s="838" t="str">
        <f t="shared" si="3"/>
        <v>31/03/2012</v>
      </c>
      <c r="K11" s="839">
        <f t="shared" si="1"/>
        <v>337</v>
      </c>
      <c r="L11" s="841">
        <v>0.15</v>
      </c>
      <c r="M11" s="832">
        <f t="shared" si="2"/>
        <v>9215</v>
      </c>
    </row>
    <row r="12" spans="2:13">
      <c r="B12" s="534">
        <v>6</v>
      </c>
      <c r="C12" s="520" t="s">
        <v>1694</v>
      </c>
      <c r="D12" s="757" t="s">
        <v>423</v>
      </c>
      <c r="E12" s="520"/>
      <c r="F12" s="756">
        <f>depit!D31</f>
        <v>0</v>
      </c>
      <c r="G12" s="758" t="s">
        <v>1695</v>
      </c>
      <c r="H12" s="533" t="str">
        <f t="shared" si="0"/>
        <v>07/04/2011</v>
      </c>
      <c r="I12" s="840"/>
      <c r="J12" s="838" t="str">
        <f t="shared" si="3"/>
        <v>31/03/2012</v>
      </c>
      <c r="K12" s="839">
        <f t="shared" si="1"/>
        <v>360</v>
      </c>
      <c r="L12" s="841">
        <v>0.05</v>
      </c>
      <c r="M12" s="832">
        <f t="shared" si="2"/>
        <v>0</v>
      </c>
    </row>
    <row r="13" spans="2:13">
      <c r="B13" s="534">
        <v>7</v>
      </c>
      <c r="C13" s="520" t="s">
        <v>871</v>
      </c>
      <c r="D13" s="265" t="s">
        <v>1512</v>
      </c>
      <c r="E13" s="520"/>
      <c r="F13" s="756">
        <v>4000</v>
      </c>
      <c r="G13" s="758" t="s">
        <v>1697</v>
      </c>
      <c r="H13" s="533" t="str">
        <f t="shared" si="0"/>
        <v>28/03/2012</v>
      </c>
      <c r="I13" s="840"/>
      <c r="J13" s="838" t="str">
        <f t="shared" si="3"/>
        <v>31/03/2012</v>
      </c>
      <c r="K13" s="839">
        <f t="shared" si="1"/>
        <v>4</v>
      </c>
      <c r="L13" s="841">
        <v>0.15</v>
      </c>
      <c r="M13" s="832">
        <f t="shared" si="2"/>
        <v>7</v>
      </c>
    </row>
    <row r="14" spans="2:13" ht="13.5" thickBot="1">
      <c r="B14" s="532"/>
      <c r="C14" s="531"/>
      <c r="D14" s="531"/>
      <c r="E14" s="531"/>
      <c r="F14" s="530">
        <f>SUM(F7:F13)</f>
        <v>90309</v>
      </c>
      <c r="G14" s="529"/>
      <c r="H14" s="528"/>
      <c r="I14" s="835"/>
    </row>
    <row r="15" spans="2:13">
      <c r="G15" s="275"/>
    </row>
    <row r="16" spans="2:13">
      <c r="G16" s="275"/>
    </row>
    <row r="17" spans="7:7">
      <c r="G17" s="275"/>
    </row>
  </sheetData>
  <mergeCells count="2">
    <mergeCell ref="B3:H3"/>
    <mergeCell ref="B2:H2"/>
  </mergeCells>
  <pageMargins left="0.7" right="0.7" top="0.75" bottom="0.75" header="0.3" footer="0.3"/>
  <pageSetup scale="60" orientation="landscape" r:id="rId1"/>
</worksheet>
</file>

<file path=xl/worksheets/sheet59.xml><?xml version="1.0" encoding="utf-8"?>
<worksheet xmlns="http://schemas.openxmlformats.org/spreadsheetml/2006/main" xmlns:r="http://schemas.openxmlformats.org/officeDocument/2006/relationships">
  <sheetPr>
    <pageSetUpPr fitToPage="1"/>
  </sheetPr>
  <dimension ref="A1:H11"/>
  <sheetViews>
    <sheetView workbookViewId="0">
      <selection activeCell="A13" sqref="A13"/>
    </sheetView>
  </sheetViews>
  <sheetFormatPr defaultRowHeight="12.75"/>
  <cols>
    <col min="1" max="1" width="5.7109375" style="182" customWidth="1"/>
    <col min="2" max="2" width="21.7109375" style="182" customWidth="1"/>
    <col min="3" max="3" width="16.42578125" style="182" customWidth="1"/>
    <col min="4" max="4" width="18.28515625" style="271" bestFit="1" customWidth="1"/>
    <col min="5" max="5" width="12.85546875" style="200" bestFit="1" customWidth="1"/>
    <col min="6" max="6" width="19.85546875" style="271" bestFit="1" customWidth="1"/>
    <col min="7" max="7" width="12.85546875" style="200" bestFit="1" customWidth="1"/>
    <col min="8" max="8" width="24.140625" style="271" customWidth="1"/>
    <col min="9" max="16384" width="9.140625" style="182"/>
  </cols>
  <sheetData>
    <row r="1" spans="1:8" ht="15.75">
      <c r="A1" s="321" t="str">
        <f>master!B2</f>
        <v>ABC LTD</v>
      </c>
      <c r="B1" s="320"/>
      <c r="C1" s="186"/>
      <c r="F1" s="232" t="s">
        <v>1161</v>
      </c>
    </row>
    <row r="2" spans="1:8">
      <c r="A2" s="186" t="s">
        <v>464</v>
      </c>
      <c r="F2" s="271" t="s">
        <v>464</v>
      </c>
    </row>
    <row r="3" spans="1:8">
      <c r="A3" s="186" t="s">
        <v>1160</v>
      </c>
    </row>
    <row r="6" spans="1:8">
      <c r="A6" s="292" t="s">
        <v>1159</v>
      </c>
      <c r="B6" s="292" t="s">
        <v>1158</v>
      </c>
      <c r="C6" s="292" t="s">
        <v>1157</v>
      </c>
      <c r="D6" s="292" t="s">
        <v>1155</v>
      </c>
      <c r="E6" s="245" t="s">
        <v>1156</v>
      </c>
      <c r="F6" s="292" t="s">
        <v>1155</v>
      </c>
      <c r="G6" s="245" t="s">
        <v>1154</v>
      </c>
      <c r="H6" s="292" t="s">
        <v>1153</v>
      </c>
    </row>
    <row r="7" spans="1:8">
      <c r="A7" s="278"/>
      <c r="B7" s="289" t="s">
        <v>1152</v>
      </c>
      <c r="C7" s="289" t="s">
        <v>1151</v>
      </c>
      <c r="D7" s="289" t="s">
        <v>1150</v>
      </c>
      <c r="E7" s="272" t="s">
        <v>1149</v>
      </c>
      <c r="F7" s="289" t="s">
        <v>1148</v>
      </c>
      <c r="G7" s="272" t="s">
        <v>1147</v>
      </c>
      <c r="H7" s="289" t="s">
        <v>1146</v>
      </c>
    </row>
    <row r="8" spans="1:8">
      <c r="A8" s="278"/>
      <c r="B8" s="289"/>
      <c r="C8" s="289" t="s">
        <v>1145</v>
      </c>
      <c r="D8" s="289" t="s">
        <v>1144</v>
      </c>
      <c r="E8" s="272" t="s">
        <v>1143</v>
      </c>
      <c r="F8" s="289" t="s">
        <v>1142</v>
      </c>
      <c r="G8" s="272"/>
      <c r="H8" s="289" t="s">
        <v>1141</v>
      </c>
    </row>
    <row r="9" spans="1:8">
      <c r="A9" s="319"/>
      <c r="B9" s="286"/>
      <c r="C9" s="286"/>
      <c r="D9" s="286"/>
      <c r="E9" s="243"/>
      <c r="F9" s="286" t="s">
        <v>1140</v>
      </c>
      <c r="G9" s="243"/>
      <c r="H9" s="286"/>
    </row>
    <row r="11" spans="1:8">
      <c r="A11" s="232"/>
      <c r="C11" s="200"/>
    </row>
  </sheetData>
  <pageMargins left="0.5" right="0.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2:E25"/>
  <sheetViews>
    <sheetView topLeftCell="A12" workbookViewId="0">
      <selection activeCell="A26" sqref="A26"/>
    </sheetView>
  </sheetViews>
  <sheetFormatPr defaultRowHeight="15"/>
  <cols>
    <col min="1" max="1" width="154.85546875" customWidth="1"/>
  </cols>
  <sheetData>
    <row r="2" spans="1:5" ht="33.75" customHeight="1">
      <c r="A2" s="859" t="s">
        <v>1799</v>
      </c>
      <c r="B2" s="859"/>
      <c r="C2" s="859"/>
      <c r="D2" s="859"/>
      <c r="E2" s="859"/>
    </row>
    <row r="3" spans="1:5" ht="15.75">
      <c r="A3" s="859"/>
      <c r="B3" s="859"/>
      <c r="C3" s="859"/>
      <c r="D3" s="859"/>
      <c r="E3" s="859"/>
    </row>
    <row r="4" spans="1:5" ht="33" customHeight="1">
      <c r="A4" s="859" t="s">
        <v>1792</v>
      </c>
      <c r="B4" s="859"/>
      <c r="C4" s="859"/>
      <c r="D4" s="859"/>
      <c r="E4" s="859"/>
    </row>
    <row r="5" spans="1:5" ht="15.75">
      <c r="A5" s="859"/>
      <c r="B5" s="859"/>
      <c r="C5" s="859"/>
      <c r="D5" s="859"/>
      <c r="E5" s="859"/>
    </row>
    <row r="6" spans="1:5" ht="15.75">
      <c r="A6" s="859" t="s">
        <v>1790</v>
      </c>
      <c r="B6" s="859"/>
      <c r="C6" s="859"/>
      <c r="D6" s="859"/>
      <c r="E6" s="859"/>
    </row>
    <row r="7" spans="1:5" ht="15.75">
      <c r="A7" s="859"/>
      <c r="B7" s="859"/>
      <c r="C7" s="859"/>
      <c r="D7" s="859"/>
      <c r="E7" s="859"/>
    </row>
    <row r="8" spans="1:5" ht="15.75">
      <c r="A8" s="859" t="s">
        <v>1858</v>
      </c>
      <c r="B8" s="859"/>
      <c r="C8" s="859"/>
      <c r="D8" s="859"/>
      <c r="E8" s="859"/>
    </row>
    <row r="9" spans="1:5" ht="15.75">
      <c r="A9" s="859"/>
      <c r="B9" s="859"/>
      <c r="C9" s="859"/>
      <c r="D9" s="859"/>
      <c r="E9" s="859"/>
    </row>
    <row r="10" spans="1:5" ht="32.25" customHeight="1">
      <c r="A10" s="861" t="s">
        <v>1793</v>
      </c>
      <c r="B10" s="861"/>
      <c r="C10" s="861"/>
      <c r="D10" s="861"/>
      <c r="E10" s="861"/>
    </row>
    <row r="11" spans="1:5" ht="15.75">
      <c r="A11" s="861"/>
      <c r="B11" s="861"/>
      <c r="C11" s="861"/>
      <c r="D11" s="861"/>
      <c r="E11" s="861"/>
    </row>
    <row r="12" spans="1:5" ht="31.5" customHeight="1">
      <c r="A12" s="859" t="s">
        <v>1794</v>
      </c>
      <c r="B12" s="858"/>
      <c r="C12" s="858"/>
      <c r="D12" s="858"/>
      <c r="E12" s="858"/>
    </row>
    <row r="13" spans="1:5" ht="15.75">
      <c r="A13" s="858"/>
      <c r="B13" s="858"/>
      <c r="C13" s="858"/>
      <c r="D13" s="858"/>
      <c r="E13" s="858"/>
    </row>
    <row r="14" spans="1:5" ht="32.25" customHeight="1">
      <c r="A14" s="861" t="s">
        <v>1795</v>
      </c>
      <c r="B14" s="859"/>
      <c r="C14" s="859"/>
      <c r="D14" s="859"/>
      <c r="E14" s="859"/>
    </row>
    <row r="15" spans="1:5" ht="30.75">
      <c r="A15" s="861" t="s">
        <v>1797</v>
      </c>
      <c r="B15" s="859"/>
      <c r="C15" s="859"/>
      <c r="D15" s="859"/>
      <c r="E15" s="859"/>
    </row>
    <row r="16" spans="1:5" ht="15.75">
      <c r="A16" s="859"/>
      <c r="B16" s="859"/>
      <c r="C16" s="859"/>
      <c r="D16" s="859"/>
      <c r="E16" s="859"/>
    </row>
    <row r="17" spans="1:5" ht="32.25" customHeight="1">
      <c r="A17" s="860" t="s">
        <v>1796</v>
      </c>
      <c r="B17" s="860"/>
      <c r="C17" s="860"/>
      <c r="D17" s="860"/>
      <c r="E17" s="860"/>
    </row>
    <row r="18" spans="1:5" ht="15.75">
      <c r="A18" s="860"/>
      <c r="B18" s="860"/>
      <c r="C18" s="860"/>
      <c r="D18" s="860"/>
      <c r="E18" s="860"/>
    </row>
    <row r="19" spans="1:5" ht="50.25" customHeight="1">
      <c r="A19" s="859" t="s">
        <v>1791</v>
      </c>
      <c r="B19" s="859"/>
      <c r="C19" s="859"/>
      <c r="D19" s="859"/>
      <c r="E19" s="859"/>
    </row>
    <row r="20" spans="1:5" ht="15.75">
      <c r="A20" s="859"/>
      <c r="B20" s="859"/>
      <c r="C20" s="859"/>
      <c r="D20" s="859"/>
      <c r="E20" s="859"/>
    </row>
    <row r="21" spans="1:5" ht="30.75">
      <c r="A21" s="859" t="s">
        <v>1798</v>
      </c>
      <c r="B21" s="859"/>
      <c r="C21" s="859"/>
      <c r="D21" s="859"/>
      <c r="E21" s="859"/>
    </row>
    <row r="23" spans="1:5" ht="15.75">
      <c r="A23" s="859" t="s">
        <v>1803</v>
      </c>
    </row>
    <row r="25" spans="1:5" ht="15.75">
      <c r="A25" s="859" t="s">
        <v>1859</v>
      </c>
    </row>
  </sheetData>
  <hyperlinks>
    <hyperlink ref="A17:E17" r:id="rId1" display="7. This Revised Schdeule VI Template is free if you purchase or already have purchased minimum 10 DSC form Koteshwar Marketing Pvt Ltd (www.koteshwar.co.in)"/>
  </hyperlinks>
  <pageMargins left="0.7" right="0.7" top="0.75" bottom="0.75" header="0.3" footer="0.3"/>
  <pageSetup orientation="portrait" r:id="rId2"/>
</worksheet>
</file>

<file path=xl/worksheets/sheet60.xml><?xml version="1.0" encoding="utf-8"?>
<worksheet xmlns="http://schemas.openxmlformats.org/spreadsheetml/2006/main" xmlns:r="http://schemas.openxmlformats.org/officeDocument/2006/relationships">
  <dimension ref="B1:E14"/>
  <sheetViews>
    <sheetView view="pageBreakPreview" zoomScaleSheetLayoutView="100" workbookViewId="0">
      <selection activeCell="B3" sqref="B3:E3"/>
    </sheetView>
  </sheetViews>
  <sheetFormatPr defaultRowHeight="12.75"/>
  <cols>
    <col min="1" max="1" width="9.140625" style="182"/>
    <col min="2" max="2" width="19.42578125" style="182" customWidth="1"/>
    <col min="3" max="3" width="17.42578125" style="182" customWidth="1"/>
    <col min="4" max="4" width="22.28515625" style="182" customWidth="1"/>
    <col min="5" max="5" width="18.42578125" style="182" customWidth="1"/>
    <col min="6" max="16384" width="9.140625" style="182"/>
  </cols>
  <sheetData>
    <row r="1" spans="2:5" ht="13.5" thickBot="1"/>
    <row r="2" spans="2:5" ht="15">
      <c r="B2" s="1049" t="str">
        <f>depit!A1</f>
        <v>ABC LTD</v>
      </c>
      <c r="C2" s="1050"/>
      <c r="D2" s="1050"/>
      <c r="E2" s="1051"/>
    </row>
    <row r="3" spans="2:5">
      <c r="B3" s="1041"/>
      <c r="C3" s="1042"/>
      <c r="D3" s="1042"/>
      <c r="E3" s="1043"/>
    </row>
    <row r="4" spans="2:5">
      <c r="B4" s="557"/>
      <c r="C4" s="277"/>
      <c r="D4" s="277"/>
      <c r="E4" s="556" t="s">
        <v>1528</v>
      </c>
    </row>
    <row r="5" spans="2:5" ht="13.5" thickBot="1">
      <c r="B5" s="546"/>
      <c r="C5" s="545"/>
      <c r="D5" s="1044" t="s">
        <v>1527</v>
      </c>
      <c r="E5" s="1045"/>
    </row>
    <row r="6" spans="2:5" ht="15.75" thickBot="1">
      <c r="B6" s="1046" t="s">
        <v>1526</v>
      </c>
      <c r="C6" s="1047"/>
      <c r="D6" s="1047"/>
      <c r="E6" s="1048"/>
    </row>
    <row r="7" spans="2:5" ht="13.5" thickBot="1">
      <c r="B7" s="555" t="s">
        <v>1525</v>
      </c>
      <c r="C7" s="554" t="s">
        <v>1524</v>
      </c>
      <c r="D7" s="553" t="s">
        <v>1523</v>
      </c>
      <c r="E7" s="552" t="s">
        <v>1522</v>
      </c>
    </row>
    <row r="8" spans="2:5">
      <c r="B8" s="551"/>
      <c r="C8" s="547"/>
      <c r="D8" s="276"/>
      <c r="E8" s="547"/>
    </row>
    <row r="9" spans="2:5">
      <c r="B9" s="760" t="s">
        <v>1703</v>
      </c>
      <c r="C9" s="761" t="s">
        <v>593</v>
      </c>
      <c r="D9" s="322" t="s">
        <v>1521</v>
      </c>
      <c r="E9" s="762">
        <v>600000</v>
      </c>
    </row>
    <row r="10" spans="2:5">
      <c r="B10" s="551"/>
      <c r="C10" s="547"/>
      <c r="D10" s="230"/>
      <c r="E10" s="763"/>
    </row>
    <row r="11" spans="2:5">
      <c r="B11" s="760" t="s">
        <v>1704</v>
      </c>
      <c r="C11" s="761" t="s">
        <v>593</v>
      </c>
      <c r="D11" s="322" t="s">
        <v>1521</v>
      </c>
      <c r="E11" s="764">
        <v>480000</v>
      </c>
    </row>
    <row r="12" spans="2:5" ht="15">
      <c r="B12" s="551"/>
      <c r="C12" s="550"/>
      <c r="D12" s="230"/>
      <c r="E12" s="549"/>
    </row>
    <row r="13" spans="2:5">
      <c r="B13" s="548"/>
      <c r="C13" s="547"/>
      <c r="D13" s="276"/>
      <c r="E13" s="547"/>
    </row>
    <row r="14" spans="2:5" ht="13.5" thickBot="1">
      <c r="B14" s="546"/>
      <c r="C14" s="544"/>
      <c r="D14" s="545"/>
      <c r="E14" s="544"/>
    </row>
  </sheetData>
  <mergeCells count="4">
    <mergeCell ref="B3:E3"/>
    <mergeCell ref="D5:E5"/>
    <mergeCell ref="B6:E6"/>
    <mergeCell ref="B2:E2"/>
  </mergeCell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sheetPr>
    <pageSetUpPr fitToPage="1"/>
  </sheetPr>
  <dimension ref="A1:K17"/>
  <sheetViews>
    <sheetView view="pageBreakPreview" zoomScaleSheetLayoutView="100" workbookViewId="0">
      <selection activeCell="A2" sqref="A2:H2"/>
    </sheetView>
  </sheetViews>
  <sheetFormatPr defaultRowHeight="12.75"/>
  <cols>
    <col min="1" max="1" width="7.5703125" style="182" customWidth="1"/>
    <col min="2" max="2" width="33.85546875" style="182" customWidth="1"/>
    <col min="3" max="3" width="13.7109375" style="182" bestFit="1" customWidth="1"/>
    <col min="4" max="4" width="14.85546875" style="182" customWidth="1"/>
    <col min="5" max="6" width="13.7109375" style="182" bestFit="1" customWidth="1"/>
    <col min="7" max="7" width="13.7109375" style="182" customWidth="1"/>
    <col min="8" max="8" width="47.5703125" style="182" customWidth="1"/>
    <col min="9" max="9" width="20.5703125" style="271" customWidth="1"/>
    <col min="10" max="16384" width="9.140625" style="182"/>
  </cols>
  <sheetData>
    <row r="1" spans="1:11" ht="14.25">
      <c r="A1" s="1052" t="str">
        <f>depit!A1</f>
        <v>ABC LTD</v>
      </c>
      <c r="B1" s="1053"/>
      <c r="C1" s="1053"/>
      <c r="D1" s="1053"/>
      <c r="E1" s="1053"/>
      <c r="F1" s="1053"/>
      <c r="G1" s="1053"/>
      <c r="H1" s="1054"/>
    </row>
    <row r="2" spans="1:11" ht="13.5" thickBot="1">
      <c r="A2" s="1055"/>
      <c r="B2" s="1056"/>
      <c r="C2" s="1056"/>
      <c r="D2" s="1056"/>
      <c r="E2" s="1056"/>
      <c r="F2" s="1056"/>
      <c r="G2" s="1056"/>
      <c r="H2" s="1057"/>
    </row>
    <row r="3" spans="1:11" ht="16.5" thickBot="1">
      <c r="A3" s="1058" t="s">
        <v>1539</v>
      </c>
      <c r="B3" s="1059"/>
      <c r="C3" s="1059"/>
      <c r="D3" s="1059"/>
      <c r="E3" s="1059"/>
      <c r="F3" s="1059"/>
      <c r="G3" s="1059"/>
      <c r="H3" s="1060"/>
    </row>
    <row r="4" spans="1:11" ht="15.75">
      <c r="A4" s="592"/>
      <c r="B4" s="338"/>
      <c r="C4" s="338"/>
      <c r="D4" s="590"/>
      <c r="E4" s="591"/>
      <c r="F4" s="1061" t="s">
        <v>1538</v>
      </c>
      <c r="G4" s="1061"/>
      <c r="H4" s="1062"/>
    </row>
    <row r="5" spans="1:11" ht="16.5" thickBot="1">
      <c r="A5" s="592"/>
      <c r="B5" s="338"/>
      <c r="C5" s="338"/>
      <c r="D5" s="590"/>
      <c r="E5" s="591"/>
      <c r="F5" s="591"/>
      <c r="G5" s="590"/>
      <c r="H5" s="589"/>
    </row>
    <row r="6" spans="1:11" ht="32.25" thickBot="1">
      <c r="A6" s="588" t="s">
        <v>1537</v>
      </c>
      <c r="B6" s="587" t="s">
        <v>1536</v>
      </c>
      <c r="C6" s="587" t="s">
        <v>1535</v>
      </c>
      <c r="D6" s="586" t="s">
        <v>1534</v>
      </c>
      <c r="E6" s="585" t="s">
        <v>1034</v>
      </c>
      <c r="F6" s="584" t="s">
        <v>1162</v>
      </c>
      <c r="G6" s="583" t="s">
        <v>1533</v>
      </c>
      <c r="H6" s="583" t="s">
        <v>1532</v>
      </c>
      <c r="I6" s="271" t="s">
        <v>1531</v>
      </c>
    </row>
    <row r="7" spans="1:11" ht="15.75">
      <c r="A7" s="582"/>
      <c r="B7" s="581"/>
      <c r="C7" s="581"/>
      <c r="D7" s="579"/>
      <c r="E7" s="580"/>
      <c r="F7" s="580"/>
      <c r="G7" s="579"/>
      <c r="H7" s="578"/>
    </row>
    <row r="8" spans="1:11" ht="15.75">
      <c r="A8" s="565">
        <v>1</v>
      </c>
      <c r="B8" s="569" t="s">
        <v>1530</v>
      </c>
      <c r="C8" s="577"/>
      <c r="D8" s="567"/>
      <c r="E8" s="561"/>
      <c r="F8" s="573"/>
      <c r="G8" s="567"/>
      <c r="H8" s="566"/>
      <c r="I8" s="271">
        <v>54271</v>
      </c>
      <c r="J8" s="570"/>
    </row>
    <row r="9" spans="1:11" ht="15.75">
      <c r="A9" s="565">
        <v>2</v>
      </c>
      <c r="B9" s="569" t="s">
        <v>1529</v>
      </c>
      <c r="C9" s="577"/>
      <c r="D9" s="567"/>
      <c r="E9" s="561"/>
      <c r="F9" s="561"/>
      <c r="G9" s="567"/>
      <c r="H9" s="566"/>
      <c r="I9" s="271">
        <v>54473</v>
      </c>
    </row>
    <row r="10" spans="1:11" ht="15.75">
      <c r="A10" s="565">
        <v>3</v>
      </c>
      <c r="B10" s="569" t="s">
        <v>1529</v>
      </c>
      <c r="C10" s="568"/>
      <c r="D10" s="567"/>
      <c r="E10" s="561"/>
      <c r="F10" s="561"/>
      <c r="G10" s="567"/>
      <c r="H10" s="566"/>
      <c r="I10" s="271">
        <v>54473</v>
      </c>
    </row>
    <row r="11" spans="1:11" ht="15.75">
      <c r="A11" s="565">
        <v>4</v>
      </c>
      <c r="B11" s="576" t="s">
        <v>1529</v>
      </c>
      <c r="C11" s="575"/>
      <c r="D11" s="572"/>
      <c r="E11" s="574"/>
      <c r="F11" s="573"/>
      <c r="G11" s="572"/>
      <c r="H11" s="571"/>
      <c r="I11" s="271">
        <v>54366</v>
      </c>
      <c r="J11" s="570"/>
    </row>
    <row r="12" spans="1:11" ht="15.75">
      <c r="A12" s="565"/>
      <c r="B12" s="569"/>
      <c r="C12" s="568"/>
      <c r="D12" s="567"/>
      <c r="E12" s="561"/>
      <c r="F12" s="561"/>
      <c r="G12" s="567"/>
      <c r="H12" s="566"/>
      <c r="K12" s="182">
        <v>432</v>
      </c>
    </row>
    <row r="13" spans="1:11" ht="15.75">
      <c r="A13" s="565"/>
      <c r="B13" s="564"/>
      <c r="C13" s="563" t="s">
        <v>18</v>
      </c>
      <c r="D13" s="560">
        <f>SUM(D8:D11)</f>
        <v>0</v>
      </c>
      <c r="E13" s="562"/>
      <c r="F13" s="561"/>
      <c r="G13" s="560">
        <f>SUM(G8:G11)</f>
        <v>0</v>
      </c>
      <c r="H13" s="559"/>
      <c r="K13" s="182">
        <f>432*1.5%*13</f>
        <v>84.24</v>
      </c>
    </row>
    <row r="14" spans="1:11" ht="15">
      <c r="A14" s="558"/>
      <c r="B14" s="558"/>
      <c r="C14" s="558"/>
      <c r="D14" s="558"/>
      <c r="E14" s="558"/>
      <c r="F14" s="558"/>
      <c r="G14" s="558"/>
      <c r="H14" s="558"/>
      <c r="K14" s="182">
        <f>SUM(K12:K13)</f>
        <v>516.24</v>
      </c>
    </row>
    <row r="15" spans="1:11" ht="15">
      <c r="A15" s="558"/>
      <c r="B15" s="558"/>
      <c r="C15" s="558"/>
      <c r="D15" s="558"/>
      <c r="E15" s="558"/>
      <c r="F15" s="558"/>
      <c r="G15" s="558"/>
      <c r="H15" s="558"/>
    </row>
    <row r="16" spans="1:11" ht="15">
      <c r="A16" s="558"/>
      <c r="B16" s="558"/>
      <c r="C16" s="558"/>
      <c r="D16" s="558"/>
      <c r="E16" s="558"/>
      <c r="F16" s="558"/>
      <c r="G16" s="558"/>
      <c r="H16" s="558"/>
    </row>
    <row r="17" spans="1:8" s="182" customFormat="1" ht="15">
      <c r="A17" s="558"/>
      <c r="B17" s="558"/>
      <c r="C17" s="558"/>
      <c r="D17" s="558"/>
      <c r="E17" s="558"/>
      <c r="F17" s="558"/>
      <c r="G17" s="558"/>
      <c r="H17" s="558"/>
    </row>
  </sheetData>
  <mergeCells count="4">
    <mergeCell ref="A1:H1"/>
    <mergeCell ref="A2:H2"/>
    <mergeCell ref="A3:H3"/>
    <mergeCell ref="F4:H4"/>
  </mergeCells>
  <pageMargins left="0.7" right="0.7" top="0.75" bottom="0.75" header="0.3" footer="0.3"/>
  <pageSetup scale="77" orientation="landscape" r:id="rId1"/>
  <colBreaks count="1" manualBreakCount="1">
    <brk id="8" max="1048575" man="1"/>
  </colBreaks>
</worksheet>
</file>

<file path=xl/worksheets/sheet62.xml><?xml version="1.0" encoding="utf-8"?>
<worksheet xmlns="http://schemas.openxmlformats.org/spreadsheetml/2006/main" xmlns:r="http://schemas.openxmlformats.org/officeDocument/2006/relationships">
  <dimension ref="A1:G59"/>
  <sheetViews>
    <sheetView view="pageBreakPreview" zoomScaleSheetLayoutView="100" workbookViewId="0">
      <selection activeCell="A9" sqref="A9"/>
    </sheetView>
  </sheetViews>
  <sheetFormatPr defaultRowHeight="12.75"/>
  <cols>
    <col min="1" max="1" width="31.140625" style="186" customWidth="1"/>
    <col min="2" max="2" width="20.28515625" style="232" customWidth="1"/>
    <col min="3" max="3" width="17.140625" style="232" customWidth="1"/>
    <col min="4" max="4" width="17" style="232" customWidth="1"/>
    <col min="5" max="5" width="15.5703125" style="186" customWidth="1"/>
    <col min="6" max="6" width="17" style="593" customWidth="1"/>
    <col min="7" max="7" width="18.85546875" style="593" customWidth="1"/>
    <col min="8" max="16384" width="9.140625" style="186"/>
  </cols>
  <sheetData>
    <row r="1" spans="1:7" ht="15.75">
      <c r="A1" s="1063" t="str">
        <f>depit!A1</f>
        <v>ABC LTD</v>
      </c>
      <c r="B1" s="1064"/>
      <c r="C1" s="1064"/>
      <c r="D1" s="1064"/>
      <c r="E1" s="1064"/>
      <c r="F1" s="1064"/>
      <c r="G1" s="1064"/>
    </row>
    <row r="3" spans="1:7" ht="15">
      <c r="A3" s="1065" t="str">
        <f>CONCATENATE("QUANTITATIVE DETAILS OF GOODS TRADED FOR YEAR ENDED ",master!B16)</f>
        <v>QUANTITATIVE DETAILS OF GOODS TRADED FOR YEAR ENDED 31/03/2012</v>
      </c>
      <c r="B3" s="1065"/>
      <c r="C3" s="1065"/>
      <c r="D3" s="1065"/>
      <c r="E3" s="1065"/>
      <c r="F3" s="1065"/>
      <c r="G3" s="1065"/>
    </row>
    <row r="5" spans="1:7">
      <c r="A5" s="615" t="s">
        <v>290</v>
      </c>
      <c r="B5" s="292" t="s">
        <v>102</v>
      </c>
      <c r="C5" s="615" t="s">
        <v>688</v>
      </c>
      <c r="D5" s="615" t="s">
        <v>1572</v>
      </c>
      <c r="E5" s="615" t="s">
        <v>1571</v>
      </c>
      <c r="F5" s="614" t="s">
        <v>1570</v>
      </c>
      <c r="G5" s="605" t="s">
        <v>1570</v>
      </c>
    </row>
    <row r="6" spans="1:7">
      <c r="A6" s="613"/>
      <c r="B6" s="289" t="s">
        <v>1569</v>
      </c>
      <c r="C6" s="613" t="s">
        <v>464</v>
      </c>
      <c r="D6" s="613" t="s">
        <v>464</v>
      </c>
      <c r="E6" s="613" t="s">
        <v>464</v>
      </c>
      <c r="F6" s="612" t="s">
        <v>1568</v>
      </c>
      <c r="G6" s="600" t="s">
        <v>1567</v>
      </c>
    </row>
    <row r="7" spans="1:7">
      <c r="A7" s="611"/>
      <c r="B7" s="286" t="s">
        <v>1566</v>
      </c>
      <c r="C7" s="611" t="s">
        <v>1566</v>
      </c>
      <c r="D7" s="611" t="s">
        <v>1566</v>
      </c>
      <c r="E7" s="611" t="s">
        <v>1566</v>
      </c>
      <c r="F7" s="610"/>
      <c r="G7" s="609" t="s">
        <v>1565</v>
      </c>
    </row>
    <row r="8" spans="1:7">
      <c r="A8" s="608"/>
      <c r="B8" s="607"/>
      <c r="C8" s="607"/>
      <c r="D8" s="607"/>
      <c r="E8" s="606"/>
      <c r="F8" s="605"/>
      <c r="G8" s="604"/>
    </row>
    <row r="9" spans="1:7">
      <c r="A9" s="603" t="s">
        <v>1564</v>
      </c>
      <c r="B9" s="602">
        <v>346</v>
      </c>
      <c r="C9" s="602">
        <v>555171</v>
      </c>
      <c r="D9" s="602">
        <v>555276</v>
      </c>
      <c r="E9" s="602">
        <f>B9+C9-D9</f>
        <v>241</v>
      </c>
      <c r="F9" s="600">
        <f>G9/E9</f>
        <v>322.05</v>
      </c>
      <c r="G9" s="599">
        <v>77614.05</v>
      </c>
    </row>
    <row r="10" spans="1:7">
      <c r="A10" s="603"/>
      <c r="B10" s="602"/>
      <c r="C10" s="602"/>
      <c r="D10" s="602"/>
      <c r="E10" s="602"/>
      <c r="F10" s="600"/>
      <c r="G10" s="599"/>
    </row>
    <row r="11" spans="1:7">
      <c r="A11" s="603" t="s">
        <v>1563</v>
      </c>
      <c r="B11" s="602">
        <v>7</v>
      </c>
      <c r="C11" s="602">
        <v>538</v>
      </c>
      <c r="D11" s="602">
        <v>524</v>
      </c>
      <c r="E11" s="602">
        <f>B11+C11-D11</f>
        <v>21</v>
      </c>
      <c r="F11" s="600">
        <f t="shared" ref="F11:F57" si="0">G11/E11</f>
        <v>1264.2</v>
      </c>
      <c r="G11" s="599">
        <v>26548.2</v>
      </c>
    </row>
    <row r="12" spans="1:7">
      <c r="A12" s="603"/>
      <c r="B12" s="602"/>
      <c r="C12" s="602"/>
      <c r="D12" s="602"/>
      <c r="E12" s="602"/>
      <c r="F12" s="600"/>
      <c r="G12" s="599"/>
    </row>
    <row r="13" spans="1:7">
      <c r="A13" s="603" t="s">
        <v>1562</v>
      </c>
      <c r="B13" s="602">
        <v>257</v>
      </c>
      <c r="C13" s="602">
        <v>95863</v>
      </c>
      <c r="D13" s="602">
        <v>95802</v>
      </c>
      <c r="E13" s="602">
        <f>B13+C13-D13</f>
        <v>318</v>
      </c>
      <c r="F13" s="600">
        <f t="shared" si="0"/>
        <v>973.88000000000011</v>
      </c>
      <c r="G13" s="599">
        <v>309693.84000000003</v>
      </c>
    </row>
    <row r="14" spans="1:7">
      <c r="A14" s="603"/>
      <c r="B14" s="602"/>
      <c r="C14" s="602"/>
      <c r="D14" s="602"/>
      <c r="E14" s="602"/>
      <c r="F14" s="600"/>
      <c r="G14" s="599"/>
    </row>
    <row r="15" spans="1:7">
      <c r="A15" s="603" t="s">
        <v>1561</v>
      </c>
      <c r="B15" s="602">
        <v>27</v>
      </c>
      <c r="C15" s="602">
        <v>549</v>
      </c>
      <c r="D15" s="602">
        <v>548</v>
      </c>
      <c r="E15" s="602">
        <f>B15+C15-D15</f>
        <v>28</v>
      </c>
      <c r="F15" s="600">
        <f t="shared" si="0"/>
        <v>430.92</v>
      </c>
      <c r="G15" s="599">
        <v>12065.76</v>
      </c>
    </row>
    <row r="16" spans="1:7">
      <c r="A16" s="603"/>
      <c r="B16" s="602"/>
      <c r="C16" s="602"/>
      <c r="D16" s="602"/>
      <c r="E16" s="602"/>
      <c r="F16" s="600"/>
      <c r="G16" s="599"/>
    </row>
    <row r="17" spans="1:7">
      <c r="A17" s="603" t="s">
        <v>1560</v>
      </c>
      <c r="B17" s="602">
        <v>0</v>
      </c>
      <c r="C17" s="602">
        <v>353</v>
      </c>
      <c r="D17" s="602">
        <v>352</v>
      </c>
      <c r="E17" s="602">
        <f>B17+C17-D17</f>
        <v>1</v>
      </c>
      <c r="F17" s="600">
        <f t="shared" si="0"/>
        <v>2434.6799999999998</v>
      </c>
      <c r="G17" s="599">
        <v>2434.6799999999998</v>
      </c>
    </row>
    <row r="18" spans="1:7">
      <c r="A18" s="603"/>
      <c r="B18" s="602"/>
      <c r="C18" s="602"/>
      <c r="D18" s="602"/>
      <c r="E18" s="602"/>
      <c r="F18" s="600"/>
      <c r="G18" s="599"/>
    </row>
    <row r="19" spans="1:7">
      <c r="A19" s="603" t="s">
        <v>1559</v>
      </c>
      <c r="B19" s="602">
        <v>14</v>
      </c>
      <c r="C19" s="602">
        <v>201</v>
      </c>
      <c r="D19" s="602">
        <v>194</v>
      </c>
      <c r="E19" s="602">
        <f>B19+C19-D19</f>
        <v>21</v>
      </c>
      <c r="F19" s="600">
        <f t="shared" si="0"/>
        <v>115.38</v>
      </c>
      <c r="G19" s="599">
        <v>2422.98</v>
      </c>
    </row>
    <row r="20" spans="1:7">
      <c r="A20" s="603"/>
      <c r="B20" s="602"/>
      <c r="C20" s="602"/>
      <c r="D20" s="602"/>
      <c r="E20" s="602"/>
      <c r="F20" s="600"/>
      <c r="G20" s="599"/>
    </row>
    <row r="21" spans="1:7">
      <c r="A21" s="603" t="s">
        <v>1558</v>
      </c>
      <c r="B21" s="602">
        <v>882</v>
      </c>
      <c r="C21" s="602">
        <v>6180</v>
      </c>
      <c r="D21" s="602">
        <v>6610</v>
      </c>
      <c r="E21" s="602">
        <f>B21+C21-D21</f>
        <v>452</v>
      </c>
      <c r="F21" s="600">
        <f t="shared" si="0"/>
        <v>50.7</v>
      </c>
      <c r="G21" s="599">
        <v>22916.400000000001</v>
      </c>
    </row>
    <row r="22" spans="1:7">
      <c r="A22" s="603"/>
      <c r="B22" s="602"/>
      <c r="C22" s="602"/>
      <c r="D22" s="602"/>
      <c r="E22" s="602"/>
      <c r="F22" s="600"/>
      <c r="G22" s="599"/>
    </row>
    <row r="23" spans="1:7">
      <c r="A23" s="603" t="s">
        <v>1557</v>
      </c>
      <c r="B23" s="602">
        <v>142</v>
      </c>
      <c r="C23" s="602">
        <v>8100</v>
      </c>
      <c r="D23" s="602">
        <v>7048</v>
      </c>
      <c r="E23" s="602">
        <f>B23+C23-D23</f>
        <v>1194</v>
      </c>
      <c r="F23" s="600">
        <f t="shared" si="0"/>
        <v>109.25</v>
      </c>
      <c r="G23" s="599">
        <v>130444.5</v>
      </c>
    </row>
    <row r="24" spans="1:7">
      <c r="A24" s="603"/>
      <c r="B24" s="602"/>
      <c r="C24" s="602"/>
      <c r="D24" s="602"/>
      <c r="E24" s="602"/>
      <c r="F24" s="600"/>
      <c r="G24" s="599"/>
    </row>
    <row r="25" spans="1:7">
      <c r="A25" s="603" t="s">
        <v>1556</v>
      </c>
      <c r="B25" s="602">
        <v>5</v>
      </c>
      <c r="C25" s="602">
        <v>19</v>
      </c>
      <c r="D25" s="602">
        <v>20</v>
      </c>
      <c r="E25" s="602">
        <f>B25+C25-D25</f>
        <v>4</v>
      </c>
      <c r="F25" s="600">
        <f t="shared" si="0"/>
        <v>2725</v>
      </c>
      <c r="G25" s="599">
        <v>10900</v>
      </c>
    </row>
    <row r="26" spans="1:7">
      <c r="A26" s="603"/>
      <c r="B26" s="602"/>
      <c r="C26" s="602"/>
      <c r="D26" s="602"/>
      <c r="E26" s="602"/>
      <c r="F26" s="600"/>
      <c r="G26" s="599"/>
    </row>
    <row r="27" spans="1:7">
      <c r="A27" s="603" t="s">
        <v>1555</v>
      </c>
      <c r="B27" s="602">
        <v>11</v>
      </c>
      <c r="C27" s="602">
        <v>21</v>
      </c>
      <c r="D27" s="602">
        <v>19</v>
      </c>
      <c r="E27" s="602">
        <f>B27+C27-D27</f>
        <v>13</v>
      </c>
      <c r="F27" s="600">
        <f t="shared" si="0"/>
        <v>1932.26</v>
      </c>
      <c r="G27" s="599">
        <v>25119.38</v>
      </c>
    </row>
    <row r="28" spans="1:7">
      <c r="A28" s="603"/>
      <c r="B28" s="602"/>
      <c r="C28" s="602"/>
      <c r="D28" s="602"/>
      <c r="E28" s="602"/>
      <c r="F28" s="600"/>
      <c r="G28" s="599"/>
    </row>
    <row r="29" spans="1:7">
      <c r="A29" s="603" t="s">
        <v>1554</v>
      </c>
      <c r="B29" s="602">
        <v>0</v>
      </c>
      <c r="C29" s="602">
        <v>760</v>
      </c>
      <c r="D29" s="602">
        <v>398</v>
      </c>
      <c r="E29" s="602">
        <f>B29+C29-D29</f>
        <v>362</v>
      </c>
      <c r="F29" s="600">
        <f t="shared" si="0"/>
        <v>1005.45</v>
      </c>
      <c r="G29" s="599">
        <v>363972.9</v>
      </c>
    </row>
    <row r="30" spans="1:7">
      <c r="A30" s="603"/>
      <c r="B30" s="602"/>
      <c r="C30" s="602"/>
      <c r="D30" s="602"/>
      <c r="E30" s="602"/>
      <c r="F30" s="600"/>
      <c r="G30" s="599"/>
    </row>
    <row r="31" spans="1:7">
      <c r="A31" s="603" t="s">
        <v>1553</v>
      </c>
      <c r="B31" s="602">
        <v>0</v>
      </c>
      <c r="C31" s="602">
        <v>3300</v>
      </c>
      <c r="D31" s="602">
        <v>3271</v>
      </c>
      <c r="E31" s="602">
        <f>B31+C31-D31</f>
        <v>29</v>
      </c>
      <c r="F31" s="600">
        <f t="shared" si="0"/>
        <v>75.430000000000007</v>
      </c>
      <c r="G31" s="599">
        <v>2187.4700000000003</v>
      </c>
    </row>
    <row r="32" spans="1:7">
      <c r="A32" s="603"/>
      <c r="B32" s="602"/>
      <c r="C32" s="602"/>
      <c r="D32" s="602"/>
      <c r="E32" s="602"/>
      <c r="F32" s="600"/>
      <c r="G32" s="599"/>
    </row>
    <row r="33" spans="1:7">
      <c r="A33" s="603" t="s">
        <v>1552</v>
      </c>
      <c r="B33" s="602">
        <v>712</v>
      </c>
      <c r="C33" s="602">
        <v>8000</v>
      </c>
      <c r="D33" s="602">
        <v>8371</v>
      </c>
      <c r="E33" s="602">
        <f>B33+C33-D33</f>
        <v>341</v>
      </c>
      <c r="F33" s="600">
        <f t="shared" si="0"/>
        <v>131.43</v>
      </c>
      <c r="G33" s="599">
        <v>44817.630000000005</v>
      </c>
    </row>
    <row r="34" spans="1:7">
      <c r="A34" s="603"/>
      <c r="B34" s="602"/>
      <c r="C34" s="602"/>
      <c r="D34" s="602"/>
      <c r="E34" s="602"/>
      <c r="F34" s="600"/>
      <c r="G34" s="599"/>
    </row>
    <row r="35" spans="1:7">
      <c r="A35" s="603" t="s">
        <v>1551</v>
      </c>
      <c r="B35" s="602">
        <v>0</v>
      </c>
      <c r="C35" s="602">
        <v>204</v>
      </c>
      <c r="D35" s="602">
        <v>118</v>
      </c>
      <c r="E35" s="602">
        <f>B35+C35-D35</f>
        <v>86</v>
      </c>
      <c r="F35" s="600">
        <f t="shared" si="0"/>
        <v>175.82</v>
      </c>
      <c r="G35" s="599">
        <v>15120.519999999999</v>
      </c>
    </row>
    <row r="36" spans="1:7">
      <c r="A36" s="603"/>
      <c r="B36" s="602"/>
      <c r="C36" s="602"/>
      <c r="D36" s="602"/>
      <c r="E36" s="602"/>
      <c r="F36" s="600"/>
      <c r="G36" s="599"/>
    </row>
    <row r="37" spans="1:7">
      <c r="A37" s="603" t="s">
        <v>1550</v>
      </c>
      <c r="B37" s="602">
        <v>1</v>
      </c>
      <c r="C37" s="602">
        <v>0</v>
      </c>
      <c r="D37" s="602">
        <v>0</v>
      </c>
      <c r="E37" s="602">
        <f>B37+C37-D37</f>
        <v>1</v>
      </c>
      <c r="F37" s="600">
        <f t="shared" si="0"/>
        <v>1253.5999999999999</v>
      </c>
      <c r="G37" s="599">
        <v>1253.5999999999999</v>
      </c>
    </row>
    <row r="38" spans="1:7">
      <c r="A38" s="603"/>
      <c r="B38" s="602"/>
      <c r="C38" s="602"/>
      <c r="D38" s="602"/>
      <c r="E38" s="602"/>
      <c r="F38" s="600"/>
      <c r="G38" s="599"/>
    </row>
    <row r="39" spans="1:7">
      <c r="A39" s="603" t="s">
        <v>1549</v>
      </c>
      <c r="B39" s="602">
        <v>7</v>
      </c>
      <c r="C39" s="602">
        <v>210</v>
      </c>
      <c r="D39" s="602">
        <v>217</v>
      </c>
      <c r="E39" s="602">
        <f>B39+C39-D39</f>
        <v>0</v>
      </c>
      <c r="F39" s="600"/>
      <c r="G39" s="599">
        <v>0</v>
      </c>
    </row>
    <row r="40" spans="1:7">
      <c r="A40" s="603"/>
      <c r="B40" s="602"/>
      <c r="C40" s="602"/>
      <c r="D40" s="602"/>
      <c r="E40" s="602"/>
      <c r="F40" s="600"/>
      <c r="G40" s="599"/>
    </row>
    <row r="41" spans="1:7">
      <c r="A41" s="603" t="s">
        <v>1548</v>
      </c>
      <c r="B41" s="602">
        <v>81</v>
      </c>
      <c r="C41" s="602">
        <v>4392</v>
      </c>
      <c r="D41" s="602">
        <v>4473</v>
      </c>
      <c r="E41" s="602">
        <f>B41+C41-D41</f>
        <v>0</v>
      </c>
      <c r="F41" s="600"/>
      <c r="G41" s="599">
        <v>0</v>
      </c>
    </row>
    <row r="42" spans="1:7">
      <c r="A42" s="603"/>
      <c r="B42" s="602"/>
      <c r="C42" s="602"/>
      <c r="D42" s="602"/>
      <c r="E42" s="602"/>
      <c r="F42" s="600"/>
      <c r="G42" s="599"/>
    </row>
    <row r="43" spans="1:7">
      <c r="A43" s="603" t="s">
        <v>1547</v>
      </c>
      <c r="B43" s="602">
        <v>13</v>
      </c>
      <c r="C43" s="602">
        <v>12</v>
      </c>
      <c r="D43" s="602">
        <v>25</v>
      </c>
      <c r="E43" s="602">
        <f>B43+C43-D43</f>
        <v>0</v>
      </c>
      <c r="F43" s="600"/>
      <c r="G43" s="599">
        <v>0</v>
      </c>
    </row>
    <row r="44" spans="1:7">
      <c r="A44" s="603"/>
      <c r="B44" s="602"/>
      <c r="C44" s="602"/>
      <c r="D44" s="602"/>
      <c r="E44" s="602"/>
      <c r="F44" s="600"/>
      <c r="G44" s="599"/>
    </row>
    <row r="45" spans="1:7">
      <c r="A45" s="603" t="s">
        <v>1546</v>
      </c>
      <c r="B45" s="602">
        <v>184</v>
      </c>
      <c r="C45" s="602">
        <v>360</v>
      </c>
      <c r="D45" s="602">
        <v>544</v>
      </c>
      <c r="E45" s="602">
        <f>B45+C45-D45</f>
        <v>0</v>
      </c>
      <c r="F45" s="600"/>
      <c r="G45" s="599">
        <v>0</v>
      </c>
    </row>
    <row r="46" spans="1:7">
      <c r="A46" s="603"/>
      <c r="B46" s="602"/>
      <c r="C46" s="602"/>
      <c r="D46" s="602"/>
      <c r="E46" s="602"/>
      <c r="F46" s="600"/>
      <c r="G46" s="599"/>
    </row>
    <row r="47" spans="1:7">
      <c r="A47" s="603" t="s">
        <v>1545</v>
      </c>
      <c r="B47" s="602">
        <v>4</v>
      </c>
      <c r="C47" s="602">
        <v>60</v>
      </c>
      <c r="D47" s="602">
        <v>64</v>
      </c>
      <c r="E47" s="602">
        <f>B47+C47-D47</f>
        <v>0</v>
      </c>
      <c r="F47" s="600"/>
      <c r="G47" s="599">
        <v>0</v>
      </c>
    </row>
    <row r="48" spans="1:7">
      <c r="A48" s="603"/>
      <c r="B48" s="602"/>
      <c r="C48" s="602"/>
      <c r="D48" s="602"/>
      <c r="E48" s="602"/>
      <c r="F48" s="600"/>
      <c r="G48" s="599"/>
    </row>
    <row r="49" spans="1:7">
      <c r="A49" s="603" t="s">
        <v>1544</v>
      </c>
      <c r="B49" s="602">
        <v>13</v>
      </c>
      <c r="C49" s="602">
        <v>0</v>
      </c>
      <c r="D49" s="602">
        <v>13</v>
      </c>
      <c r="E49" s="602">
        <f>B49+C49-D49</f>
        <v>0</v>
      </c>
      <c r="F49" s="600"/>
      <c r="G49" s="599">
        <v>0</v>
      </c>
    </row>
    <row r="50" spans="1:7">
      <c r="A50" s="603"/>
      <c r="B50" s="602"/>
      <c r="C50" s="602"/>
      <c r="D50" s="602"/>
      <c r="E50" s="602"/>
      <c r="F50" s="600"/>
      <c r="G50" s="599"/>
    </row>
    <row r="51" spans="1:7">
      <c r="A51" s="603" t="s">
        <v>1543</v>
      </c>
      <c r="B51" s="602">
        <v>8</v>
      </c>
      <c r="C51" s="602">
        <v>0</v>
      </c>
      <c r="D51" s="602">
        <v>8</v>
      </c>
      <c r="E51" s="602">
        <f>B51+C51-D51</f>
        <v>0</v>
      </c>
      <c r="F51" s="600"/>
      <c r="G51" s="599">
        <v>0</v>
      </c>
    </row>
    <row r="52" spans="1:7">
      <c r="A52" s="603"/>
      <c r="B52" s="602"/>
      <c r="C52" s="602"/>
      <c r="D52" s="602"/>
      <c r="E52" s="602"/>
      <c r="F52" s="600"/>
      <c r="G52" s="599"/>
    </row>
    <row r="53" spans="1:7">
      <c r="A53" s="603" t="s">
        <v>1542</v>
      </c>
      <c r="B53" s="602">
        <v>10</v>
      </c>
      <c r="C53" s="602">
        <v>0</v>
      </c>
      <c r="D53" s="602">
        <v>10</v>
      </c>
      <c r="E53" s="602">
        <f>B53+C53-D53</f>
        <v>0</v>
      </c>
      <c r="F53" s="600"/>
      <c r="G53" s="599">
        <v>0</v>
      </c>
    </row>
    <row r="54" spans="1:7">
      <c r="A54" s="603"/>
      <c r="B54" s="602"/>
      <c r="C54" s="602"/>
      <c r="D54" s="602"/>
      <c r="E54" s="602"/>
      <c r="F54" s="600"/>
      <c r="G54" s="599"/>
    </row>
    <row r="55" spans="1:7">
      <c r="A55" s="603" t="s">
        <v>1541</v>
      </c>
      <c r="B55" s="602">
        <v>60</v>
      </c>
      <c r="C55" s="602">
        <v>468</v>
      </c>
      <c r="D55" s="602">
        <v>528</v>
      </c>
      <c r="E55" s="602">
        <f>B55+C55-D55</f>
        <v>0</v>
      </c>
      <c r="F55" s="600"/>
      <c r="G55" s="599">
        <v>0</v>
      </c>
    </row>
    <row r="56" spans="1:7">
      <c r="A56" s="603"/>
      <c r="B56" s="602"/>
      <c r="C56" s="602"/>
      <c r="D56" s="602"/>
      <c r="E56" s="602"/>
      <c r="F56" s="600"/>
      <c r="G56" s="599"/>
    </row>
    <row r="57" spans="1:7">
      <c r="A57" s="603" t="s">
        <v>1540</v>
      </c>
      <c r="B57" s="602"/>
      <c r="C57" s="602">
        <v>253</v>
      </c>
      <c r="D57" s="602">
        <v>244</v>
      </c>
      <c r="E57" s="602">
        <f>B57+C57-D57</f>
        <v>9</v>
      </c>
      <c r="F57" s="600">
        <f t="shared" si="0"/>
        <v>1135</v>
      </c>
      <c r="G57" s="599">
        <v>10215</v>
      </c>
    </row>
    <row r="58" spans="1:7">
      <c r="A58" s="603"/>
      <c r="B58" s="602"/>
      <c r="C58" s="602"/>
      <c r="D58" s="602"/>
      <c r="E58" s="601"/>
      <c r="F58" s="600"/>
      <c r="G58" s="599"/>
    </row>
    <row r="59" spans="1:7">
      <c r="A59" s="598" t="s">
        <v>18</v>
      </c>
      <c r="B59" s="597"/>
      <c r="C59" s="597"/>
      <c r="D59" s="597"/>
      <c r="E59" s="596"/>
      <c r="F59" s="595"/>
      <c r="G59" s="594">
        <f>SUM(G8:G58)+1</f>
        <v>1057727.9100000001</v>
      </c>
    </row>
  </sheetData>
  <mergeCells count="2">
    <mergeCell ref="A1:G1"/>
    <mergeCell ref="A3:G3"/>
  </mergeCells>
  <pageMargins left="0.7" right="0.7" top="0.75" bottom="0.75" header="0.3" footer="0.3"/>
  <pageSetup scale="67" orientation="portrait" r:id="rId1"/>
</worksheet>
</file>

<file path=xl/worksheets/sheet63.xml><?xml version="1.0" encoding="utf-8"?>
<worksheet xmlns="http://schemas.openxmlformats.org/spreadsheetml/2006/main" xmlns:r="http://schemas.openxmlformats.org/officeDocument/2006/relationships">
  <sheetPr>
    <tabColor theme="6" tint="-0.249977111117893"/>
  </sheetPr>
  <dimension ref="A1:AF185"/>
  <sheetViews>
    <sheetView topLeftCell="A29" workbookViewId="0">
      <selection activeCell="C54" sqref="C54"/>
    </sheetView>
  </sheetViews>
  <sheetFormatPr defaultColWidth="2.85546875" defaultRowHeight="12.75"/>
  <cols>
    <col min="1" max="16384" width="2.85546875" style="182"/>
  </cols>
  <sheetData>
    <row r="1" spans="1:32" ht="15">
      <c r="A1" s="1078" t="s">
        <v>1052</v>
      </c>
      <c r="B1" s="1078"/>
      <c r="C1" s="1078"/>
      <c r="D1" s="1078"/>
      <c r="E1" s="1078"/>
      <c r="F1" s="1078"/>
      <c r="G1" s="1078"/>
      <c r="H1" s="1078"/>
      <c r="I1" s="1078"/>
      <c r="J1" s="1078"/>
      <c r="K1" s="1078"/>
      <c r="L1" s="1078"/>
      <c r="M1" s="1078"/>
      <c r="N1" s="1078"/>
      <c r="O1" s="1078"/>
      <c r="P1" s="1078"/>
      <c r="Q1" s="1078"/>
      <c r="R1" s="1078"/>
      <c r="S1" s="1078"/>
      <c r="T1" s="1078"/>
      <c r="U1" s="1078"/>
      <c r="V1" s="1078"/>
      <c r="W1" s="1078"/>
      <c r="X1" s="1078"/>
      <c r="Y1" s="1078"/>
      <c r="Z1" s="1078"/>
      <c r="AA1" s="1078"/>
      <c r="AB1" s="1078"/>
      <c r="AC1" s="1078"/>
      <c r="AD1" s="1078"/>
      <c r="AE1" s="1078"/>
      <c r="AF1" s="1078"/>
    </row>
    <row r="3" spans="1:32" ht="23.25">
      <c r="A3" s="1079" t="s">
        <v>1051</v>
      </c>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row>
    <row r="4" spans="1:32">
      <c r="A4" s="271"/>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row>
    <row r="5" spans="1:32">
      <c r="A5" s="1069" t="s">
        <v>1050</v>
      </c>
      <c r="B5" s="1069"/>
      <c r="C5" s="1069"/>
      <c r="D5" s="1069"/>
      <c r="E5" s="1069"/>
      <c r="F5" s="1069"/>
      <c r="G5" s="1069"/>
      <c r="H5" s="1069"/>
      <c r="I5" s="1069"/>
      <c r="J5" s="1069"/>
      <c r="K5" s="1069"/>
      <c r="L5" s="1069"/>
      <c r="M5" s="1069"/>
      <c r="N5" s="1069"/>
      <c r="O5" s="1069"/>
      <c r="P5" s="1069"/>
      <c r="Q5" s="1069"/>
      <c r="R5" s="1069"/>
      <c r="S5" s="1069"/>
      <c r="T5" s="1069"/>
      <c r="U5" s="1069"/>
      <c r="V5" s="1069"/>
      <c r="W5" s="1069"/>
      <c r="X5" s="1069"/>
      <c r="Y5" s="1069"/>
      <c r="Z5" s="1069"/>
      <c r="AA5" s="1069"/>
      <c r="AB5" s="1069"/>
      <c r="AC5" s="1069"/>
      <c r="AD5" s="1069"/>
      <c r="AE5" s="1069"/>
      <c r="AF5" s="1069"/>
    </row>
    <row r="6" spans="1:32">
      <c r="A6" s="1069" t="s">
        <v>1049</v>
      </c>
      <c r="B6" s="1069"/>
      <c r="C6" s="1069"/>
      <c r="D6" s="1069"/>
      <c r="E6" s="1069"/>
      <c r="F6" s="1069"/>
      <c r="G6" s="1069"/>
      <c r="H6" s="1069"/>
      <c r="I6" s="1069"/>
      <c r="J6" s="1069"/>
      <c r="K6" s="1069"/>
      <c r="L6" s="1069"/>
      <c r="M6" s="1069"/>
      <c r="N6" s="1069"/>
      <c r="O6" s="1069"/>
      <c r="P6" s="1069"/>
      <c r="Q6" s="1069"/>
      <c r="R6" s="1069"/>
      <c r="S6" s="1069"/>
      <c r="T6" s="1069"/>
      <c r="U6" s="1069"/>
      <c r="V6" s="1069"/>
      <c r="W6" s="1069"/>
      <c r="X6" s="1069"/>
      <c r="Y6" s="1069"/>
      <c r="Z6" s="1069"/>
      <c r="AA6" s="1069"/>
      <c r="AB6" s="1069"/>
      <c r="AC6" s="1069"/>
      <c r="AD6" s="1069"/>
      <c r="AE6" s="1069"/>
      <c r="AF6" s="1069"/>
    </row>
    <row r="7" spans="1:32">
      <c r="A7" s="271"/>
      <c r="B7" s="271"/>
      <c r="C7" s="271"/>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row>
    <row r="8" spans="1:32">
      <c r="A8" s="1069" t="s">
        <v>1048</v>
      </c>
      <c r="B8" s="1069"/>
      <c r="C8" s="1069"/>
      <c r="D8" s="1069"/>
      <c r="E8" s="1069"/>
      <c r="F8" s="1069"/>
      <c r="G8" s="1069"/>
      <c r="H8" s="1069"/>
      <c r="I8" s="1069"/>
      <c r="J8" s="1069"/>
      <c r="K8" s="1069"/>
      <c r="L8" s="1069"/>
      <c r="M8" s="1069"/>
      <c r="N8" s="1069"/>
      <c r="O8" s="1069"/>
      <c r="P8" s="1069"/>
      <c r="Q8" s="1069"/>
      <c r="R8" s="1069"/>
      <c r="S8" s="1069"/>
      <c r="T8" s="1069"/>
      <c r="U8" s="1069"/>
      <c r="V8" s="1069"/>
      <c r="W8" s="1069"/>
      <c r="X8" s="1069"/>
      <c r="Y8" s="1069"/>
      <c r="Z8" s="1069"/>
      <c r="AA8" s="1069"/>
      <c r="AB8" s="1069"/>
      <c r="AC8" s="1069"/>
      <c r="AD8" s="1069"/>
      <c r="AE8" s="1069"/>
      <c r="AF8" s="1069"/>
    </row>
    <row r="9" spans="1:32">
      <c r="A9" s="271"/>
      <c r="B9" s="271"/>
      <c r="C9" s="271"/>
      <c r="D9" s="271"/>
      <c r="E9" s="271"/>
      <c r="F9" s="271"/>
      <c r="G9" s="271"/>
      <c r="H9" s="271"/>
      <c r="I9" s="271"/>
      <c r="J9" s="271"/>
      <c r="K9" s="271"/>
      <c r="L9" s="271"/>
      <c r="M9" s="271"/>
      <c r="N9" s="271"/>
      <c r="O9" s="271"/>
      <c r="P9" s="271"/>
      <c r="Q9" s="271"/>
      <c r="R9" s="271"/>
      <c r="S9" s="271"/>
      <c r="T9" s="271"/>
      <c r="U9" s="271"/>
      <c r="V9" s="271"/>
      <c r="W9" s="271"/>
      <c r="X9" s="271"/>
    </row>
    <row r="10" spans="1:32">
      <c r="A10" s="182" t="s">
        <v>1047</v>
      </c>
      <c r="G10" s="1083" t="str">
        <f>master!B49</f>
        <v>443243243243243432</v>
      </c>
      <c r="H10" s="1073"/>
      <c r="I10" s="1073"/>
      <c r="J10" s="1073"/>
      <c r="K10" s="1073"/>
      <c r="L10" s="1073"/>
      <c r="M10" s="1073"/>
      <c r="N10" s="1073"/>
      <c r="O10" s="1073"/>
      <c r="P10" s="182" t="s">
        <v>582</v>
      </c>
      <c r="U10" s="1075">
        <f>master!B50</f>
        <v>55</v>
      </c>
      <c r="V10" s="1077"/>
      <c r="X10" s="182" t="s">
        <v>1046</v>
      </c>
    </row>
    <row r="12" spans="1:32">
      <c r="A12" s="182" t="s">
        <v>1045</v>
      </c>
      <c r="F12" s="1073" t="str">
        <f>master!B51</f>
        <v>17/06/2005</v>
      </c>
      <c r="G12" s="1073"/>
      <c r="H12" s="1073"/>
      <c r="I12" s="1073"/>
      <c r="J12" s="1073"/>
      <c r="K12" s="1073"/>
      <c r="L12" s="276"/>
      <c r="M12" s="276"/>
      <c r="N12" s="276"/>
      <c r="P12" s="182" t="s">
        <v>1044</v>
      </c>
      <c r="Z12" s="182" t="s">
        <v>1037</v>
      </c>
      <c r="AC12" s="182" t="s">
        <v>1036</v>
      </c>
      <c r="AE12" s="598" t="str">
        <f>IF(master!B52="NO","N","Y")</f>
        <v>N</v>
      </c>
    </row>
    <row r="13" spans="1:32">
      <c r="A13" s="182" t="s">
        <v>41</v>
      </c>
      <c r="F13" s="1074" t="s">
        <v>1002</v>
      </c>
      <c r="G13" s="1074"/>
      <c r="H13" s="1074"/>
      <c r="I13" s="1074"/>
      <c r="J13" s="277"/>
      <c r="L13" s="277"/>
      <c r="M13" s="277"/>
      <c r="N13" s="276"/>
      <c r="P13" s="182" t="s">
        <v>1043</v>
      </c>
    </row>
    <row r="15" spans="1:32" ht="15">
      <c r="A15" s="182" t="s">
        <v>1042</v>
      </c>
      <c r="N15" s="279" t="s">
        <v>1041</v>
      </c>
      <c r="P15" s="1080">
        <f>master!B53</f>
        <v>0</v>
      </c>
      <c r="Q15" s="1081"/>
      <c r="R15" s="1081"/>
      <c r="S15" s="1082"/>
      <c r="T15" s="271"/>
      <c r="U15" s="279" t="s">
        <v>1040</v>
      </c>
      <c r="V15" s="271"/>
      <c r="W15" s="1080">
        <f>master!B54</f>
        <v>0</v>
      </c>
      <c r="X15" s="1081"/>
      <c r="Y15" s="1081"/>
      <c r="Z15" s="1082"/>
      <c r="AE15" s="182" t="s">
        <v>464</v>
      </c>
    </row>
    <row r="16" spans="1:32">
      <c r="A16" s="182" t="s">
        <v>1039</v>
      </c>
    </row>
    <row r="18" spans="1:32">
      <c r="A18" s="182" t="s">
        <v>1038</v>
      </c>
      <c r="F18" s="598" t="str">
        <f>IF(master!B55="NO","N","Y")</f>
        <v>Y</v>
      </c>
      <c r="H18" s="182" t="s">
        <v>1037</v>
      </c>
      <c r="J18" s="182" t="s">
        <v>1036</v>
      </c>
      <c r="M18" s="182" t="s">
        <v>1035</v>
      </c>
      <c r="S18" s="1073" t="str">
        <f>master!B56</f>
        <v>30/09/2012</v>
      </c>
      <c r="T18" s="1073"/>
      <c r="U18" s="1073"/>
      <c r="V18" s="1073"/>
      <c r="W18" s="1073"/>
      <c r="X18" s="1073"/>
      <c r="Y18" s="277"/>
      <c r="Z18" s="277"/>
    </row>
    <row r="19" spans="1:32">
      <c r="M19" s="182" t="s">
        <v>1034</v>
      </c>
      <c r="S19" s="1074" t="s">
        <v>1002</v>
      </c>
      <c r="T19" s="1074"/>
      <c r="U19" s="1074"/>
      <c r="V19" s="1074"/>
      <c r="W19" s="277"/>
      <c r="Y19" s="277"/>
      <c r="Z19" s="277"/>
    </row>
    <row r="21" spans="1:32">
      <c r="A21" s="1069" t="s">
        <v>1033</v>
      </c>
      <c r="B21" s="1069"/>
      <c r="C21" s="1069"/>
      <c r="D21" s="1069"/>
      <c r="E21" s="1069"/>
      <c r="F21" s="1069"/>
      <c r="G21" s="1069"/>
      <c r="H21" s="1069"/>
      <c r="I21" s="1069"/>
      <c r="J21" s="1069"/>
      <c r="K21" s="1069"/>
      <c r="L21" s="1069"/>
      <c r="M21" s="1069"/>
      <c r="N21" s="1069"/>
      <c r="O21" s="1069"/>
      <c r="P21" s="1069"/>
      <c r="Q21" s="1069"/>
      <c r="R21" s="1069"/>
      <c r="S21" s="1069"/>
      <c r="T21" s="1069"/>
      <c r="U21" s="1069"/>
      <c r="V21" s="1069"/>
      <c r="W21" s="1069"/>
      <c r="X21" s="1069"/>
      <c r="Y21" s="1069"/>
      <c r="Z21" s="1069"/>
      <c r="AA21" s="1069"/>
      <c r="AB21" s="1069"/>
      <c r="AC21" s="1069"/>
      <c r="AD21" s="1069"/>
      <c r="AE21" s="1069"/>
      <c r="AF21" s="1069"/>
    </row>
    <row r="23" spans="1:32">
      <c r="A23" s="182" t="s">
        <v>1032</v>
      </c>
      <c r="H23" s="1075" t="str">
        <f>master!B2</f>
        <v>ABC LTD</v>
      </c>
      <c r="I23" s="1076"/>
      <c r="J23" s="1076"/>
      <c r="K23" s="1076"/>
      <c r="L23" s="1076"/>
      <c r="M23" s="1076"/>
      <c r="N23" s="1076"/>
      <c r="O23" s="1076"/>
      <c r="P23" s="1076"/>
      <c r="Q23" s="1076"/>
      <c r="R23" s="1076"/>
      <c r="S23" s="1076"/>
      <c r="T23" s="1076"/>
      <c r="U23" s="1076"/>
      <c r="V23" s="1076"/>
      <c r="W23" s="1076"/>
      <c r="X23" s="1076"/>
      <c r="Y23" s="1076"/>
      <c r="Z23" s="1076"/>
      <c r="AA23" s="1076"/>
      <c r="AB23" s="1076"/>
      <c r="AC23" s="1076"/>
      <c r="AD23" s="1076"/>
      <c r="AE23" s="1076"/>
      <c r="AF23" s="1077"/>
    </row>
    <row r="24" spans="1:32">
      <c r="F24" s="271"/>
      <c r="G24" s="271"/>
      <c r="H24" s="271"/>
      <c r="I24" s="271"/>
      <c r="J24" s="271"/>
      <c r="K24" s="271"/>
      <c r="L24" s="271"/>
      <c r="M24" s="271"/>
      <c r="N24" s="271"/>
      <c r="O24" s="271"/>
      <c r="P24" s="271"/>
      <c r="Q24" s="271"/>
      <c r="R24" s="271"/>
      <c r="S24" s="271"/>
      <c r="T24" s="271"/>
      <c r="U24" s="271"/>
      <c r="V24" s="271"/>
      <c r="W24" s="271"/>
    </row>
    <row r="25" spans="1:32">
      <c r="A25" s="182" t="s">
        <v>588</v>
      </c>
      <c r="H25" s="1075" t="str">
        <f>master!B3</f>
        <v xml:space="preserve">18 Satteleite, </v>
      </c>
      <c r="I25" s="1076"/>
      <c r="J25" s="1076"/>
      <c r="K25" s="1076"/>
      <c r="L25" s="1076"/>
      <c r="M25" s="1076"/>
      <c r="N25" s="1076"/>
      <c r="O25" s="1076"/>
      <c r="P25" s="1076"/>
      <c r="Q25" s="1076"/>
      <c r="R25" s="1076"/>
      <c r="S25" s="1076"/>
      <c r="T25" s="1076"/>
      <c r="U25" s="1076"/>
      <c r="V25" s="1076"/>
      <c r="W25" s="1076"/>
      <c r="X25" s="1076"/>
      <c r="Y25" s="1076"/>
      <c r="Z25" s="1076"/>
      <c r="AA25" s="1076"/>
      <c r="AB25" s="1076"/>
      <c r="AC25" s="1076"/>
      <c r="AD25" s="1076"/>
      <c r="AE25" s="1076"/>
      <c r="AF25" s="1077"/>
    </row>
    <row r="26" spans="1:32">
      <c r="H26" s="271"/>
      <c r="I26" s="271"/>
      <c r="J26" s="271"/>
      <c r="K26" s="271"/>
      <c r="L26" s="271"/>
      <c r="M26" s="271"/>
      <c r="N26" s="271"/>
      <c r="O26" s="271"/>
      <c r="P26" s="271"/>
      <c r="Q26" s="271"/>
      <c r="R26" s="271"/>
      <c r="S26" s="271"/>
      <c r="T26" s="271"/>
      <c r="U26" s="271"/>
      <c r="V26" s="271"/>
      <c r="W26" s="271"/>
      <c r="X26" s="271"/>
      <c r="Y26" s="271"/>
    </row>
    <row r="27" spans="1:32">
      <c r="H27" s="1075" t="str">
        <f>master!B4</f>
        <v xml:space="preserve"> </v>
      </c>
      <c r="I27" s="1076"/>
      <c r="J27" s="1076"/>
      <c r="K27" s="1076"/>
      <c r="L27" s="1076"/>
      <c r="M27" s="1076"/>
      <c r="N27" s="1076"/>
      <c r="O27" s="1076"/>
      <c r="P27" s="1076"/>
      <c r="Q27" s="1076"/>
      <c r="R27" s="1076"/>
      <c r="S27" s="1076"/>
      <c r="T27" s="1076"/>
      <c r="U27" s="1076"/>
      <c r="V27" s="1076"/>
      <c r="W27" s="1076"/>
      <c r="X27" s="1076"/>
      <c r="Y27" s="1076"/>
      <c r="Z27" s="1076"/>
      <c r="AA27" s="1076"/>
      <c r="AB27" s="1076"/>
      <c r="AC27" s="1076"/>
      <c r="AD27" s="1076"/>
      <c r="AE27" s="1076"/>
      <c r="AF27" s="1077"/>
    </row>
    <row r="28" spans="1:32">
      <c r="H28" s="271"/>
      <c r="I28" s="271"/>
      <c r="J28" s="271"/>
      <c r="K28" s="271"/>
      <c r="L28" s="271"/>
      <c r="M28" s="271"/>
      <c r="N28" s="271"/>
      <c r="O28" s="271"/>
      <c r="P28" s="271"/>
      <c r="Q28" s="271"/>
      <c r="R28" s="271"/>
      <c r="S28" s="271"/>
      <c r="T28" s="271"/>
      <c r="U28" s="271"/>
      <c r="V28" s="271"/>
      <c r="W28" s="271"/>
      <c r="X28" s="271"/>
      <c r="Y28" s="271"/>
    </row>
    <row r="29" spans="1:32">
      <c r="A29" s="182" t="s">
        <v>1031</v>
      </c>
      <c r="H29" s="1075" t="str">
        <f>master!B5</f>
        <v>Ahmedabad</v>
      </c>
      <c r="I29" s="1076"/>
      <c r="J29" s="1076"/>
      <c r="K29" s="1076"/>
      <c r="L29" s="1076"/>
      <c r="M29" s="1076"/>
      <c r="N29" s="1076"/>
      <c r="O29" s="1076"/>
      <c r="P29" s="1076"/>
      <c r="Q29" s="1076"/>
      <c r="R29" s="1076"/>
      <c r="S29" s="1076"/>
      <c r="T29" s="1076"/>
      <c r="U29" s="1076"/>
      <c r="V29" s="1076"/>
      <c r="W29" s="1076"/>
      <c r="X29" s="1076"/>
      <c r="Y29" s="1076"/>
      <c r="Z29" s="1076"/>
      <c r="AA29" s="1076"/>
      <c r="AB29" s="1076"/>
      <c r="AC29" s="1076"/>
      <c r="AD29" s="1076"/>
      <c r="AE29" s="1076"/>
      <c r="AF29" s="1077"/>
    </row>
    <row r="31" spans="1:32">
      <c r="A31" s="182" t="s">
        <v>1030</v>
      </c>
      <c r="H31" s="1075" t="str">
        <f>master!B7</f>
        <v>Gujrat</v>
      </c>
      <c r="I31" s="1076"/>
      <c r="J31" s="1076"/>
      <c r="K31" s="1076"/>
      <c r="L31" s="1076"/>
      <c r="M31" s="1076"/>
      <c r="N31" s="1076"/>
      <c r="O31" s="1077"/>
      <c r="Q31" s="182" t="s">
        <v>1029</v>
      </c>
      <c r="T31" s="1075">
        <f>master!B6</f>
        <v>380015</v>
      </c>
      <c r="U31" s="1076"/>
      <c r="V31" s="1076"/>
      <c r="W31" s="1076"/>
      <c r="X31" s="1076"/>
      <c r="Y31" s="1077"/>
    </row>
    <row r="33" spans="1:32">
      <c r="A33" s="182" t="s">
        <v>1028</v>
      </c>
      <c r="H33" s="1075">
        <f>master!B8</f>
        <v>79</v>
      </c>
      <c r="I33" s="1076"/>
      <c r="J33" s="1076"/>
      <c r="K33" s="1076"/>
      <c r="L33" s="1077"/>
      <c r="N33" s="1075">
        <f>master!B9</f>
        <v>0</v>
      </c>
      <c r="O33" s="1076"/>
      <c r="P33" s="1076"/>
      <c r="Q33" s="1076"/>
      <c r="R33" s="1076"/>
      <c r="S33" s="1076"/>
      <c r="T33" s="1076"/>
      <c r="U33" s="1077"/>
    </row>
    <row r="34" spans="1:32">
      <c r="H34" s="1092" t="s">
        <v>1027</v>
      </c>
      <c r="I34" s="1092"/>
      <c r="J34" s="1092"/>
      <c r="K34" s="1092"/>
      <c r="L34" s="1092"/>
      <c r="N34" s="1092" t="s">
        <v>1026</v>
      </c>
      <c r="O34" s="1092"/>
      <c r="P34" s="1092"/>
      <c r="Q34" s="1092"/>
      <c r="R34" s="1092"/>
      <c r="S34" s="1092"/>
      <c r="T34" s="1092"/>
      <c r="U34" s="1092"/>
    </row>
    <row r="36" spans="1:32">
      <c r="A36" s="182" t="s">
        <v>1025</v>
      </c>
      <c r="H36" s="1093"/>
      <c r="I36" s="1094"/>
      <c r="J36" s="1094"/>
      <c r="K36" s="1094"/>
      <c r="L36" s="1095"/>
      <c r="N36" s="1093"/>
      <c r="O36" s="1094"/>
      <c r="P36" s="1094"/>
      <c r="Q36" s="1094"/>
      <c r="R36" s="1094"/>
      <c r="S36" s="1094"/>
      <c r="T36" s="1094"/>
      <c r="U36" s="1095"/>
    </row>
    <row r="38" spans="1:32" ht="15">
      <c r="A38" s="182" t="s">
        <v>1024</v>
      </c>
      <c r="H38" s="1096">
        <f>master!B10</f>
        <v>0</v>
      </c>
      <c r="I38" s="1097"/>
      <c r="J38" s="1097"/>
      <c r="K38" s="1097"/>
      <c r="L38" s="1097"/>
      <c r="M38" s="1097"/>
      <c r="N38" s="1097"/>
      <c r="O38" s="1097"/>
      <c r="P38" s="1097"/>
      <c r="Q38" s="1097"/>
      <c r="R38" s="1097"/>
      <c r="S38" s="1097"/>
      <c r="T38" s="1097"/>
      <c r="U38" s="1098"/>
    </row>
    <row r="40" spans="1:32">
      <c r="A40" s="1069" t="s">
        <v>1023</v>
      </c>
      <c r="B40" s="1069"/>
      <c r="C40" s="1069"/>
      <c r="D40" s="1069"/>
      <c r="E40" s="1069"/>
      <c r="F40" s="1069"/>
      <c r="G40" s="1069"/>
      <c r="H40" s="1069"/>
      <c r="I40" s="1069"/>
      <c r="J40" s="1069"/>
      <c r="K40" s="1069"/>
      <c r="L40" s="1069"/>
      <c r="M40" s="1069"/>
      <c r="N40" s="1069"/>
      <c r="O40" s="1069"/>
      <c r="P40" s="1069"/>
      <c r="Q40" s="1069"/>
      <c r="R40" s="1069"/>
      <c r="S40" s="1069"/>
      <c r="T40" s="1069"/>
      <c r="U40" s="1069"/>
      <c r="V40" s="1069"/>
      <c r="W40" s="1069"/>
      <c r="X40" s="1069"/>
      <c r="Y40" s="1069"/>
      <c r="Z40" s="1069"/>
      <c r="AA40" s="1069"/>
      <c r="AB40" s="1069"/>
      <c r="AC40" s="1069"/>
      <c r="AD40" s="1069"/>
      <c r="AE40" s="1069"/>
      <c r="AF40" s="1069"/>
    </row>
    <row r="42" spans="1:32">
      <c r="A42" s="186" t="s">
        <v>566</v>
      </c>
    </row>
    <row r="44" spans="1:32">
      <c r="A44" s="186" t="s">
        <v>1019</v>
      </c>
      <c r="M44" s="1069" t="s">
        <v>1018</v>
      </c>
      <c r="N44" s="1069"/>
      <c r="O44" s="1069"/>
      <c r="P44" s="1069"/>
      <c r="Q44" s="1069"/>
      <c r="R44" s="1069"/>
      <c r="S44" s="1069"/>
      <c r="T44" s="1069"/>
      <c r="W44" s="1069" t="s">
        <v>567</v>
      </c>
      <c r="X44" s="1069"/>
      <c r="Y44" s="1069"/>
      <c r="Z44" s="1069"/>
      <c r="AA44" s="1069"/>
    </row>
    <row r="45" spans="1:32">
      <c r="W45" s="1069" t="s">
        <v>464</v>
      </c>
      <c r="X45" s="1069"/>
      <c r="Y45" s="1069"/>
      <c r="Z45" s="1069"/>
      <c r="AA45" s="1069"/>
    </row>
    <row r="46" spans="1:32" ht="15">
      <c r="A46" s="182" t="s">
        <v>1017</v>
      </c>
      <c r="M46" s="1070">
        <f>master!B63</f>
        <v>10000</v>
      </c>
      <c r="N46" s="1071"/>
      <c r="O46" s="1071"/>
      <c r="P46" s="1071"/>
      <c r="Q46" s="1071"/>
      <c r="R46" s="1071"/>
      <c r="S46" s="1071"/>
      <c r="T46" s="1072"/>
      <c r="W46" s="1070">
        <f>master!E63</f>
        <v>100</v>
      </c>
      <c r="X46" s="1071"/>
      <c r="Y46" s="1071"/>
      <c r="Z46" s="1071"/>
      <c r="AA46" s="1072"/>
    </row>
    <row r="48" spans="1:32" ht="15">
      <c r="A48" s="182" t="s">
        <v>1016</v>
      </c>
      <c r="M48" s="1070">
        <f>master!B64</f>
        <v>0</v>
      </c>
      <c r="N48" s="1071"/>
      <c r="O48" s="1071"/>
      <c r="P48" s="1071"/>
      <c r="Q48" s="1071"/>
      <c r="R48" s="1071"/>
      <c r="S48" s="1071"/>
      <c r="T48" s="1072"/>
      <c r="W48" s="1070">
        <f>master!D64</f>
        <v>0</v>
      </c>
      <c r="X48" s="1071"/>
      <c r="Y48" s="1071"/>
      <c r="Z48" s="1071"/>
      <c r="AA48" s="1072"/>
    </row>
    <row r="50" spans="1:27" ht="15">
      <c r="B50" s="182" t="s">
        <v>1022</v>
      </c>
      <c r="R50" s="1070">
        <f>W46+W48</f>
        <v>100</v>
      </c>
      <c r="S50" s="1071"/>
      <c r="T50" s="1071"/>
      <c r="U50" s="1071"/>
      <c r="V50" s="1071"/>
      <c r="W50" s="1071"/>
      <c r="X50" s="1071"/>
      <c r="Y50" s="1072"/>
    </row>
    <row r="52" spans="1:27">
      <c r="A52" s="186" t="s">
        <v>565</v>
      </c>
    </row>
    <row r="54" spans="1:27">
      <c r="A54" s="186" t="s">
        <v>1019</v>
      </c>
      <c r="M54" s="1069" t="s">
        <v>1018</v>
      </c>
      <c r="N54" s="1069"/>
      <c r="O54" s="1069"/>
      <c r="P54" s="1069"/>
      <c r="Q54" s="1069"/>
      <c r="R54" s="1069"/>
      <c r="S54" s="1069"/>
      <c r="T54" s="1069"/>
      <c r="W54" s="1069" t="s">
        <v>567</v>
      </c>
      <c r="X54" s="1069"/>
      <c r="Y54" s="1069"/>
      <c r="Z54" s="1069"/>
      <c r="AA54" s="1069"/>
    </row>
    <row r="55" spans="1:27">
      <c r="W55" s="1069" t="s">
        <v>464</v>
      </c>
      <c r="X55" s="1069"/>
      <c r="Y55" s="1069"/>
      <c r="Z55" s="1069"/>
      <c r="AA55" s="1069"/>
    </row>
    <row r="56" spans="1:27" ht="15">
      <c r="A56" s="182" t="s">
        <v>1017</v>
      </c>
      <c r="M56" s="1070">
        <f>master!B66</f>
        <v>10000</v>
      </c>
      <c r="N56" s="1071"/>
      <c r="O56" s="1071"/>
      <c r="P56" s="1071"/>
      <c r="Q56" s="1071"/>
      <c r="R56" s="1071"/>
      <c r="S56" s="1071"/>
      <c r="T56" s="1072"/>
      <c r="U56" s="186"/>
      <c r="V56" s="186"/>
      <c r="W56" s="1070">
        <f>master!E66</f>
        <v>100</v>
      </c>
      <c r="X56" s="1071"/>
      <c r="Y56" s="1071"/>
      <c r="Z56" s="1071"/>
      <c r="AA56" s="1072"/>
    </row>
    <row r="57" spans="1:27">
      <c r="M57" s="186"/>
      <c r="N57" s="186"/>
      <c r="O57" s="186"/>
      <c r="P57" s="186"/>
      <c r="Q57" s="186"/>
      <c r="R57" s="186"/>
      <c r="S57" s="186"/>
      <c r="T57" s="186"/>
      <c r="U57" s="186"/>
      <c r="V57" s="186"/>
      <c r="W57" s="186"/>
      <c r="X57" s="186"/>
      <c r="Y57" s="186"/>
      <c r="Z57" s="186"/>
      <c r="AA57" s="186"/>
    </row>
    <row r="58" spans="1:27" ht="15">
      <c r="A58" s="182" t="s">
        <v>1016</v>
      </c>
      <c r="M58" s="1070">
        <f>master!B67</f>
        <v>0</v>
      </c>
      <c r="N58" s="1071"/>
      <c r="O58" s="1071"/>
      <c r="P58" s="1071"/>
      <c r="Q58" s="1071"/>
      <c r="R58" s="1071"/>
      <c r="S58" s="1071"/>
      <c r="T58" s="1072"/>
      <c r="U58" s="186"/>
      <c r="V58" s="186"/>
      <c r="W58" s="1070">
        <f>master!D67</f>
        <v>0</v>
      </c>
      <c r="X58" s="1071"/>
      <c r="Y58" s="1071"/>
      <c r="Z58" s="1071"/>
      <c r="AA58" s="1072"/>
    </row>
    <row r="59" spans="1:27">
      <c r="M59" s="186"/>
      <c r="N59" s="186"/>
      <c r="O59" s="186"/>
      <c r="P59" s="186"/>
      <c r="Q59" s="186"/>
      <c r="R59" s="186"/>
      <c r="S59" s="186"/>
      <c r="T59" s="186"/>
      <c r="U59" s="186"/>
      <c r="V59" s="186"/>
      <c r="W59" s="186"/>
      <c r="X59" s="186"/>
      <c r="Y59" s="186"/>
      <c r="Z59" s="186"/>
      <c r="AA59" s="186"/>
    </row>
    <row r="60" spans="1:27" ht="15">
      <c r="B60" s="182" t="s">
        <v>1021</v>
      </c>
      <c r="M60" s="186"/>
      <c r="N60" s="186"/>
      <c r="O60" s="186"/>
      <c r="P60" s="186"/>
      <c r="Q60" s="186"/>
      <c r="R60" s="1070">
        <f>W56+W58</f>
        <v>100</v>
      </c>
      <c r="S60" s="1071"/>
      <c r="T60" s="1071"/>
      <c r="U60" s="1071"/>
      <c r="V60" s="1071"/>
      <c r="W60" s="1071"/>
      <c r="X60" s="1071"/>
      <c r="Y60" s="1072"/>
      <c r="Z60" s="186"/>
      <c r="AA60" s="186"/>
    </row>
    <row r="64" spans="1:27">
      <c r="A64" s="186" t="s">
        <v>564</v>
      </c>
    </row>
    <row r="66" spans="1:27">
      <c r="A66" s="186" t="s">
        <v>1019</v>
      </c>
      <c r="M66" s="1069" t="s">
        <v>1018</v>
      </c>
      <c r="N66" s="1069"/>
      <c r="O66" s="1069"/>
      <c r="P66" s="1069"/>
      <c r="Q66" s="1069"/>
      <c r="R66" s="1069"/>
      <c r="S66" s="1069"/>
      <c r="T66" s="1069"/>
      <c r="W66" s="1069" t="s">
        <v>567</v>
      </c>
      <c r="X66" s="1069"/>
      <c r="Y66" s="1069"/>
      <c r="Z66" s="1069"/>
      <c r="AA66" s="1069"/>
    </row>
    <row r="67" spans="1:27">
      <c r="W67" s="1069" t="s">
        <v>464</v>
      </c>
      <c r="X67" s="1069"/>
      <c r="Y67" s="1069"/>
      <c r="Z67" s="1069"/>
      <c r="AA67" s="1069"/>
    </row>
    <row r="68" spans="1:27" ht="15">
      <c r="A68" s="182" t="s">
        <v>1017</v>
      </c>
      <c r="M68" s="1070">
        <f>master!B69</f>
        <v>10000</v>
      </c>
      <c r="N68" s="1071"/>
      <c r="O68" s="1071"/>
      <c r="P68" s="1071"/>
      <c r="Q68" s="1071"/>
      <c r="R68" s="1071"/>
      <c r="S68" s="1071"/>
      <c r="T68" s="1072"/>
      <c r="U68" s="186"/>
      <c r="V68" s="186"/>
      <c r="W68" s="1070">
        <f>master!E69</f>
        <v>100</v>
      </c>
      <c r="X68" s="1071"/>
      <c r="Y68" s="1071"/>
      <c r="Z68" s="1071"/>
      <c r="AA68" s="1072"/>
    </row>
    <row r="69" spans="1:27">
      <c r="M69" s="186"/>
      <c r="N69" s="186"/>
      <c r="O69" s="186"/>
      <c r="P69" s="186"/>
      <c r="Q69" s="186"/>
      <c r="R69" s="186"/>
      <c r="S69" s="186"/>
      <c r="T69" s="186"/>
      <c r="U69" s="186"/>
      <c r="V69" s="186"/>
      <c r="W69" s="186"/>
      <c r="X69" s="186"/>
      <c r="Y69" s="186"/>
      <c r="Z69" s="186"/>
      <c r="AA69" s="186"/>
    </row>
    <row r="70" spans="1:27" ht="15">
      <c r="A70" s="182" t="s">
        <v>1016</v>
      </c>
      <c r="M70" s="1070">
        <f>master!B70</f>
        <v>0</v>
      </c>
      <c r="N70" s="1071"/>
      <c r="O70" s="1071"/>
      <c r="P70" s="1071"/>
      <c r="Q70" s="1071"/>
      <c r="R70" s="1071"/>
      <c r="S70" s="1071"/>
      <c r="T70" s="1072"/>
      <c r="U70" s="186"/>
      <c r="V70" s="186"/>
      <c r="W70" s="1070">
        <f>master!D70</f>
        <v>0</v>
      </c>
      <c r="X70" s="1071"/>
      <c r="Y70" s="1071"/>
      <c r="Z70" s="1071"/>
      <c r="AA70" s="1072"/>
    </row>
    <row r="71" spans="1:27">
      <c r="M71" s="186"/>
      <c r="N71" s="186"/>
      <c r="O71" s="186"/>
      <c r="P71" s="186"/>
      <c r="Q71" s="186"/>
      <c r="R71" s="186"/>
      <c r="S71" s="186"/>
      <c r="T71" s="186"/>
      <c r="U71" s="186"/>
      <c r="V71" s="186"/>
      <c r="W71" s="186"/>
      <c r="X71" s="186"/>
      <c r="Y71" s="186"/>
      <c r="Z71" s="186"/>
      <c r="AA71" s="186"/>
    </row>
    <row r="72" spans="1:27" ht="15">
      <c r="B72" s="182" t="s">
        <v>1020</v>
      </c>
      <c r="M72" s="186"/>
      <c r="N72" s="186"/>
      <c r="O72" s="186"/>
      <c r="P72" s="186"/>
      <c r="Q72" s="186"/>
      <c r="R72" s="1070">
        <f>W68+W70</f>
        <v>100</v>
      </c>
      <c r="S72" s="1071"/>
      <c r="T72" s="1071"/>
      <c r="U72" s="1071"/>
      <c r="V72" s="1071"/>
      <c r="W72" s="1071"/>
      <c r="X72" s="1071"/>
      <c r="Y72" s="1072"/>
      <c r="Z72" s="186"/>
      <c r="AA72" s="186"/>
    </row>
    <row r="76" spans="1:27">
      <c r="A76" s="186" t="s">
        <v>563</v>
      </c>
    </row>
    <row r="78" spans="1:27">
      <c r="A78" s="186" t="s">
        <v>1019</v>
      </c>
      <c r="M78" s="1069" t="s">
        <v>1018</v>
      </c>
      <c r="N78" s="1069"/>
      <c r="O78" s="1069"/>
      <c r="P78" s="1069"/>
      <c r="Q78" s="1069"/>
      <c r="R78" s="1069"/>
      <c r="S78" s="1069"/>
      <c r="T78" s="1069"/>
      <c r="W78" s="1069" t="s">
        <v>567</v>
      </c>
      <c r="X78" s="1069"/>
      <c r="Y78" s="1069"/>
      <c r="Z78" s="1069"/>
      <c r="AA78" s="1069"/>
    </row>
    <row r="79" spans="1:27">
      <c r="W79" s="1069" t="s">
        <v>464</v>
      </c>
      <c r="X79" s="1069"/>
      <c r="Y79" s="1069"/>
      <c r="Z79" s="1069"/>
      <c r="AA79" s="1069"/>
    </row>
    <row r="80" spans="1:27" ht="15">
      <c r="A80" s="182" t="s">
        <v>1017</v>
      </c>
      <c r="M80" s="1070">
        <f>master!B72</f>
        <v>10000</v>
      </c>
      <c r="N80" s="1071"/>
      <c r="O80" s="1071"/>
      <c r="P80" s="1071"/>
      <c r="Q80" s="1071"/>
      <c r="R80" s="1071"/>
      <c r="S80" s="1071"/>
      <c r="T80" s="1072"/>
      <c r="U80" s="186"/>
      <c r="V80" s="186"/>
      <c r="W80" s="1070">
        <f>master!E72</f>
        <v>100</v>
      </c>
      <c r="X80" s="1071"/>
      <c r="Y80" s="1071"/>
      <c r="Z80" s="1071"/>
      <c r="AA80" s="1072"/>
    </row>
    <row r="81" spans="1:27">
      <c r="M81" s="186"/>
      <c r="N81" s="186"/>
      <c r="O81" s="186"/>
      <c r="P81" s="186"/>
      <c r="Q81" s="186"/>
      <c r="R81" s="186"/>
      <c r="S81" s="186"/>
      <c r="T81" s="186"/>
      <c r="U81" s="186"/>
      <c r="V81" s="186"/>
      <c r="W81" s="186"/>
      <c r="X81" s="186"/>
      <c r="Y81" s="186"/>
      <c r="Z81" s="186"/>
      <c r="AA81" s="186"/>
    </row>
    <row r="82" spans="1:27" ht="15">
      <c r="A82" s="182" t="s">
        <v>1016</v>
      </c>
      <c r="M82" s="1070">
        <f>master!B73</f>
        <v>0</v>
      </c>
      <c r="N82" s="1071"/>
      <c r="O82" s="1071"/>
      <c r="P82" s="1071"/>
      <c r="Q82" s="1071"/>
      <c r="R82" s="1071"/>
      <c r="S82" s="1071"/>
      <c r="T82" s="1072"/>
      <c r="U82" s="186"/>
      <c r="V82" s="186"/>
      <c r="W82" s="1070">
        <f>master!D73</f>
        <v>0</v>
      </c>
      <c r="X82" s="1071"/>
      <c r="Y82" s="1071"/>
      <c r="Z82" s="1071"/>
      <c r="AA82" s="1072"/>
    </row>
    <row r="83" spans="1:27">
      <c r="M83" s="186"/>
      <c r="N83" s="186"/>
      <c r="O83" s="186"/>
      <c r="P83" s="186"/>
      <c r="Q83" s="186"/>
      <c r="R83" s="186"/>
      <c r="S83" s="186"/>
      <c r="T83" s="186"/>
      <c r="U83" s="186"/>
      <c r="V83" s="186"/>
      <c r="W83" s="186"/>
      <c r="X83" s="186"/>
      <c r="Y83" s="186"/>
      <c r="Z83" s="186"/>
      <c r="AA83" s="186"/>
    </row>
    <row r="84" spans="1:27" ht="15">
      <c r="B84" s="182" t="s">
        <v>1015</v>
      </c>
      <c r="M84" s="186"/>
      <c r="N84" s="186"/>
      <c r="O84" s="186"/>
      <c r="P84" s="186"/>
      <c r="Q84" s="186"/>
      <c r="R84" s="1070">
        <f>W80+W82</f>
        <v>100</v>
      </c>
      <c r="S84" s="1071"/>
      <c r="T84" s="1071"/>
      <c r="U84" s="1071"/>
      <c r="V84" s="1071"/>
      <c r="W84" s="1071"/>
      <c r="X84" s="1071"/>
      <c r="Y84" s="1072"/>
      <c r="Z84" s="186"/>
      <c r="AA84" s="186"/>
    </row>
    <row r="88" spans="1:27">
      <c r="A88" s="186" t="s">
        <v>560</v>
      </c>
    </row>
    <row r="90" spans="1:27">
      <c r="A90" s="186" t="s">
        <v>1014</v>
      </c>
      <c r="M90" s="1069" t="s">
        <v>1013</v>
      </c>
      <c r="N90" s="1069"/>
      <c r="O90" s="1069"/>
      <c r="P90" s="1069"/>
      <c r="Q90" s="1069"/>
      <c r="R90" s="1069"/>
      <c r="S90" s="1069"/>
      <c r="T90" s="1069"/>
      <c r="W90" s="1069" t="s">
        <v>567</v>
      </c>
      <c r="X90" s="1069"/>
      <c r="Y90" s="1069"/>
      <c r="Z90" s="1069"/>
      <c r="AA90" s="1069"/>
    </row>
    <row r="91" spans="1:27">
      <c r="W91" s="1069" t="s">
        <v>464</v>
      </c>
      <c r="X91" s="1069"/>
      <c r="Y91" s="1069"/>
      <c r="Z91" s="1069"/>
      <c r="AA91" s="1069"/>
    </row>
    <row r="92" spans="1:27" ht="15">
      <c r="A92" s="182" t="s">
        <v>967</v>
      </c>
      <c r="B92" s="182" t="s">
        <v>559</v>
      </c>
      <c r="M92" s="1070">
        <f>master!B75</f>
        <v>0</v>
      </c>
      <c r="N92" s="1071"/>
      <c r="O92" s="1071"/>
      <c r="P92" s="1071"/>
      <c r="Q92" s="1071"/>
      <c r="R92" s="1071"/>
      <c r="S92" s="1071"/>
      <c r="T92" s="1072"/>
      <c r="U92" s="186"/>
      <c r="V92" s="186"/>
      <c r="W92" s="1070">
        <f>master!D75</f>
        <v>0</v>
      </c>
      <c r="X92" s="1071"/>
      <c r="Y92" s="1071"/>
      <c r="Z92" s="1071"/>
      <c r="AA92" s="1072"/>
    </row>
    <row r="93" spans="1:27">
      <c r="M93" s="186"/>
      <c r="N93" s="186"/>
      <c r="O93" s="186"/>
      <c r="P93" s="186"/>
      <c r="Q93" s="186"/>
      <c r="R93" s="186"/>
      <c r="S93" s="186"/>
      <c r="T93" s="186"/>
      <c r="U93" s="186"/>
      <c r="V93" s="186"/>
      <c r="W93" s="186"/>
      <c r="X93" s="186"/>
      <c r="Y93" s="186"/>
      <c r="Z93" s="186"/>
      <c r="AA93" s="186"/>
    </row>
    <row r="94" spans="1:27" ht="15">
      <c r="A94" s="182" t="s">
        <v>996</v>
      </c>
      <c r="B94" s="182" t="s">
        <v>558</v>
      </c>
      <c r="M94" s="1070">
        <f>master!B76</f>
        <v>0</v>
      </c>
      <c r="N94" s="1071"/>
      <c r="O94" s="1071"/>
      <c r="P94" s="1071"/>
      <c r="Q94" s="1071"/>
      <c r="R94" s="1071"/>
      <c r="S94" s="1071"/>
      <c r="T94" s="1072"/>
      <c r="U94" s="186"/>
      <c r="V94" s="186"/>
      <c r="W94" s="1070">
        <f>master!D76</f>
        <v>0</v>
      </c>
      <c r="X94" s="1071"/>
      <c r="Y94" s="1071"/>
      <c r="Z94" s="1071"/>
      <c r="AA94" s="1072"/>
    </row>
    <row r="95" spans="1:27">
      <c r="M95" s="186"/>
      <c r="N95" s="186"/>
      <c r="O95" s="186"/>
      <c r="P95" s="186"/>
      <c r="Q95" s="186"/>
      <c r="R95" s="186"/>
      <c r="S95" s="186"/>
      <c r="T95" s="186"/>
      <c r="U95" s="186"/>
      <c r="V95" s="186"/>
      <c r="W95" s="186"/>
      <c r="X95" s="186"/>
      <c r="Y95" s="186"/>
      <c r="Z95" s="186"/>
      <c r="AA95" s="186"/>
    </row>
    <row r="96" spans="1:27" ht="15">
      <c r="A96" s="182" t="s">
        <v>1012</v>
      </c>
      <c r="M96" s="1070">
        <f>master!B77</f>
        <v>0</v>
      </c>
      <c r="N96" s="1071"/>
      <c r="O96" s="1071"/>
      <c r="P96" s="1071"/>
      <c r="Q96" s="1071"/>
      <c r="R96" s="1071"/>
      <c r="S96" s="1071"/>
      <c r="T96" s="1072"/>
      <c r="U96" s="186"/>
      <c r="V96" s="186"/>
      <c r="W96" s="1070">
        <f>master!D77</f>
        <v>0</v>
      </c>
      <c r="X96" s="1071"/>
      <c r="Y96" s="1071"/>
      <c r="Z96" s="1071"/>
      <c r="AA96" s="1072"/>
    </row>
    <row r="97" spans="1:32">
      <c r="M97" s="186"/>
      <c r="N97" s="186"/>
      <c r="O97" s="186"/>
      <c r="P97" s="186"/>
      <c r="Q97" s="186"/>
      <c r="R97" s="186"/>
      <c r="S97" s="186"/>
      <c r="T97" s="186"/>
      <c r="U97" s="186"/>
      <c r="V97" s="186"/>
      <c r="W97" s="186"/>
      <c r="X97" s="186"/>
      <c r="Y97" s="186"/>
      <c r="Z97" s="186"/>
      <c r="AA97" s="186"/>
    </row>
    <row r="98" spans="1:32" ht="15">
      <c r="B98" s="182" t="s">
        <v>1011</v>
      </c>
      <c r="M98" s="186"/>
      <c r="N98" s="186"/>
      <c r="O98" s="186"/>
      <c r="P98" s="186"/>
      <c r="Q98" s="186"/>
      <c r="R98" s="1070">
        <f>W92+W94+W96</f>
        <v>0</v>
      </c>
      <c r="S98" s="1071"/>
      <c r="T98" s="1071"/>
      <c r="U98" s="1071"/>
      <c r="V98" s="1071"/>
      <c r="W98" s="1071"/>
      <c r="X98" s="1071"/>
      <c r="Y98" s="1072"/>
      <c r="Z98" s="186"/>
      <c r="AA98" s="186"/>
    </row>
    <row r="100" spans="1:32">
      <c r="A100" s="1069" t="s">
        <v>1010</v>
      </c>
      <c r="B100" s="1069"/>
      <c r="C100" s="1069"/>
      <c r="D100" s="1069"/>
      <c r="E100" s="1069"/>
      <c r="F100" s="1069"/>
      <c r="G100" s="1069"/>
      <c r="H100" s="1069"/>
      <c r="I100" s="1069"/>
      <c r="J100" s="1069"/>
      <c r="K100" s="1069"/>
      <c r="L100" s="1069"/>
      <c r="M100" s="1069"/>
      <c r="N100" s="1069"/>
      <c r="O100" s="1069"/>
      <c r="P100" s="1069"/>
      <c r="Q100" s="1069"/>
      <c r="R100" s="1069"/>
      <c r="S100" s="1069"/>
      <c r="T100" s="1069"/>
      <c r="U100" s="1069"/>
      <c r="V100" s="1069"/>
      <c r="W100" s="1069"/>
      <c r="X100" s="1069"/>
      <c r="Y100" s="1069"/>
      <c r="Z100" s="1069"/>
      <c r="AA100" s="1069"/>
      <c r="AB100" s="1069"/>
      <c r="AC100" s="1069"/>
      <c r="AD100" s="1069"/>
      <c r="AE100" s="1069"/>
      <c r="AF100" s="1069"/>
    </row>
    <row r="101" spans="1:32">
      <c r="A101" s="1069" t="s">
        <v>1009</v>
      </c>
      <c r="B101" s="1069"/>
      <c r="C101" s="1069"/>
      <c r="D101" s="1069"/>
      <c r="E101" s="1069"/>
      <c r="F101" s="1069"/>
      <c r="G101" s="1069"/>
      <c r="H101" s="1069"/>
      <c r="I101" s="1069"/>
      <c r="J101" s="1069"/>
      <c r="K101" s="1069"/>
      <c r="L101" s="1069"/>
      <c r="M101" s="1069"/>
      <c r="N101" s="1069"/>
      <c r="O101" s="1069"/>
      <c r="P101" s="1069"/>
      <c r="Q101" s="1069"/>
      <c r="R101" s="1069"/>
      <c r="S101" s="1069"/>
      <c r="T101" s="1069"/>
      <c r="U101" s="1069"/>
      <c r="V101" s="1069"/>
      <c r="W101" s="1069"/>
      <c r="X101" s="1069"/>
      <c r="Y101" s="1069"/>
      <c r="Z101" s="1069"/>
      <c r="AA101" s="1069"/>
      <c r="AB101" s="1069"/>
      <c r="AC101" s="1069"/>
      <c r="AD101" s="1069"/>
      <c r="AE101" s="1069"/>
      <c r="AF101" s="1069"/>
    </row>
    <row r="102" spans="1:32">
      <c r="A102" s="271"/>
      <c r="B102" s="271"/>
      <c r="C102" s="271"/>
      <c r="D102" s="271"/>
      <c r="E102" s="271"/>
      <c r="F102" s="271"/>
      <c r="G102" s="271"/>
      <c r="H102" s="271"/>
      <c r="I102" s="271"/>
      <c r="J102" s="271"/>
      <c r="K102" s="271"/>
      <c r="L102" s="271"/>
      <c r="M102" s="271"/>
      <c r="N102" s="271"/>
      <c r="O102" s="271"/>
      <c r="P102" s="271"/>
      <c r="Q102" s="271"/>
      <c r="R102" s="271"/>
      <c r="S102" s="271"/>
      <c r="T102" s="271"/>
      <c r="U102" s="271"/>
      <c r="V102" s="271"/>
      <c r="W102" s="271"/>
      <c r="X102" s="271"/>
      <c r="Y102" s="271"/>
      <c r="Z102" s="271"/>
      <c r="AA102" s="271"/>
      <c r="AB102" s="271"/>
      <c r="AC102" s="271"/>
      <c r="AD102" s="271"/>
      <c r="AE102" s="271"/>
      <c r="AF102" s="271"/>
    </row>
    <row r="103" spans="1:32">
      <c r="A103" s="905" t="s">
        <v>1008</v>
      </c>
      <c r="B103" s="905"/>
      <c r="C103" s="905"/>
      <c r="D103" s="905"/>
      <c r="E103" s="905"/>
      <c r="F103" s="905"/>
      <c r="G103" s="905"/>
      <c r="H103" s="905"/>
      <c r="I103" s="905"/>
      <c r="J103" s="905"/>
      <c r="K103" s="905"/>
      <c r="L103" s="905"/>
      <c r="M103" s="905"/>
      <c r="N103" s="905"/>
      <c r="O103" s="905"/>
      <c r="P103" s="905"/>
      <c r="Q103" s="905"/>
      <c r="R103" s="905"/>
      <c r="S103" s="905"/>
      <c r="T103" s="905"/>
      <c r="U103" s="905"/>
      <c r="V103" s="905"/>
      <c r="W103" s="905"/>
      <c r="X103" s="905"/>
      <c r="Y103" s="905"/>
      <c r="Z103" s="905"/>
      <c r="AA103" s="905"/>
      <c r="AB103" s="905"/>
      <c r="AC103" s="905"/>
      <c r="AD103" s="905"/>
      <c r="AE103" s="905"/>
      <c r="AF103" s="905"/>
    </row>
    <row r="104" spans="1:32">
      <c r="A104" s="271"/>
      <c r="B104" s="271"/>
      <c r="C104" s="271"/>
      <c r="D104" s="271"/>
      <c r="E104" s="271"/>
      <c r="F104" s="271"/>
      <c r="G104" s="271"/>
      <c r="H104" s="271"/>
      <c r="I104" s="271"/>
      <c r="J104" s="271"/>
      <c r="K104" s="271"/>
      <c r="L104" s="271"/>
      <c r="M104" s="271"/>
      <c r="N104" s="271"/>
      <c r="O104" s="271"/>
      <c r="P104" s="271"/>
      <c r="Q104" s="271"/>
      <c r="R104" s="271"/>
      <c r="S104" s="271"/>
      <c r="T104" s="271"/>
      <c r="U104" s="271"/>
      <c r="V104" s="271"/>
      <c r="W104" s="271"/>
      <c r="X104" s="271"/>
      <c r="Y104" s="271"/>
      <c r="Z104" s="271"/>
      <c r="AA104" s="271"/>
      <c r="AB104" s="271"/>
      <c r="AC104" s="271"/>
      <c r="AD104" s="271"/>
      <c r="AE104" s="271"/>
      <c r="AF104" s="271"/>
    </row>
    <row r="106" spans="1:32">
      <c r="A106" s="1069" t="s">
        <v>1007</v>
      </c>
      <c r="B106" s="1069"/>
      <c r="C106" s="1069"/>
      <c r="D106" s="1069"/>
      <c r="E106" s="1069"/>
      <c r="F106" s="1069"/>
      <c r="G106" s="1069"/>
      <c r="H106" s="1069"/>
      <c r="I106" s="1069"/>
      <c r="J106" s="1069"/>
      <c r="K106" s="1069"/>
      <c r="L106" s="1069"/>
      <c r="M106" s="1069"/>
      <c r="N106" s="1069"/>
      <c r="O106" s="1069"/>
      <c r="P106" s="1069"/>
      <c r="Q106" s="1069"/>
      <c r="R106" s="1069"/>
      <c r="S106" s="1069"/>
      <c r="T106" s="1069"/>
      <c r="U106" s="1069"/>
      <c r="V106" s="1069"/>
      <c r="W106" s="1069"/>
      <c r="X106" s="1069"/>
      <c r="Y106" s="1069"/>
      <c r="Z106" s="1069"/>
      <c r="AA106" s="1069"/>
      <c r="AB106" s="1069"/>
      <c r="AC106" s="1069"/>
      <c r="AD106" s="1069"/>
      <c r="AE106" s="1069"/>
      <c r="AF106" s="1069"/>
    </row>
    <row r="107" spans="1:32">
      <c r="A107" s="271"/>
      <c r="B107" s="271"/>
      <c r="C107" s="271"/>
      <c r="D107" s="271"/>
      <c r="E107" s="271"/>
      <c r="F107" s="271"/>
      <c r="G107" s="271"/>
      <c r="H107" s="271"/>
      <c r="I107" s="271"/>
      <c r="J107" s="271"/>
      <c r="K107" s="271"/>
      <c r="L107" s="271"/>
      <c r="M107" s="271"/>
      <c r="N107" s="271"/>
      <c r="O107" s="271"/>
      <c r="P107" s="271"/>
      <c r="Q107" s="271"/>
      <c r="R107" s="271"/>
      <c r="S107" s="271"/>
      <c r="T107" s="271"/>
      <c r="U107" s="271"/>
      <c r="V107" s="271"/>
      <c r="W107" s="271"/>
      <c r="X107" s="271"/>
      <c r="Y107" s="271"/>
      <c r="Z107" s="271"/>
      <c r="AA107" s="271"/>
      <c r="AB107" s="271"/>
      <c r="AC107" s="271"/>
      <c r="AD107" s="271"/>
      <c r="AE107" s="271"/>
      <c r="AF107" s="271"/>
    </row>
    <row r="108" spans="1:32">
      <c r="A108" s="905" t="s">
        <v>1006</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row>
    <row r="109" spans="1:32">
      <c r="A109" s="271"/>
      <c r="B109" s="271"/>
      <c r="C109" s="271"/>
      <c r="D109" s="271"/>
      <c r="E109" s="271"/>
      <c r="F109" s="271"/>
      <c r="G109" s="271"/>
      <c r="H109" s="271"/>
      <c r="I109" s="271"/>
      <c r="J109" s="271"/>
      <c r="K109" s="271"/>
      <c r="L109" s="271"/>
      <c r="M109" s="271"/>
      <c r="N109" s="271"/>
      <c r="O109" s="271"/>
      <c r="P109" s="271"/>
      <c r="Q109" s="271"/>
      <c r="R109" s="271"/>
      <c r="S109" s="271"/>
      <c r="T109" s="271"/>
      <c r="U109" s="271"/>
      <c r="V109" s="271"/>
      <c r="W109" s="271"/>
      <c r="X109" s="271"/>
      <c r="Y109" s="271"/>
      <c r="Z109" s="271"/>
      <c r="AA109" s="271"/>
      <c r="AB109" s="271"/>
      <c r="AC109" s="271"/>
      <c r="AD109" s="271"/>
      <c r="AE109" s="271"/>
      <c r="AF109" s="271"/>
    </row>
    <row r="111" spans="1:32">
      <c r="A111" s="1069" t="s">
        <v>1005</v>
      </c>
      <c r="B111" s="1069"/>
      <c r="C111" s="1069"/>
      <c r="D111" s="1069"/>
      <c r="E111" s="1069"/>
      <c r="F111" s="1069"/>
      <c r="G111" s="1069"/>
      <c r="H111" s="1069"/>
      <c r="I111" s="1069"/>
      <c r="J111" s="1069"/>
      <c r="K111" s="1069"/>
      <c r="L111" s="1069"/>
      <c r="M111" s="1069"/>
      <c r="N111" s="1069"/>
      <c r="O111" s="1069"/>
      <c r="P111" s="1069"/>
      <c r="Q111" s="1069"/>
      <c r="R111" s="1069"/>
      <c r="S111" s="1069"/>
      <c r="T111" s="1069"/>
      <c r="U111" s="1069"/>
      <c r="V111" s="1069"/>
      <c r="W111" s="1069"/>
      <c r="X111" s="1069"/>
      <c r="Y111" s="1069"/>
      <c r="Z111" s="1069"/>
      <c r="AA111" s="1069"/>
      <c r="AB111" s="1069"/>
      <c r="AC111" s="1069"/>
      <c r="AD111" s="1069"/>
      <c r="AE111" s="1069"/>
      <c r="AF111" s="1069"/>
    </row>
    <row r="112" spans="1:32">
      <c r="A112" s="1069" t="s">
        <v>1004</v>
      </c>
      <c r="B112" s="1069"/>
      <c r="C112" s="1069"/>
      <c r="D112" s="1069"/>
      <c r="E112" s="1069"/>
      <c r="F112" s="1069"/>
      <c r="G112" s="1069"/>
      <c r="H112" s="1069"/>
      <c r="I112" s="1069"/>
      <c r="J112" s="1069"/>
      <c r="K112" s="1069"/>
      <c r="L112" s="1069"/>
      <c r="M112" s="1069"/>
      <c r="N112" s="1069"/>
      <c r="O112" s="1069"/>
      <c r="P112" s="1069"/>
      <c r="Q112" s="1069"/>
      <c r="R112" s="1069"/>
      <c r="S112" s="1069"/>
      <c r="T112" s="1069"/>
      <c r="U112" s="1069"/>
      <c r="V112" s="1069"/>
      <c r="W112" s="1069"/>
      <c r="X112" s="1069"/>
      <c r="Y112" s="1069"/>
      <c r="Z112" s="1069"/>
      <c r="AA112" s="1069"/>
      <c r="AB112" s="1069"/>
      <c r="AC112" s="1069"/>
      <c r="AD112" s="1069"/>
      <c r="AE112" s="1069"/>
      <c r="AF112" s="1069"/>
    </row>
    <row r="114" spans="1:32">
      <c r="A114" s="182" t="s">
        <v>1003</v>
      </c>
      <c r="J114" s="1073" t="str">
        <f>master!B57</f>
        <v>30/09/2011</v>
      </c>
      <c r="K114" s="1073"/>
      <c r="L114" s="1073"/>
      <c r="M114" s="1073"/>
      <c r="N114" s="1073"/>
      <c r="O114" s="1073"/>
      <c r="P114" s="278"/>
      <c r="Q114" s="278"/>
      <c r="R114" s="276"/>
    </row>
    <row r="115" spans="1:32">
      <c r="J115" s="1074" t="s">
        <v>1002</v>
      </c>
      <c r="K115" s="1074"/>
      <c r="L115" s="1074"/>
      <c r="M115" s="1074"/>
      <c r="N115" s="277"/>
      <c r="P115" s="277"/>
      <c r="Q115" s="277"/>
      <c r="R115" s="276"/>
    </row>
    <row r="117" spans="1:32">
      <c r="A117" s="905" t="str">
        <f>IF(master!B58="NO", "Nil","As per Annexure -C")</f>
        <v>Nil</v>
      </c>
      <c r="B117" s="905"/>
      <c r="C117" s="905"/>
      <c r="D117" s="905"/>
      <c r="E117" s="905"/>
      <c r="F117" s="905"/>
      <c r="G117" s="905"/>
      <c r="H117" s="905"/>
      <c r="I117" s="905"/>
      <c r="J117" s="905"/>
      <c r="K117" s="905"/>
      <c r="L117" s="905"/>
      <c r="M117" s="905"/>
      <c r="N117" s="905"/>
      <c r="O117" s="905"/>
      <c r="P117" s="905"/>
      <c r="Q117" s="905"/>
      <c r="R117" s="905"/>
      <c r="S117" s="905"/>
      <c r="T117" s="905"/>
      <c r="U117" s="905"/>
      <c r="V117" s="905"/>
      <c r="W117" s="905"/>
      <c r="X117" s="905"/>
      <c r="Y117" s="905"/>
      <c r="Z117" s="905"/>
      <c r="AA117" s="905"/>
      <c r="AB117" s="905"/>
      <c r="AC117" s="905"/>
      <c r="AD117" s="905"/>
      <c r="AE117" s="905"/>
      <c r="AF117" s="905"/>
    </row>
    <row r="120" spans="1:32">
      <c r="A120" s="1069" t="s">
        <v>1001</v>
      </c>
      <c r="B120" s="1069"/>
      <c r="C120" s="1069"/>
      <c r="D120" s="1069"/>
      <c r="E120" s="1069"/>
      <c r="F120" s="1069"/>
      <c r="G120" s="1069"/>
      <c r="H120" s="1069"/>
      <c r="I120" s="1069"/>
      <c r="J120" s="1069"/>
      <c r="K120" s="1069"/>
      <c r="L120" s="1069"/>
      <c r="M120" s="1069"/>
      <c r="N120" s="1069"/>
      <c r="O120" s="1069"/>
      <c r="P120" s="1069"/>
      <c r="Q120" s="1069"/>
      <c r="R120" s="1069"/>
      <c r="S120" s="1069"/>
      <c r="T120" s="1069"/>
      <c r="U120" s="1069"/>
      <c r="V120" s="1069"/>
      <c r="W120" s="1069"/>
      <c r="X120" s="1069"/>
      <c r="Y120" s="1069"/>
      <c r="Z120" s="1069"/>
      <c r="AA120" s="1069"/>
      <c r="AB120" s="1069"/>
      <c r="AC120" s="1069"/>
      <c r="AD120" s="1069"/>
      <c r="AE120" s="1069"/>
      <c r="AF120" s="1069"/>
    </row>
    <row r="121" spans="1:32">
      <c r="A121" s="1069" t="s">
        <v>1000</v>
      </c>
      <c r="B121" s="1069"/>
      <c r="C121" s="1069"/>
      <c r="D121" s="1069"/>
      <c r="E121" s="1069"/>
      <c r="F121" s="1069"/>
      <c r="G121" s="1069"/>
      <c r="H121" s="1069"/>
      <c r="I121" s="1069"/>
      <c r="J121" s="1069"/>
      <c r="K121" s="1069"/>
      <c r="L121" s="1069"/>
      <c r="M121" s="1069"/>
      <c r="N121" s="1069"/>
      <c r="O121" s="1069"/>
      <c r="P121" s="1069"/>
      <c r="Q121" s="1069"/>
      <c r="R121" s="1069"/>
      <c r="S121" s="1069"/>
      <c r="T121" s="1069"/>
      <c r="U121" s="1069"/>
      <c r="V121" s="1069"/>
      <c r="W121" s="1069"/>
      <c r="X121" s="1069"/>
      <c r="Y121" s="1069"/>
      <c r="Z121" s="1069"/>
      <c r="AA121" s="1069"/>
      <c r="AB121" s="1069"/>
      <c r="AC121" s="1069"/>
      <c r="AD121" s="1069"/>
      <c r="AE121" s="1069"/>
      <c r="AF121" s="1069"/>
    </row>
    <row r="122" spans="1:32">
      <c r="A122" s="1069" t="s">
        <v>999</v>
      </c>
      <c r="B122" s="1069"/>
      <c r="C122" s="1069"/>
      <c r="D122" s="1069"/>
      <c r="E122" s="1069"/>
      <c r="F122" s="1069"/>
      <c r="G122" s="1069"/>
      <c r="H122" s="1069"/>
      <c r="I122" s="1069"/>
      <c r="J122" s="1069"/>
      <c r="K122" s="1069"/>
      <c r="L122" s="1069"/>
      <c r="M122" s="1069"/>
      <c r="N122" s="1069"/>
      <c r="O122" s="1069"/>
      <c r="P122" s="1069"/>
      <c r="Q122" s="1069"/>
      <c r="R122" s="1069"/>
      <c r="S122" s="1069"/>
      <c r="T122" s="1069"/>
      <c r="U122" s="1069"/>
      <c r="V122" s="1069"/>
      <c r="W122" s="1069"/>
      <c r="X122" s="1069"/>
      <c r="Y122" s="1069"/>
      <c r="Z122" s="1069"/>
      <c r="AA122" s="1069"/>
      <c r="AB122" s="1069"/>
      <c r="AC122" s="1069"/>
      <c r="AD122" s="1069"/>
      <c r="AE122" s="1069"/>
      <c r="AF122" s="1069"/>
    </row>
    <row r="124" spans="1:32">
      <c r="A124" s="182" t="s">
        <v>998</v>
      </c>
      <c r="J124" s="1089">
        <f>('4'!F15+'4'!F23+'4'!F31+'4'!F48+'8'!E7+'8'!E15+'8'!E23+'8'!E31)/1000</f>
        <v>0</v>
      </c>
      <c r="K124" s="1090"/>
      <c r="L124" s="1090"/>
      <c r="M124" s="1090"/>
      <c r="N124" s="1090"/>
      <c r="O124" s="1090"/>
      <c r="P124" s="1090"/>
      <c r="Q124" s="1091"/>
    </row>
    <row r="125" spans="1:32">
      <c r="J125" s="276"/>
      <c r="K125" s="276"/>
      <c r="L125" s="276"/>
      <c r="M125" s="276"/>
      <c r="N125" s="276"/>
      <c r="O125" s="276"/>
      <c r="P125" s="276"/>
      <c r="Q125" s="276"/>
    </row>
    <row r="127" spans="1:32">
      <c r="A127" s="1069" t="s">
        <v>997</v>
      </c>
      <c r="B127" s="1069"/>
      <c r="C127" s="1069"/>
      <c r="D127" s="1069"/>
      <c r="E127" s="1069"/>
      <c r="F127" s="1069"/>
      <c r="G127" s="1069"/>
      <c r="H127" s="1069"/>
      <c r="I127" s="1069"/>
      <c r="J127" s="1069"/>
      <c r="K127" s="1069"/>
      <c r="L127" s="1069"/>
      <c r="M127" s="1069"/>
      <c r="N127" s="1069"/>
      <c r="O127" s="1069"/>
      <c r="P127" s="1069"/>
      <c r="Q127" s="1069"/>
      <c r="R127" s="1069"/>
      <c r="S127" s="1069"/>
      <c r="T127" s="1069"/>
      <c r="U127" s="1069"/>
      <c r="V127" s="1069"/>
      <c r="W127" s="1069"/>
      <c r="X127" s="1069"/>
      <c r="Y127" s="1069"/>
      <c r="Z127" s="1069"/>
      <c r="AA127" s="1069"/>
      <c r="AB127" s="1069"/>
      <c r="AC127" s="1069"/>
      <c r="AD127" s="1069"/>
      <c r="AE127" s="1069"/>
      <c r="AF127" s="1069"/>
    </row>
    <row r="129" spans="1:24">
      <c r="A129" s="182" t="s">
        <v>967</v>
      </c>
      <c r="D129" s="182" t="s">
        <v>555</v>
      </c>
      <c r="Q129" s="182" t="s">
        <v>996</v>
      </c>
      <c r="T129" s="182" t="s">
        <v>554</v>
      </c>
    </row>
    <row r="132" spans="1:24" ht="15">
      <c r="F132" s="1066">
        <f>master!B80</f>
        <v>0</v>
      </c>
      <c r="G132" s="1067"/>
      <c r="H132" s="1068"/>
      <c r="V132" s="1066">
        <f>master!B81</f>
        <v>0</v>
      </c>
      <c r="W132" s="1067"/>
      <c r="X132" s="1068"/>
    </row>
    <row r="135" spans="1:24">
      <c r="A135" s="182" t="s">
        <v>995</v>
      </c>
      <c r="D135" s="182" t="s">
        <v>553</v>
      </c>
      <c r="Q135" s="182" t="s">
        <v>994</v>
      </c>
      <c r="T135" s="182" t="s">
        <v>552</v>
      </c>
    </row>
    <row r="138" spans="1:24" ht="15">
      <c r="F138" s="1066">
        <f>master!B82</f>
        <v>0</v>
      </c>
      <c r="G138" s="1067"/>
      <c r="H138" s="1068"/>
      <c r="V138" s="1066">
        <f>master!B83</f>
        <v>0</v>
      </c>
      <c r="W138" s="1067"/>
      <c r="X138" s="1068"/>
    </row>
    <row r="141" spans="1:24">
      <c r="A141" s="182" t="s">
        <v>993</v>
      </c>
      <c r="D141" s="182" t="s">
        <v>439</v>
      </c>
      <c r="Q141" s="182" t="s">
        <v>992</v>
      </c>
      <c r="T141" s="182" t="s">
        <v>551</v>
      </c>
    </row>
    <row r="143" spans="1:24" ht="15">
      <c r="F143" s="1066">
        <f>master!B84</f>
        <v>0</v>
      </c>
      <c r="G143" s="1067"/>
      <c r="H143" s="1068"/>
      <c r="V143" s="1066">
        <f>master!B85</f>
        <v>0</v>
      </c>
      <c r="W143" s="1067"/>
      <c r="X143" s="1068"/>
    </row>
    <row r="145" spans="1:32">
      <c r="A145" s="182" t="s">
        <v>991</v>
      </c>
      <c r="D145" s="182" t="s">
        <v>550</v>
      </c>
      <c r="Q145" s="182" t="s">
        <v>990</v>
      </c>
      <c r="T145" s="182" t="s">
        <v>549</v>
      </c>
    </row>
    <row r="146" spans="1:32">
      <c r="D146" s="182" t="s">
        <v>989</v>
      </c>
      <c r="T146" s="182" t="s">
        <v>988</v>
      </c>
    </row>
    <row r="148" spans="1:32" ht="15">
      <c r="F148" s="1066">
        <f>master!B86</f>
        <v>0</v>
      </c>
      <c r="G148" s="1067"/>
      <c r="H148" s="1068"/>
      <c r="V148" s="1066">
        <f>master!B87</f>
        <v>0</v>
      </c>
      <c r="W148" s="1067"/>
      <c r="X148" s="1068"/>
    </row>
    <row r="150" spans="1:32">
      <c r="A150" s="182" t="s">
        <v>987</v>
      </c>
      <c r="D150" s="182" t="s">
        <v>548</v>
      </c>
      <c r="Q150" s="182" t="s">
        <v>986</v>
      </c>
      <c r="T150" s="182" t="s">
        <v>547</v>
      </c>
    </row>
    <row r="151" spans="1:32">
      <c r="T151" s="182" t="s">
        <v>985</v>
      </c>
    </row>
    <row r="153" spans="1:32" ht="15">
      <c r="F153" s="1086">
        <v>100</v>
      </c>
      <c r="G153" s="1087"/>
      <c r="H153" s="1088"/>
      <c r="V153" s="1066">
        <f>master!B90</f>
        <v>0</v>
      </c>
      <c r="W153" s="1067"/>
      <c r="X153" s="1068"/>
    </row>
    <row r="156" spans="1:32" ht="12.75" customHeight="1">
      <c r="A156" s="903" t="s">
        <v>984</v>
      </c>
      <c r="B156" s="903"/>
      <c r="C156" s="903"/>
      <c r="D156" s="903"/>
      <c r="E156" s="903"/>
      <c r="F156" s="903"/>
      <c r="G156" s="903"/>
      <c r="H156" s="903"/>
      <c r="I156" s="903"/>
      <c r="J156" s="903"/>
      <c r="K156" s="903"/>
      <c r="L156" s="903"/>
      <c r="M156" s="903"/>
      <c r="N156" s="903"/>
      <c r="O156" s="903"/>
      <c r="P156" s="903"/>
      <c r="Q156" s="903"/>
      <c r="R156" s="903"/>
      <c r="S156" s="903"/>
      <c r="T156" s="903"/>
      <c r="U156" s="903"/>
      <c r="V156" s="903"/>
      <c r="W156" s="903"/>
      <c r="X156" s="903"/>
      <c r="Y156" s="903"/>
      <c r="Z156" s="903"/>
      <c r="AA156" s="903"/>
      <c r="AB156" s="903"/>
      <c r="AC156" s="903"/>
      <c r="AD156" s="903"/>
      <c r="AE156" s="903"/>
      <c r="AF156" s="903"/>
    </row>
    <row r="158" spans="1:32" ht="26.25" customHeight="1">
      <c r="A158" s="235" t="s">
        <v>983</v>
      </c>
      <c r="C158" s="903" t="s">
        <v>982</v>
      </c>
      <c r="D158" s="903"/>
      <c r="E158" s="903"/>
      <c r="F158" s="903"/>
      <c r="G158" s="903"/>
      <c r="H158" s="903"/>
      <c r="I158" s="903"/>
      <c r="J158" s="903"/>
      <c r="K158" s="903"/>
      <c r="L158" s="903"/>
      <c r="M158" s="903"/>
      <c r="N158" s="903"/>
      <c r="O158" s="903"/>
      <c r="P158" s="903"/>
      <c r="Q158" s="903"/>
      <c r="R158" s="903"/>
      <c r="S158" s="903"/>
      <c r="T158" s="903"/>
      <c r="U158" s="903"/>
      <c r="V158" s="903"/>
      <c r="W158" s="903"/>
      <c r="X158" s="903"/>
      <c r="Y158" s="903"/>
      <c r="Z158" s="903"/>
      <c r="AA158" s="903"/>
      <c r="AB158" s="903"/>
      <c r="AC158" s="903"/>
      <c r="AD158" s="903"/>
      <c r="AE158" s="903"/>
      <c r="AF158" s="903"/>
    </row>
    <row r="160" spans="1:32" ht="38.25" customHeight="1">
      <c r="A160" s="235" t="s">
        <v>981</v>
      </c>
      <c r="C160" s="903" t="s">
        <v>980</v>
      </c>
      <c r="D160" s="903"/>
      <c r="E160" s="903"/>
      <c r="F160" s="903"/>
      <c r="G160" s="903"/>
      <c r="H160" s="903"/>
      <c r="I160" s="903"/>
      <c r="J160" s="903"/>
      <c r="K160" s="903"/>
      <c r="L160" s="903"/>
      <c r="M160" s="903"/>
      <c r="N160" s="903"/>
      <c r="O160" s="903"/>
      <c r="P160" s="903"/>
      <c r="Q160" s="903"/>
      <c r="R160" s="903"/>
      <c r="S160" s="903"/>
      <c r="T160" s="903"/>
      <c r="U160" s="903"/>
      <c r="V160" s="903"/>
      <c r="W160" s="903"/>
      <c r="X160" s="903"/>
      <c r="Y160" s="903"/>
      <c r="Z160" s="903"/>
      <c r="AA160" s="903"/>
      <c r="AB160" s="903"/>
      <c r="AC160" s="903"/>
      <c r="AD160" s="903"/>
      <c r="AE160" s="903"/>
      <c r="AF160" s="903"/>
    </row>
    <row r="162" spans="1:32" ht="51" customHeight="1">
      <c r="A162" s="235" t="s">
        <v>979</v>
      </c>
      <c r="C162" s="903" t="s">
        <v>978</v>
      </c>
      <c r="D162" s="903"/>
      <c r="E162" s="903"/>
      <c r="F162" s="903"/>
      <c r="G162" s="903"/>
      <c r="H162" s="903"/>
      <c r="I162" s="903"/>
      <c r="J162" s="903"/>
      <c r="K162" s="903"/>
      <c r="L162" s="903"/>
      <c r="M162" s="903"/>
      <c r="N162" s="903"/>
      <c r="O162" s="903"/>
      <c r="P162" s="903"/>
      <c r="Q162" s="903"/>
      <c r="R162" s="903"/>
      <c r="S162" s="903"/>
      <c r="T162" s="903"/>
      <c r="U162" s="903"/>
      <c r="V162" s="903"/>
      <c r="W162" s="903"/>
      <c r="X162" s="903"/>
      <c r="Y162" s="903"/>
      <c r="Z162" s="903"/>
      <c r="AA162" s="903"/>
      <c r="AB162" s="903"/>
      <c r="AC162" s="903"/>
      <c r="AD162" s="903"/>
      <c r="AE162" s="903"/>
      <c r="AF162" s="903"/>
    </row>
    <row r="164" spans="1:32" ht="51" customHeight="1">
      <c r="A164" s="235" t="s">
        <v>977</v>
      </c>
      <c r="C164" s="903" t="s">
        <v>976</v>
      </c>
      <c r="D164" s="903"/>
      <c r="E164" s="903"/>
      <c r="F164" s="903"/>
      <c r="G164" s="903"/>
      <c r="H164" s="903"/>
      <c r="I164" s="903"/>
      <c r="J164" s="903"/>
      <c r="K164" s="903"/>
      <c r="L164" s="903"/>
      <c r="M164" s="903"/>
      <c r="N164" s="903"/>
      <c r="O164" s="903"/>
      <c r="P164" s="903"/>
      <c r="Q164" s="903"/>
      <c r="R164" s="903"/>
      <c r="S164" s="903"/>
      <c r="T164" s="903"/>
      <c r="U164" s="903"/>
      <c r="V164" s="903"/>
      <c r="W164" s="903"/>
      <c r="X164" s="903"/>
      <c r="Y164" s="903"/>
      <c r="Z164" s="903"/>
      <c r="AA164" s="903"/>
      <c r="AB164" s="903"/>
      <c r="AC164" s="903"/>
      <c r="AD164" s="903"/>
      <c r="AE164" s="903"/>
      <c r="AF164" s="903"/>
    </row>
    <row r="166" spans="1:32" ht="38.25" customHeight="1">
      <c r="A166" s="235" t="s">
        <v>975</v>
      </c>
      <c r="C166" s="903" t="s">
        <v>974</v>
      </c>
      <c r="D166" s="903"/>
      <c r="E166" s="903"/>
      <c r="F166" s="903"/>
      <c r="G166" s="903"/>
      <c r="H166" s="903"/>
      <c r="I166" s="903"/>
      <c r="J166" s="903"/>
      <c r="K166" s="903"/>
      <c r="L166" s="903"/>
      <c r="M166" s="903"/>
      <c r="N166" s="903"/>
      <c r="O166" s="903"/>
      <c r="P166" s="903"/>
      <c r="Q166" s="903"/>
      <c r="R166" s="903"/>
      <c r="S166" s="903"/>
      <c r="T166" s="903"/>
      <c r="U166" s="903"/>
      <c r="V166" s="903"/>
      <c r="W166" s="903"/>
      <c r="X166" s="903"/>
      <c r="Y166" s="903"/>
      <c r="Z166" s="903"/>
      <c r="AA166" s="903"/>
      <c r="AB166" s="903"/>
      <c r="AC166" s="903"/>
      <c r="AD166" s="903"/>
      <c r="AE166" s="903"/>
      <c r="AF166" s="903"/>
    </row>
    <row r="168" spans="1:32" ht="51" customHeight="1">
      <c r="A168" s="235" t="s">
        <v>973</v>
      </c>
      <c r="C168" s="903" t="s">
        <v>972</v>
      </c>
      <c r="D168" s="903"/>
      <c r="E168" s="903"/>
      <c r="F168" s="903"/>
      <c r="G168" s="903"/>
      <c r="H168" s="903"/>
      <c r="I168" s="903"/>
      <c r="J168" s="903"/>
      <c r="K168" s="903"/>
      <c r="L168" s="903"/>
      <c r="M168" s="903"/>
      <c r="N168" s="903"/>
      <c r="O168" s="903"/>
      <c r="P168" s="903"/>
      <c r="Q168" s="903"/>
      <c r="R168" s="903"/>
      <c r="S168" s="903"/>
      <c r="T168" s="903"/>
      <c r="U168" s="903"/>
      <c r="V168" s="903"/>
      <c r="W168" s="903"/>
      <c r="X168" s="903"/>
      <c r="Y168" s="903"/>
      <c r="Z168" s="903"/>
      <c r="AA168" s="903"/>
      <c r="AB168" s="903"/>
      <c r="AC168" s="903"/>
      <c r="AD168" s="903"/>
      <c r="AE168" s="903"/>
      <c r="AF168" s="903"/>
    </row>
    <row r="170" spans="1:32" ht="12.75" customHeight="1">
      <c r="A170" s="235" t="s">
        <v>971</v>
      </c>
      <c r="C170" s="903" t="s">
        <v>970</v>
      </c>
      <c r="D170" s="903"/>
      <c r="E170" s="903"/>
      <c r="F170" s="903"/>
      <c r="G170" s="903"/>
      <c r="H170" s="903"/>
      <c r="I170" s="903"/>
      <c r="J170" s="903"/>
      <c r="K170" s="903"/>
      <c r="L170" s="903"/>
      <c r="M170" s="903"/>
      <c r="N170" s="903"/>
      <c r="O170" s="903"/>
      <c r="P170" s="903"/>
      <c r="Q170" s="903"/>
      <c r="R170" s="903"/>
      <c r="S170" s="903"/>
      <c r="T170" s="903"/>
      <c r="U170" s="903"/>
      <c r="V170" s="903"/>
      <c r="W170" s="903"/>
      <c r="X170" s="903"/>
      <c r="Y170" s="903"/>
      <c r="Z170" s="903"/>
      <c r="AA170" s="903"/>
      <c r="AB170" s="903"/>
      <c r="AC170" s="903"/>
      <c r="AD170" s="903"/>
      <c r="AE170" s="903"/>
      <c r="AF170" s="903"/>
    </row>
    <row r="172" spans="1:32" ht="50.25" customHeight="1">
      <c r="A172" s="235" t="s">
        <v>969</v>
      </c>
      <c r="C172" s="903" t="s">
        <v>968</v>
      </c>
      <c r="D172" s="903"/>
      <c r="E172" s="903"/>
      <c r="F172" s="903"/>
      <c r="G172" s="903"/>
      <c r="H172" s="903"/>
      <c r="I172" s="903"/>
      <c r="J172" s="903"/>
      <c r="K172" s="903"/>
      <c r="L172" s="903"/>
      <c r="M172" s="903"/>
      <c r="N172" s="903"/>
      <c r="O172" s="903"/>
      <c r="P172" s="903"/>
      <c r="Q172" s="903"/>
      <c r="R172" s="903"/>
      <c r="S172" s="903"/>
      <c r="T172" s="903"/>
      <c r="U172" s="903"/>
      <c r="V172" s="903"/>
      <c r="W172" s="903"/>
      <c r="X172" s="903"/>
      <c r="Y172" s="903"/>
      <c r="Z172" s="903"/>
      <c r="AA172" s="903"/>
      <c r="AB172" s="903"/>
      <c r="AC172" s="903"/>
      <c r="AD172" s="903"/>
      <c r="AE172" s="903"/>
      <c r="AF172" s="903"/>
    </row>
    <row r="174" spans="1:32" ht="12.75" customHeight="1">
      <c r="A174" s="235" t="s">
        <v>967</v>
      </c>
      <c r="C174" s="903" t="s">
        <v>966</v>
      </c>
      <c r="D174" s="903"/>
      <c r="E174" s="903"/>
      <c r="F174" s="903"/>
      <c r="G174" s="903"/>
      <c r="H174" s="903"/>
      <c r="I174" s="903"/>
      <c r="J174" s="903"/>
      <c r="K174" s="903"/>
      <c r="L174" s="903"/>
      <c r="M174" s="903"/>
      <c r="N174" s="903"/>
      <c r="O174" s="903"/>
      <c r="P174" s="903"/>
      <c r="Q174" s="903"/>
      <c r="R174" s="903"/>
      <c r="S174" s="903"/>
      <c r="T174" s="903"/>
      <c r="U174" s="903"/>
      <c r="V174" s="903"/>
      <c r="W174" s="903"/>
      <c r="X174" s="903"/>
      <c r="Y174" s="903"/>
      <c r="Z174" s="903"/>
      <c r="AA174" s="903"/>
      <c r="AB174" s="903"/>
      <c r="AC174" s="903"/>
      <c r="AD174" s="903"/>
      <c r="AE174" s="903"/>
      <c r="AF174" s="903"/>
    </row>
    <row r="177" spans="5:27">
      <c r="Y177" s="1069" t="s">
        <v>965</v>
      </c>
      <c r="Z177" s="1069"/>
      <c r="AA177" s="1069"/>
    </row>
    <row r="179" spans="5:27">
      <c r="J179" s="1084" t="s">
        <v>593</v>
      </c>
      <c r="K179" s="1084"/>
      <c r="L179" s="1084"/>
      <c r="M179" s="1084"/>
      <c r="N179" s="1084"/>
      <c r="O179" s="1084"/>
      <c r="P179" s="1084"/>
      <c r="Q179" s="1084"/>
      <c r="R179" s="1084"/>
      <c r="S179" s="1084"/>
      <c r="T179" s="1084"/>
      <c r="V179" s="182" t="str">
        <f>CONCATENATE("Sd - ",master!B30)</f>
        <v>Sd - Subhash Gupta</v>
      </c>
    </row>
    <row r="181" spans="5:27">
      <c r="E181" s="1084" t="s">
        <v>964</v>
      </c>
      <c r="F181" s="1084"/>
      <c r="G181" s="1084"/>
      <c r="H181" s="1084"/>
      <c r="I181" s="1084"/>
      <c r="J181" s="1084"/>
      <c r="K181" s="1084"/>
      <c r="L181" s="1084"/>
      <c r="M181" s="1084"/>
      <c r="N181" s="1084"/>
      <c r="O181" s="1084"/>
      <c r="P181" s="1084"/>
      <c r="Q181" s="1084"/>
      <c r="R181" s="1084"/>
      <c r="S181" s="1084"/>
      <c r="T181" s="1084"/>
      <c r="V181" s="182" t="str">
        <f>CONCATENATE("Sd - ",master!B31)</f>
        <v>Sd - Tarun Kumar</v>
      </c>
    </row>
    <row r="183" spans="5:27">
      <c r="E183" s="1084" t="s">
        <v>963</v>
      </c>
      <c r="F183" s="1084"/>
      <c r="G183" s="1084"/>
      <c r="H183" s="1084"/>
      <c r="I183" s="1084"/>
      <c r="J183" s="1084"/>
      <c r="K183" s="1084"/>
      <c r="L183" s="1084"/>
      <c r="M183" s="1084"/>
      <c r="N183" s="1084"/>
      <c r="O183" s="1084"/>
      <c r="P183" s="1084"/>
      <c r="Q183" s="1084"/>
      <c r="R183" s="1084"/>
      <c r="S183" s="1084"/>
      <c r="T183" s="1084"/>
      <c r="V183" s="182" t="str">
        <f>CONCATENATE("Sd - ",master!B34)</f>
        <v xml:space="preserve">Sd - </v>
      </c>
    </row>
    <row r="185" spans="5:27" ht="15">
      <c r="E185" s="1084" t="s">
        <v>962</v>
      </c>
      <c r="F185" s="1084"/>
      <c r="G185" s="1084"/>
      <c r="H185" s="1084"/>
      <c r="I185" s="1084"/>
      <c r="J185" s="1084"/>
      <c r="K185" s="1084"/>
      <c r="L185" s="1084"/>
      <c r="M185" s="1084"/>
      <c r="N185" s="1084"/>
      <c r="O185" s="1084"/>
      <c r="P185" s="1084"/>
      <c r="Q185" s="1084"/>
      <c r="R185" s="1084"/>
      <c r="S185" s="1084"/>
      <c r="T185" s="1084"/>
      <c r="V185" s="1085">
        <f>master!B35</f>
        <v>0</v>
      </c>
      <c r="W185" s="1085"/>
      <c r="X185" s="1085"/>
      <c r="Y185" s="1085"/>
      <c r="Z185" s="1085"/>
    </row>
  </sheetData>
  <mergeCells count="111">
    <mergeCell ref="M48:T48"/>
    <mergeCell ref="N33:U33"/>
    <mergeCell ref="W96:AA96"/>
    <mergeCell ref="R60:Y60"/>
    <mergeCell ref="W67:AA67"/>
    <mergeCell ref="M78:T78"/>
    <mergeCell ref="W78:AA78"/>
    <mergeCell ref="H34:L34"/>
    <mergeCell ref="N34:U34"/>
    <mergeCell ref="A40:AF40"/>
    <mergeCell ref="M44:T44"/>
    <mergeCell ref="W44:AA44"/>
    <mergeCell ref="H36:L36"/>
    <mergeCell ref="N36:U36"/>
    <mergeCell ref="H38:U38"/>
    <mergeCell ref="W45:AA45"/>
    <mergeCell ref="M54:T54"/>
    <mergeCell ref="W54:AA54"/>
    <mergeCell ref="W55:AA55"/>
    <mergeCell ref="M66:T66"/>
    <mergeCell ref="W66:AA66"/>
    <mergeCell ref="M46:T46"/>
    <mergeCell ref="W46:AA46"/>
    <mergeCell ref="M58:T58"/>
    <mergeCell ref="W56:AA56"/>
    <mergeCell ref="M70:T70"/>
    <mergeCell ref="W68:AA68"/>
    <mergeCell ref="W70:AA70"/>
    <mergeCell ref="R72:Y72"/>
    <mergeCell ref="J124:Q124"/>
    <mergeCell ref="W79:AA79"/>
    <mergeCell ref="M90:T90"/>
    <mergeCell ref="W90:AA90"/>
    <mergeCell ref="W91:AA91"/>
    <mergeCell ref="M82:T82"/>
    <mergeCell ref="W80:AA80"/>
    <mergeCell ref="W82:AA82"/>
    <mergeCell ref="R84:Y84"/>
    <mergeCell ref="M94:T94"/>
    <mergeCell ref="A101:AF101"/>
    <mergeCell ref="M96:T96"/>
    <mergeCell ref="A103:AF103"/>
    <mergeCell ref="A106:AF106"/>
    <mergeCell ref="A122:AF122"/>
    <mergeCell ref="A108:AF108"/>
    <mergeCell ref="A111:AF111"/>
    <mergeCell ref="W58:AA58"/>
    <mergeCell ref="V148:X148"/>
    <mergeCell ref="F148:H148"/>
    <mergeCell ref="F132:H132"/>
    <mergeCell ref="E185:T185"/>
    <mergeCell ref="V185:Z185"/>
    <mergeCell ref="C162:AF162"/>
    <mergeCell ref="C164:AF164"/>
    <mergeCell ref="C166:AF166"/>
    <mergeCell ref="C168:AF168"/>
    <mergeCell ref="C170:AF170"/>
    <mergeCell ref="C172:AF172"/>
    <mergeCell ref="C174:AF174"/>
    <mergeCell ref="Y177:AA177"/>
    <mergeCell ref="J179:T179"/>
    <mergeCell ref="E181:T181"/>
    <mergeCell ref="E183:T183"/>
    <mergeCell ref="A156:AF156"/>
    <mergeCell ref="C158:AF158"/>
    <mergeCell ref="C160:AF160"/>
    <mergeCell ref="F153:H153"/>
    <mergeCell ref="V153:X153"/>
    <mergeCell ref="V132:X132"/>
    <mergeCell ref="V138:X138"/>
    <mergeCell ref="F138:H138"/>
    <mergeCell ref="A1:AF1"/>
    <mergeCell ref="A3:AF3"/>
    <mergeCell ref="A5:AF5"/>
    <mergeCell ref="A6:AF6"/>
    <mergeCell ref="H23:AF23"/>
    <mergeCell ref="H25:AF25"/>
    <mergeCell ref="P15:S15"/>
    <mergeCell ref="W15:Z15"/>
    <mergeCell ref="S18:X18"/>
    <mergeCell ref="F13:I13"/>
    <mergeCell ref="A8:AF8"/>
    <mergeCell ref="U10:V10"/>
    <mergeCell ref="F12:K12"/>
    <mergeCell ref="G10:O10"/>
    <mergeCell ref="A21:AF21"/>
    <mergeCell ref="S19:V19"/>
    <mergeCell ref="F143:H143"/>
    <mergeCell ref="A112:AF112"/>
    <mergeCell ref="R98:Y98"/>
    <mergeCell ref="J114:O114"/>
    <mergeCell ref="J115:M115"/>
    <mergeCell ref="H27:AF27"/>
    <mergeCell ref="H29:AF29"/>
    <mergeCell ref="H31:O31"/>
    <mergeCell ref="T31:Y31"/>
    <mergeCell ref="H33:L33"/>
    <mergeCell ref="A127:AF127"/>
    <mergeCell ref="A117:AF117"/>
    <mergeCell ref="A120:AF120"/>
    <mergeCell ref="A121:AF121"/>
    <mergeCell ref="R50:Y50"/>
    <mergeCell ref="M56:T56"/>
    <mergeCell ref="M68:T68"/>
    <mergeCell ref="M80:T80"/>
    <mergeCell ref="M92:T92"/>
    <mergeCell ref="A100:AF100"/>
    <mergeCell ref="W92:AA92"/>
    <mergeCell ref="W94:AA94"/>
    <mergeCell ref="V143:X143"/>
    <mergeCell ref="W48:AA48"/>
  </mergeCells>
  <pageMargins left="0.5" right="0.25" top="0.5" bottom="0.5" header="0.5" footer="0.5"/>
  <pageSetup orientation="portrait" horizontalDpi="300" verticalDpi="300" r:id="rId1"/>
  <headerFooter alignWithMargins="0"/>
  <rowBreaks count="2" manualBreakCount="2">
    <brk id="50" max="16383" man="1"/>
    <brk id="99" max="16383" man="1"/>
  </rowBreaks>
</worksheet>
</file>

<file path=xl/worksheets/sheet64.xml><?xml version="1.0" encoding="utf-8"?>
<worksheet xmlns="http://schemas.openxmlformats.org/spreadsheetml/2006/main" xmlns:r="http://schemas.openxmlformats.org/officeDocument/2006/relationships">
  <sheetPr>
    <tabColor theme="6" tint="-0.249977111117893"/>
  </sheetPr>
  <dimension ref="A1:G20"/>
  <sheetViews>
    <sheetView workbookViewId="0">
      <selection activeCell="A15" sqref="A15"/>
    </sheetView>
  </sheetViews>
  <sheetFormatPr defaultRowHeight="12.75"/>
  <cols>
    <col min="1" max="1" width="20.7109375" style="281" customWidth="1"/>
    <col min="2" max="2" width="23" style="182" bestFit="1" customWidth="1"/>
    <col min="3" max="3" width="11.28515625" style="182" customWidth="1"/>
    <col min="4" max="4" width="10.140625" style="280" bestFit="1" customWidth="1"/>
    <col min="5" max="5" width="10.7109375" style="271" customWidth="1"/>
    <col min="6" max="6" width="12.5703125" style="280" bestFit="1" customWidth="1"/>
    <col min="7" max="7" width="12.7109375" style="280" customWidth="1"/>
    <col min="8" max="16384" width="9.140625" style="182"/>
  </cols>
  <sheetData>
    <row r="1" spans="1:7">
      <c r="A1" s="281" t="str">
        <f>CONCATENATE(master!B2," (",master!B16,")")</f>
        <v>ABC LTD (31/03/2012)</v>
      </c>
    </row>
    <row r="3" spans="1:7">
      <c r="A3" s="293" t="s">
        <v>1073</v>
      </c>
    </row>
    <row r="5" spans="1:7">
      <c r="A5" s="293" t="s">
        <v>1072</v>
      </c>
    </row>
    <row r="6" spans="1:7">
      <c r="B6" s="271"/>
      <c r="E6" s="182"/>
    </row>
    <row r="7" spans="1:7">
      <c r="A7" s="292" t="s">
        <v>1071</v>
      </c>
      <c r="B7" s="292" t="s">
        <v>1070</v>
      </c>
      <c r="C7" s="292" t="s">
        <v>1069</v>
      </c>
      <c r="D7" s="291" t="s">
        <v>1067</v>
      </c>
      <c r="E7" s="292" t="s">
        <v>1068</v>
      </c>
      <c r="F7" s="291" t="s">
        <v>1067</v>
      </c>
      <c r="G7" s="291" t="s">
        <v>1067</v>
      </c>
    </row>
    <row r="8" spans="1:7">
      <c r="A8" s="290" t="s">
        <v>464</v>
      </c>
      <c r="B8" s="289" t="s">
        <v>588</v>
      </c>
      <c r="C8" s="289" t="s">
        <v>1066</v>
      </c>
      <c r="D8" s="288" t="s">
        <v>1065</v>
      </c>
      <c r="E8" s="289"/>
      <c r="F8" s="288" t="s">
        <v>1064</v>
      </c>
      <c r="G8" s="288" t="s">
        <v>1063</v>
      </c>
    </row>
    <row r="9" spans="1:7">
      <c r="A9" s="287" t="s">
        <v>464</v>
      </c>
      <c r="B9" s="286"/>
      <c r="C9" s="286" t="s">
        <v>1062</v>
      </c>
      <c r="D9" s="285"/>
      <c r="E9" s="286"/>
      <c r="F9" s="285" t="s">
        <v>464</v>
      </c>
      <c r="G9" s="285" t="s">
        <v>464</v>
      </c>
    </row>
    <row r="10" spans="1:7">
      <c r="E10" s="182"/>
      <c r="F10" s="284"/>
      <c r="G10" s="284"/>
    </row>
    <row r="11" spans="1:7">
      <c r="A11" s="281" t="s">
        <v>594</v>
      </c>
      <c r="B11" s="182" t="s">
        <v>1058</v>
      </c>
      <c r="C11" s="283" t="s">
        <v>1057</v>
      </c>
      <c r="D11" s="282" t="s">
        <v>1061</v>
      </c>
      <c r="E11" s="271" t="s">
        <v>593</v>
      </c>
      <c r="F11" s="282" t="s">
        <v>580</v>
      </c>
      <c r="G11" s="280" t="s">
        <v>1054</v>
      </c>
    </row>
    <row r="12" spans="1:7">
      <c r="B12" s="182" t="s">
        <v>1053</v>
      </c>
    </row>
    <row r="13" spans="1:7">
      <c r="B13" s="182" t="s">
        <v>464</v>
      </c>
    </row>
    <row r="15" spans="1:7">
      <c r="A15" s="281" t="s">
        <v>595</v>
      </c>
      <c r="B15" s="182" t="s">
        <v>1058</v>
      </c>
      <c r="C15" s="283" t="s">
        <v>1057</v>
      </c>
      <c r="D15" s="282" t="s">
        <v>1060</v>
      </c>
      <c r="E15" s="271" t="s">
        <v>593</v>
      </c>
      <c r="F15" s="282" t="s">
        <v>580</v>
      </c>
      <c r="G15" s="280" t="s">
        <v>1054</v>
      </c>
    </row>
    <row r="16" spans="1:7">
      <c r="B16" s="182" t="s">
        <v>1053</v>
      </c>
    </row>
    <row r="17" spans="1:7">
      <c r="B17" s="182" t="s">
        <v>464</v>
      </c>
    </row>
    <row r="18" spans="1:7">
      <c r="B18" s="182" t="s">
        <v>464</v>
      </c>
    </row>
    <row r="19" spans="1:7">
      <c r="A19" s="281" t="s">
        <v>1059</v>
      </c>
      <c r="B19" s="182" t="s">
        <v>1058</v>
      </c>
      <c r="C19" s="283" t="s">
        <v>1057</v>
      </c>
      <c r="D19" s="282" t="s">
        <v>1056</v>
      </c>
      <c r="E19" s="271" t="s">
        <v>593</v>
      </c>
      <c r="F19" s="282" t="s">
        <v>1055</v>
      </c>
      <c r="G19" s="280" t="s">
        <v>1054</v>
      </c>
    </row>
    <row r="20" spans="1:7">
      <c r="B20" s="182" t="s">
        <v>1053</v>
      </c>
    </row>
  </sheetData>
  <pageMargins left="0.25" right="0" top="1" bottom="1" header="0.5" footer="0.5"/>
  <pageSetup scale="95" orientation="portrait" horizontalDpi="300" verticalDpi="300" r:id="rId1"/>
  <headerFooter alignWithMargins="0"/>
</worksheet>
</file>

<file path=xl/worksheets/sheet65.xml><?xml version="1.0" encoding="utf-8"?>
<worksheet xmlns="http://schemas.openxmlformats.org/spreadsheetml/2006/main" xmlns:r="http://schemas.openxmlformats.org/officeDocument/2006/relationships">
  <sheetPr>
    <tabColor theme="6" tint="-0.249977111117893"/>
    <pageSetUpPr fitToPage="1"/>
  </sheetPr>
  <dimension ref="A1:I23"/>
  <sheetViews>
    <sheetView workbookViewId="0"/>
  </sheetViews>
  <sheetFormatPr defaultRowHeight="12.75"/>
  <cols>
    <col min="1" max="1" width="9.42578125" style="271" customWidth="1"/>
    <col min="2" max="2" width="20" style="182" customWidth="1"/>
    <col min="3" max="3" width="24.5703125" style="182" bestFit="1" customWidth="1"/>
    <col min="4" max="4" width="23.140625" style="182" customWidth="1"/>
    <col min="5" max="5" width="10.7109375" style="271" customWidth="1"/>
    <col min="6" max="6" width="10.42578125" style="271" bestFit="1" customWidth="1"/>
    <col min="7" max="7" width="12.7109375" style="271" customWidth="1"/>
    <col min="8" max="8" width="12" style="182" customWidth="1"/>
    <col min="9" max="9" width="0" style="182" hidden="1" customWidth="1"/>
    <col min="10" max="16384" width="9.140625" style="182"/>
  </cols>
  <sheetData>
    <row r="1" spans="1:9">
      <c r="A1" s="281" t="str">
        <f>CONCATENATE(master!B2," (",master!B16,")")</f>
        <v>ABC LTD (31/03/2012)</v>
      </c>
    </row>
    <row r="3" spans="1:9">
      <c r="A3" s="295" t="s">
        <v>1092</v>
      </c>
    </row>
    <row r="4" spans="1:9">
      <c r="A4" s="296"/>
    </row>
    <row r="5" spans="1:9">
      <c r="A5" s="295" t="s">
        <v>1091</v>
      </c>
    </row>
    <row r="7" spans="1:9">
      <c r="A7" s="292" t="s">
        <v>1090</v>
      </c>
      <c r="B7" s="292" t="s">
        <v>1089</v>
      </c>
      <c r="C7" s="292" t="s">
        <v>1088</v>
      </c>
      <c r="D7" s="292" t="s">
        <v>588</v>
      </c>
      <c r="E7" s="292" t="s">
        <v>1087</v>
      </c>
      <c r="F7" s="292" t="s">
        <v>1086</v>
      </c>
      <c r="G7" s="292" t="s">
        <v>1085</v>
      </c>
      <c r="H7" s="292" t="s">
        <v>1084</v>
      </c>
    </row>
    <row r="8" spans="1:9">
      <c r="A8" s="289" t="s">
        <v>1083</v>
      </c>
      <c r="B8" s="289"/>
      <c r="C8" s="289" t="s">
        <v>1071</v>
      </c>
      <c r="D8" s="289"/>
      <c r="E8" s="289" t="s">
        <v>1082</v>
      </c>
      <c r="F8" s="289" t="s">
        <v>1082</v>
      </c>
      <c r="G8" s="289" t="s">
        <v>1081</v>
      </c>
      <c r="H8" s="289" t="s">
        <v>464</v>
      </c>
    </row>
    <row r="9" spans="1:9">
      <c r="A9" s="286" t="s">
        <v>1080</v>
      </c>
      <c r="B9" s="286"/>
      <c r="C9" s="286"/>
      <c r="D9" s="286"/>
      <c r="E9" s="286" t="s">
        <v>1079</v>
      </c>
      <c r="F9" s="286" t="s">
        <v>1079</v>
      </c>
      <c r="G9" s="286"/>
      <c r="H9" s="286"/>
    </row>
    <row r="11" spans="1:9">
      <c r="A11" s="271">
        <v>1</v>
      </c>
      <c r="B11" s="182" t="s">
        <v>594</v>
      </c>
      <c r="C11" s="182" t="s">
        <v>1076</v>
      </c>
      <c r="D11" s="182" t="s">
        <v>1058</v>
      </c>
      <c r="E11" s="271" t="s">
        <v>1075</v>
      </c>
      <c r="F11" s="271">
        <f>19100+60000</f>
        <v>79100</v>
      </c>
      <c r="G11" s="271">
        <v>10</v>
      </c>
      <c r="I11" s="182">
        <f>F11/1892</f>
        <v>41.807610993657505</v>
      </c>
    </row>
    <row r="12" spans="1:9">
      <c r="D12" s="182" t="s">
        <v>1074</v>
      </c>
    </row>
    <row r="13" spans="1:9">
      <c r="D13" s="182" t="s">
        <v>464</v>
      </c>
    </row>
    <row r="15" spans="1:9">
      <c r="A15" s="271">
        <v>2</v>
      </c>
      <c r="B15" s="182" t="s">
        <v>595</v>
      </c>
      <c r="C15" s="182" t="s">
        <v>1078</v>
      </c>
      <c r="D15" s="182" t="s">
        <v>1058</v>
      </c>
      <c r="E15" s="271" t="s">
        <v>1075</v>
      </c>
      <c r="F15" s="271">
        <f>100+10000</f>
        <v>10100</v>
      </c>
      <c r="G15" s="271">
        <v>10</v>
      </c>
    </row>
    <row r="16" spans="1:9">
      <c r="A16" s="271" t="s">
        <v>464</v>
      </c>
      <c r="B16" s="182" t="s">
        <v>464</v>
      </c>
      <c r="C16" s="182" t="s">
        <v>464</v>
      </c>
      <c r="D16" s="182" t="s">
        <v>1074</v>
      </c>
      <c r="F16" s="271" t="s">
        <v>464</v>
      </c>
      <c r="G16" s="271" t="s">
        <v>464</v>
      </c>
    </row>
    <row r="17" spans="1:9">
      <c r="A17" s="280"/>
    </row>
    <row r="18" spans="1:9">
      <c r="A18" s="280"/>
      <c r="E18" s="182"/>
    </row>
    <row r="19" spans="1:9">
      <c r="A19" s="280" t="s">
        <v>1077</v>
      </c>
      <c r="B19" s="182" t="s">
        <v>1059</v>
      </c>
      <c r="C19" s="182" t="s">
        <v>1076</v>
      </c>
      <c r="D19" s="182" t="s">
        <v>1058</v>
      </c>
      <c r="E19" s="271" t="s">
        <v>1075</v>
      </c>
      <c r="F19" s="271">
        <v>100000</v>
      </c>
      <c r="G19" s="271">
        <v>10</v>
      </c>
      <c r="I19" s="182">
        <f>F19/1892</f>
        <v>52.854122621564485</v>
      </c>
    </row>
    <row r="20" spans="1:9">
      <c r="A20" s="280"/>
      <c r="D20" s="182" t="s">
        <v>1074</v>
      </c>
    </row>
    <row r="21" spans="1:9">
      <c r="A21" s="280"/>
      <c r="E21" s="182"/>
    </row>
    <row r="22" spans="1:9">
      <c r="A22" s="280"/>
      <c r="E22" s="182"/>
      <c r="F22" s="294">
        <f>SUM(F11:F21)</f>
        <v>189200</v>
      </c>
    </row>
    <row r="23" spans="1:9">
      <c r="A23" s="280"/>
    </row>
  </sheetData>
  <dataValidations count="1">
    <dataValidation type="list" allowBlank="1" showInputMessage="1" showErrorMessage="1" sqref="H11:H23">
      <formula1>$I$11:$I$20</formula1>
    </dataValidation>
  </dataValidations>
  <pageMargins left="0.25" right="0" top="1" bottom="1" header="0.5" footer="0.5"/>
  <pageSetup scale="87" orientation="portrait" horizontalDpi="300" verticalDpi="300" r:id="rId1"/>
  <headerFooter alignWithMargins="0"/>
</worksheet>
</file>

<file path=xl/worksheets/sheet66.xml><?xml version="1.0" encoding="utf-8"?>
<worksheet xmlns="http://schemas.openxmlformats.org/spreadsheetml/2006/main" xmlns:r="http://schemas.openxmlformats.org/officeDocument/2006/relationships">
  <sheetPr>
    <tabColor theme="6" tint="-0.249977111117893"/>
  </sheetPr>
  <dimension ref="A1:H16"/>
  <sheetViews>
    <sheetView workbookViewId="0">
      <selection activeCell="H23" sqref="H23"/>
    </sheetView>
  </sheetViews>
  <sheetFormatPr defaultRowHeight="12.75"/>
  <cols>
    <col min="1" max="1" width="9.42578125" style="271" customWidth="1"/>
    <col min="2" max="2" width="11" style="271" customWidth="1"/>
    <col min="3" max="3" width="11.28515625" style="271" customWidth="1"/>
    <col min="4" max="4" width="12.7109375" style="271" customWidth="1"/>
    <col min="5" max="5" width="10.7109375" style="271" customWidth="1"/>
    <col min="6" max="6" width="21.5703125" style="182" customWidth="1"/>
    <col min="7" max="7" width="12.7109375" style="182" customWidth="1"/>
    <col min="8" max="8" width="21.5703125" style="182" customWidth="1"/>
    <col min="9" max="16384" width="9.140625" style="182"/>
  </cols>
  <sheetData>
    <row r="1" spans="1:8">
      <c r="A1" s="281" t="str">
        <f>CONCATENATE(master!B2," (",master!B16,")")</f>
        <v>ABC LTD (31/03/2012)</v>
      </c>
      <c r="B1" s="281"/>
      <c r="C1" s="281"/>
      <c r="D1" s="281"/>
      <c r="E1" s="281"/>
    </row>
    <row r="3" spans="1:8">
      <c r="A3" s="295" t="s">
        <v>1103</v>
      </c>
      <c r="B3" s="295"/>
      <c r="C3" s="295"/>
      <c r="D3" s="295"/>
      <c r="E3" s="295"/>
    </row>
    <row r="4" spans="1:8">
      <c r="A4" s="296"/>
      <c r="B4" s="296"/>
      <c r="C4" s="296"/>
      <c r="D4" s="296"/>
      <c r="E4" s="296"/>
    </row>
    <row r="5" spans="1:8">
      <c r="A5" s="295" t="s">
        <v>1102</v>
      </c>
      <c r="B5" s="295"/>
      <c r="C5" s="295"/>
      <c r="D5" s="295"/>
      <c r="E5" s="295"/>
    </row>
    <row r="7" spans="1:8">
      <c r="A7" s="1099" t="s">
        <v>1101</v>
      </c>
      <c r="B7" s="1099" t="s">
        <v>1100</v>
      </c>
      <c r="C7" s="1099" t="s">
        <v>1099</v>
      </c>
      <c r="D7" s="1099" t="s">
        <v>1098</v>
      </c>
      <c r="E7" s="1099" t="s">
        <v>1097</v>
      </c>
      <c r="F7" s="292" t="s">
        <v>1096</v>
      </c>
      <c r="G7" s="1099" t="s">
        <v>1095</v>
      </c>
      <c r="H7" s="292" t="s">
        <v>1094</v>
      </c>
    </row>
    <row r="8" spans="1:8">
      <c r="A8" s="1100"/>
      <c r="B8" s="1100"/>
      <c r="C8" s="1100"/>
      <c r="D8" s="1100"/>
      <c r="E8" s="1100"/>
      <c r="F8" s="289"/>
      <c r="G8" s="1100"/>
      <c r="H8" s="289" t="s">
        <v>464</v>
      </c>
    </row>
    <row r="9" spans="1:8">
      <c r="A9" s="1101"/>
      <c r="B9" s="1101"/>
      <c r="C9" s="1101"/>
      <c r="D9" s="1101"/>
      <c r="E9" s="1101"/>
      <c r="F9" s="286"/>
      <c r="G9" s="1101"/>
      <c r="H9" s="286"/>
    </row>
    <row r="11" spans="1:8">
      <c r="E11" s="297" t="s">
        <v>1093</v>
      </c>
    </row>
    <row r="13" spans="1:8">
      <c r="G13" s="271"/>
    </row>
    <row r="16" spans="1:8">
      <c r="G16" s="271"/>
    </row>
  </sheetData>
  <mergeCells count="6">
    <mergeCell ref="E7:E9"/>
    <mergeCell ref="G7:G9"/>
    <mergeCell ref="A7:A9"/>
    <mergeCell ref="B7:B9"/>
    <mergeCell ref="C7:C9"/>
    <mergeCell ref="D7:D9"/>
  </mergeCells>
  <pageMargins left="0.25" right="0" top="1" bottom="1" header="0.5" footer="0.5"/>
  <pageSetup scale="95"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E152"/>
  <sheetViews>
    <sheetView tabSelected="1" topLeftCell="A180" workbookViewId="0">
      <selection activeCell="B205" sqref="B205"/>
    </sheetView>
  </sheetViews>
  <sheetFormatPr defaultRowHeight="12.75"/>
  <cols>
    <col min="1" max="1" width="93" style="183" customWidth="1"/>
    <col min="2" max="2" width="32.140625" style="182" customWidth="1"/>
    <col min="3" max="3" width="13.7109375" style="182" customWidth="1"/>
    <col min="4" max="4" width="11.85546875" style="182" customWidth="1"/>
    <col min="5" max="5" width="12.5703125" style="182" customWidth="1"/>
    <col min="6" max="16384" width="9.140625" style="182"/>
  </cols>
  <sheetData>
    <row r="1" spans="1:2">
      <c r="A1" s="748"/>
    </row>
    <row r="2" spans="1:2">
      <c r="A2" s="183" t="s">
        <v>613</v>
      </c>
      <c r="B2" s="843" t="s">
        <v>1860</v>
      </c>
    </row>
    <row r="3" spans="1:2" ht="15">
      <c r="A3" s="183" t="s">
        <v>612</v>
      </c>
      <c r="B3" s="844" t="s">
        <v>1861</v>
      </c>
    </row>
    <row r="4" spans="1:2" ht="15">
      <c r="A4" s="183" t="s">
        <v>611</v>
      </c>
      <c r="B4" s="845" t="s">
        <v>464</v>
      </c>
    </row>
    <row r="5" spans="1:2" ht="15">
      <c r="A5" s="183" t="s">
        <v>610</v>
      </c>
      <c r="B5" s="844" t="s">
        <v>1862</v>
      </c>
    </row>
    <row r="6" spans="1:2" ht="15">
      <c r="A6" s="183" t="s">
        <v>609</v>
      </c>
      <c r="B6" s="844">
        <v>380015</v>
      </c>
    </row>
    <row r="7" spans="1:2" ht="15">
      <c r="A7" s="183" t="s">
        <v>608</v>
      </c>
      <c r="B7" s="844" t="s">
        <v>1863</v>
      </c>
    </row>
    <row r="8" spans="1:2" ht="15">
      <c r="A8" s="183" t="s">
        <v>607</v>
      </c>
      <c r="B8" s="846">
        <v>79</v>
      </c>
    </row>
    <row r="9" spans="1:2">
      <c r="A9" s="183" t="s">
        <v>606</v>
      </c>
      <c r="B9" s="193"/>
    </row>
    <row r="10" spans="1:2">
      <c r="A10" s="183" t="s">
        <v>605</v>
      </c>
      <c r="B10" s="193"/>
    </row>
    <row r="11" spans="1:2">
      <c r="A11" s="726"/>
      <c r="B11" s="193"/>
    </row>
    <row r="12" spans="1:2">
      <c r="A12" s="183" t="s">
        <v>500</v>
      </c>
    </row>
    <row r="13" spans="1:2">
      <c r="A13" s="183" t="s">
        <v>499</v>
      </c>
      <c r="B13" s="182" t="s">
        <v>464</v>
      </c>
    </row>
    <row r="14" spans="1:2">
      <c r="A14" s="183" t="s">
        <v>498</v>
      </c>
      <c r="B14" s="182" t="s">
        <v>497</v>
      </c>
    </row>
    <row r="15" spans="1:2">
      <c r="A15" s="726"/>
    </row>
    <row r="16" spans="1:2">
      <c r="A16" s="183" t="s">
        <v>604</v>
      </c>
      <c r="B16" s="191" t="s">
        <v>94</v>
      </c>
    </row>
    <row r="17" spans="1:3">
      <c r="A17" s="183" t="s">
        <v>603</v>
      </c>
      <c r="B17" s="191" t="s">
        <v>95</v>
      </c>
    </row>
    <row r="18" spans="1:3">
      <c r="A18" s="183" t="s">
        <v>602</v>
      </c>
      <c r="B18" s="184" t="s">
        <v>1190</v>
      </c>
    </row>
    <row r="19" spans="1:3">
      <c r="A19" s="183" t="s">
        <v>601</v>
      </c>
      <c r="B19" s="222" t="s">
        <v>1191</v>
      </c>
    </row>
    <row r="20" spans="1:3">
      <c r="A20" s="183" t="s">
        <v>600</v>
      </c>
      <c r="B20" s="182" t="s">
        <v>540</v>
      </c>
      <c r="C20" s="744" t="s">
        <v>540</v>
      </c>
    </row>
    <row r="21" spans="1:3">
      <c r="C21" s="744" t="s">
        <v>571</v>
      </c>
    </row>
    <row r="22" spans="1:3">
      <c r="A22" s="726" t="s">
        <v>1683</v>
      </c>
      <c r="B22" s="182" t="s">
        <v>540</v>
      </c>
    </row>
    <row r="23" spans="1:3" ht="102">
      <c r="A23" s="749" t="s">
        <v>1684</v>
      </c>
    </row>
    <row r="24" spans="1:3">
      <c r="A24" s="726"/>
    </row>
    <row r="25" spans="1:3">
      <c r="A25" s="726"/>
    </row>
    <row r="26" spans="1:3">
      <c r="A26" s="182" t="s">
        <v>599</v>
      </c>
      <c r="B26" s="183" t="s">
        <v>464</v>
      </c>
    </row>
    <row r="27" spans="1:3">
      <c r="A27" s="182" t="s">
        <v>598</v>
      </c>
      <c r="B27" s="183" t="s">
        <v>597</v>
      </c>
    </row>
    <row r="29" spans="1:3">
      <c r="A29" s="182" t="s">
        <v>596</v>
      </c>
      <c r="B29" s="847" t="s">
        <v>1864</v>
      </c>
      <c r="C29" s="182" t="s">
        <v>464</v>
      </c>
    </row>
    <row r="30" spans="1:3">
      <c r="A30" s="182" t="s">
        <v>592</v>
      </c>
      <c r="B30" s="847" t="s">
        <v>1865</v>
      </c>
      <c r="C30" s="182" t="s">
        <v>593</v>
      </c>
    </row>
    <row r="31" spans="1:3">
      <c r="A31" s="182" t="s">
        <v>592</v>
      </c>
      <c r="B31" s="847" t="s">
        <v>1864</v>
      </c>
      <c r="C31" s="182" t="s">
        <v>593</v>
      </c>
    </row>
    <row r="32" spans="1:3">
      <c r="A32" s="182" t="s">
        <v>592</v>
      </c>
      <c r="B32" s="325" t="s">
        <v>1189</v>
      </c>
      <c r="C32" s="324" t="s">
        <v>1189</v>
      </c>
    </row>
    <row r="33" spans="1:3">
      <c r="A33" s="182" t="s">
        <v>592</v>
      </c>
      <c r="B33" s="325" t="s">
        <v>1189</v>
      </c>
      <c r="C33" s="324" t="s">
        <v>1189</v>
      </c>
    </row>
    <row r="34" spans="1:3">
      <c r="A34" s="182" t="s">
        <v>591</v>
      </c>
      <c r="B34" s="192"/>
    </row>
    <row r="35" spans="1:3">
      <c r="A35" s="182" t="s">
        <v>590</v>
      </c>
      <c r="B35" s="192"/>
    </row>
    <row r="36" spans="1:3" ht="15">
      <c r="A36" s="183" t="s">
        <v>589</v>
      </c>
      <c r="B36" t="s">
        <v>1866</v>
      </c>
    </row>
    <row r="37" spans="1:3" ht="15">
      <c r="A37" s="184" t="s">
        <v>1188</v>
      </c>
      <c r="B37" s="883" t="s">
        <v>1867</v>
      </c>
    </row>
    <row r="38" spans="1:3" ht="15">
      <c r="A38" s="183" t="s">
        <v>588</v>
      </c>
      <c r="B38" s="883" t="s">
        <v>1862</v>
      </c>
    </row>
    <row r="39" spans="1:3" ht="15">
      <c r="B39" s="844" t="s">
        <v>1868</v>
      </c>
    </row>
    <row r="40" spans="1:3" ht="15">
      <c r="B40" s="845" t="s">
        <v>1869</v>
      </c>
    </row>
    <row r="41" spans="1:3" ht="15">
      <c r="A41" s="183" t="s">
        <v>587</v>
      </c>
      <c r="B41" s="883" t="s">
        <v>1864</v>
      </c>
    </row>
    <row r="42" spans="1:3" ht="15">
      <c r="A42" s="184" t="s">
        <v>1573</v>
      </c>
      <c r="B42" s="883" t="s">
        <v>1823</v>
      </c>
    </row>
    <row r="43" spans="1:3" ht="15">
      <c r="A43" s="183" t="s">
        <v>586</v>
      </c>
      <c r="B43" s="884" t="s">
        <v>1870</v>
      </c>
    </row>
    <row r="44" spans="1:3" ht="15">
      <c r="A44" s="892" t="s">
        <v>585</v>
      </c>
      <c r="B44" s="883" t="s">
        <v>584</v>
      </c>
    </row>
    <row r="45" spans="1:3">
      <c r="A45" s="183" t="s">
        <v>585</v>
      </c>
      <c r="B45" s="193" t="s">
        <v>584</v>
      </c>
    </row>
    <row r="46" spans="1:3">
      <c r="A46" s="183" t="s">
        <v>583</v>
      </c>
      <c r="B46" s="323" t="s">
        <v>1187</v>
      </c>
    </row>
    <row r="47" spans="1:3">
      <c r="A47" s="182"/>
      <c r="B47" s="192"/>
    </row>
    <row r="49" spans="1:5">
      <c r="A49" s="892" t="s">
        <v>1872</v>
      </c>
      <c r="B49" s="848" t="s">
        <v>1871</v>
      </c>
    </row>
    <row r="50" spans="1:5">
      <c r="A50" s="183" t="s">
        <v>582</v>
      </c>
      <c r="B50" s="182">
        <v>55</v>
      </c>
    </row>
    <row r="51" spans="1:5" ht="15">
      <c r="A51" s="183" t="s">
        <v>581</v>
      </c>
      <c r="B51" s="849" t="s">
        <v>1826</v>
      </c>
    </row>
    <row r="52" spans="1:5">
      <c r="A52" s="183" t="s">
        <v>579</v>
      </c>
      <c r="B52" s="190" t="s">
        <v>571</v>
      </c>
    </row>
    <row r="53" spans="1:5">
      <c r="A53" s="183" t="s">
        <v>578</v>
      </c>
      <c r="B53" s="190"/>
    </row>
    <row r="54" spans="1:5">
      <c r="A54" s="183" t="s">
        <v>577</v>
      </c>
      <c r="B54" s="190"/>
    </row>
    <row r="55" spans="1:5">
      <c r="A55" s="183" t="s">
        <v>576</v>
      </c>
      <c r="B55" s="190" t="s">
        <v>540</v>
      </c>
    </row>
    <row r="56" spans="1:5">
      <c r="A56" s="183" t="s">
        <v>575</v>
      </c>
      <c r="B56" s="324" t="s">
        <v>1650</v>
      </c>
    </row>
    <row r="57" spans="1:5">
      <c r="A57" s="183" t="s">
        <v>573</v>
      </c>
      <c r="B57" s="324" t="s">
        <v>574</v>
      </c>
      <c r="C57" s="182" t="s">
        <v>464</v>
      </c>
    </row>
    <row r="58" spans="1:5">
      <c r="A58" s="183" t="s">
        <v>572</v>
      </c>
      <c r="B58" s="190" t="s">
        <v>571</v>
      </c>
    </row>
    <row r="59" spans="1:5">
      <c r="B59" s="190"/>
    </row>
    <row r="60" spans="1:5">
      <c r="B60" s="190"/>
    </row>
    <row r="61" spans="1:5" ht="38.25">
      <c r="A61" s="185" t="s">
        <v>570</v>
      </c>
      <c r="B61" s="189" t="s">
        <v>1659</v>
      </c>
      <c r="C61" s="188" t="s">
        <v>569</v>
      </c>
      <c r="D61" s="187" t="s">
        <v>568</v>
      </c>
      <c r="E61" s="187" t="s">
        <v>567</v>
      </c>
    </row>
    <row r="62" spans="1:5">
      <c r="A62" s="186" t="s">
        <v>566</v>
      </c>
    </row>
    <row r="63" spans="1:5">
      <c r="A63" s="183" t="s">
        <v>562</v>
      </c>
      <c r="B63" s="182">
        <v>10000</v>
      </c>
      <c r="C63" s="182">
        <v>10000</v>
      </c>
      <c r="D63" s="182">
        <v>10</v>
      </c>
      <c r="E63" s="182">
        <f>B63*D63/1000</f>
        <v>100</v>
      </c>
    </row>
    <row r="64" spans="1:5">
      <c r="A64" s="183" t="s">
        <v>561</v>
      </c>
      <c r="E64" s="182">
        <f>B64*D64/1000</f>
        <v>0</v>
      </c>
    </row>
    <row r="65" spans="1:5">
      <c r="A65" s="186" t="s">
        <v>565</v>
      </c>
      <c r="D65" s="182" t="s">
        <v>464</v>
      </c>
    </row>
    <row r="66" spans="1:5">
      <c r="A66" s="183" t="s">
        <v>562</v>
      </c>
      <c r="B66" s="182">
        <v>10000</v>
      </c>
      <c r="C66" s="182">
        <v>10000</v>
      </c>
      <c r="D66" s="182">
        <v>10</v>
      </c>
      <c r="E66" s="182">
        <f>B66*D66/1000</f>
        <v>100</v>
      </c>
    </row>
    <row r="67" spans="1:5">
      <c r="A67" s="183" t="s">
        <v>561</v>
      </c>
      <c r="B67" s="182">
        <v>0</v>
      </c>
      <c r="C67" s="182">
        <v>0</v>
      </c>
      <c r="D67" s="182">
        <v>0</v>
      </c>
      <c r="E67" s="182">
        <f>B67*D67/1000</f>
        <v>0</v>
      </c>
    </row>
    <row r="68" spans="1:5">
      <c r="A68" s="186" t="s">
        <v>564</v>
      </c>
      <c r="D68" s="182" t="s">
        <v>464</v>
      </c>
    </row>
    <row r="69" spans="1:5">
      <c r="A69" s="183" t="s">
        <v>562</v>
      </c>
      <c r="B69" s="182">
        <f>B66</f>
        <v>10000</v>
      </c>
      <c r="C69" s="182">
        <f>C66</f>
        <v>10000</v>
      </c>
      <c r="D69" s="182">
        <v>10</v>
      </c>
      <c r="E69" s="182">
        <f>B69*D69/1000</f>
        <v>100</v>
      </c>
    </row>
    <row r="70" spans="1:5">
      <c r="A70" s="183" t="s">
        <v>561</v>
      </c>
      <c r="B70" s="182">
        <v>0</v>
      </c>
      <c r="C70" s="182">
        <v>0</v>
      </c>
      <c r="D70" s="182">
        <v>0</v>
      </c>
      <c r="E70" s="182">
        <f>B70*D70/1000</f>
        <v>0</v>
      </c>
    </row>
    <row r="71" spans="1:5">
      <c r="A71" s="186" t="s">
        <v>563</v>
      </c>
    </row>
    <row r="72" spans="1:5">
      <c r="A72" s="183" t="s">
        <v>562</v>
      </c>
      <c r="B72" s="182">
        <f>B69</f>
        <v>10000</v>
      </c>
      <c r="C72" s="182">
        <f>C69</f>
        <v>10000</v>
      </c>
      <c r="D72" s="182">
        <v>10</v>
      </c>
      <c r="E72" s="182">
        <f>B72*D72/1000</f>
        <v>100</v>
      </c>
    </row>
    <row r="73" spans="1:5">
      <c r="A73" s="183" t="s">
        <v>561</v>
      </c>
      <c r="B73" s="182">
        <v>0</v>
      </c>
      <c r="C73" s="182">
        <v>0</v>
      </c>
      <c r="D73" s="182">
        <v>0</v>
      </c>
      <c r="E73" s="182">
        <f>B73*D73/1000</f>
        <v>0</v>
      </c>
    </row>
    <row r="74" spans="1:5">
      <c r="A74" s="186" t="s">
        <v>560</v>
      </c>
    </row>
    <row r="75" spans="1:5">
      <c r="A75" s="182" t="s">
        <v>559</v>
      </c>
      <c r="B75" s="182">
        <v>0</v>
      </c>
      <c r="C75" s="182">
        <v>0</v>
      </c>
      <c r="D75" s="182">
        <v>0</v>
      </c>
      <c r="E75" s="182">
        <f>B75*D75/1000</f>
        <v>0</v>
      </c>
    </row>
    <row r="76" spans="1:5">
      <c r="A76" s="182" t="s">
        <v>558</v>
      </c>
      <c r="B76" s="182">
        <v>0</v>
      </c>
      <c r="C76" s="182">
        <v>0</v>
      </c>
      <c r="D76" s="182">
        <v>0</v>
      </c>
      <c r="E76" s="182">
        <f>B76*D76/1000</f>
        <v>0</v>
      </c>
    </row>
    <row r="77" spans="1:5">
      <c r="A77" s="182" t="s">
        <v>557</v>
      </c>
      <c r="B77" s="182">
        <v>0</v>
      </c>
      <c r="C77" s="182">
        <v>0</v>
      </c>
      <c r="D77" s="182">
        <v>0</v>
      </c>
    </row>
    <row r="79" spans="1:5">
      <c r="A79" s="185" t="s">
        <v>556</v>
      </c>
    </row>
    <row r="80" spans="1:5">
      <c r="A80" s="750" t="s">
        <v>555</v>
      </c>
      <c r="B80" s="182">
        <v>0</v>
      </c>
    </row>
    <row r="81" spans="1:2">
      <c r="A81" s="750" t="s">
        <v>554</v>
      </c>
      <c r="B81" s="182">
        <v>0</v>
      </c>
    </row>
    <row r="82" spans="1:2">
      <c r="A82" s="750" t="s">
        <v>553</v>
      </c>
      <c r="B82" s="182">
        <v>0</v>
      </c>
    </row>
    <row r="83" spans="1:2">
      <c r="A83" s="750" t="s">
        <v>552</v>
      </c>
      <c r="B83" s="182">
        <v>0</v>
      </c>
    </row>
    <row r="84" spans="1:2">
      <c r="A84" s="750" t="s">
        <v>439</v>
      </c>
      <c r="B84" s="182">
        <v>0</v>
      </c>
    </row>
    <row r="85" spans="1:2">
      <c r="A85" s="750" t="s">
        <v>551</v>
      </c>
      <c r="B85" s="182">
        <v>0</v>
      </c>
    </row>
    <row r="86" spans="1:2">
      <c r="A86" s="750" t="s">
        <v>550</v>
      </c>
      <c r="B86" s="182">
        <v>0</v>
      </c>
    </row>
    <row r="87" spans="1:2">
      <c r="A87" s="750" t="s">
        <v>549</v>
      </c>
      <c r="B87" s="182">
        <v>0</v>
      </c>
    </row>
    <row r="88" spans="1:2">
      <c r="A88" s="750" t="s">
        <v>548</v>
      </c>
      <c r="B88" s="182">
        <v>100</v>
      </c>
    </row>
    <row r="89" spans="1:2">
      <c r="A89" s="750" t="s">
        <v>547</v>
      </c>
      <c r="B89" s="182">
        <v>0</v>
      </c>
    </row>
    <row r="90" spans="1:2">
      <c r="A90" s="182"/>
      <c r="B90" s="183"/>
    </row>
    <row r="91" spans="1:2">
      <c r="A91" s="182"/>
      <c r="B91" s="183"/>
    </row>
    <row r="92" spans="1:2" ht="51">
      <c r="A92" s="183" t="s">
        <v>546</v>
      </c>
    </row>
    <row r="94" spans="1:2" ht="38.25">
      <c r="A94" s="183" t="s">
        <v>545</v>
      </c>
    </row>
    <row r="95" spans="1:2" ht="51">
      <c r="A95" s="183" t="s">
        <v>544</v>
      </c>
    </row>
    <row r="96" spans="1:2">
      <c r="A96" s="183" t="s">
        <v>464</v>
      </c>
    </row>
    <row r="98" spans="1:3">
      <c r="A98" s="183" t="s">
        <v>464</v>
      </c>
    </row>
    <row r="101" spans="1:3" ht="12.75" customHeight="1">
      <c r="A101" s="743" t="str">
        <f>IF(PL!F44&gt;0,"Profit", "Loss")</f>
        <v>Loss</v>
      </c>
      <c r="B101" s="743" t="str">
        <f>IF(PL!H44&gt;0,"Profit", "Loss")</f>
        <v>Loss</v>
      </c>
    </row>
    <row r="103" spans="1:3">
      <c r="A103" s="183" t="s">
        <v>543</v>
      </c>
      <c r="B103" s="182" t="s">
        <v>540</v>
      </c>
      <c r="C103" s="744" t="s">
        <v>540</v>
      </c>
    </row>
    <row r="104" spans="1:3">
      <c r="C104" s="744" t="s">
        <v>542</v>
      </c>
    </row>
    <row r="105" spans="1:3">
      <c r="A105" s="183" t="s">
        <v>541</v>
      </c>
      <c r="B105" s="182" t="s">
        <v>540</v>
      </c>
    </row>
    <row r="108" spans="1:3">
      <c r="A108" s="842" t="s">
        <v>1789</v>
      </c>
      <c r="B108" s="182" t="s">
        <v>571</v>
      </c>
    </row>
    <row r="111" spans="1:3" ht="51">
      <c r="A111" s="183" t="s">
        <v>539</v>
      </c>
    </row>
    <row r="112" spans="1:3">
      <c r="A112" s="183" t="s">
        <v>538</v>
      </c>
    </row>
    <row r="113" spans="1:2" ht="25.5">
      <c r="A113" s="183" t="s">
        <v>537</v>
      </c>
    </row>
    <row r="114" spans="1:2" ht="25.5">
      <c r="A114" s="183" t="s">
        <v>536</v>
      </c>
    </row>
    <row r="115" spans="1:2" ht="25.5">
      <c r="A115" s="183" t="s">
        <v>535</v>
      </c>
    </row>
    <row r="116" spans="1:2" ht="25.5">
      <c r="A116" s="183" t="s">
        <v>534</v>
      </c>
    </row>
    <row r="117" spans="1:2" ht="38.25">
      <c r="A117" s="183" t="s">
        <v>533</v>
      </c>
    </row>
    <row r="118" spans="1:2" ht="25.5">
      <c r="A118" s="184" t="s">
        <v>532</v>
      </c>
      <c r="B118" s="182" t="s">
        <v>464</v>
      </c>
    </row>
    <row r="119" spans="1:2" ht="40.5" customHeight="1">
      <c r="A119" s="184" t="s">
        <v>531</v>
      </c>
      <c r="B119" s="182" t="s">
        <v>464</v>
      </c>
    </row>
    <row r="120" spans="1:2" ht="25.5">
      <c r="A120" s="184" t="s">
        <v>530</v>
      </c>
    </row>
    <row r="121" spans="1:2" ht="25.5">
      <c r="A121" s="183" t="s">
        <v>529</v>
      </c>
    </row>
    <row r="122" spans="1:2" ht="51">
      <c r="A122" s="183" t="s">
        <v>528</v>
      </c>
    </row>
    <row r="123" spans="1:2" ht="25.5">
      <c r="A123" s="183" t="s">
        <v>527</v>
      </c>
    </row>
    <row r="124" spans="1:2" ht="38.25">
      <c r="A124" s="183" t="s">
        <v>526</v>
      </c>
    </row>
    <row r="127" spans="1:2" ht="42.75">
      <c r="A127" s="183" t="s">
        <v>525</v>
      </c>
    </row>
    <row r="128" spans="1:2" ht="51">
      <c r="A128" s="183" t="s">
        <v>524</v>
      </c>
    </row>
    <row r="129" spans="1:1" ht="76.5">
      <c r="A129" s="183" t="s">
        <v>523</v>
      </c>
    </row>
    <row r="130" spans="1:1" ht="25.5">
      <c r="A130" s="183" t="s">
        <v>522</v>
      </c>
    </row>
    <row r="131" spans="1:1" ht="38.25">
      <c r="A131" s="183" t="s">
        <v>521</v>
      </c>
    </row>
    <row r="132" spans="1:1" ht="25.5">
      <c r="A132" s="183" t="s">
        <v>520</v>
      </c>
    </row>
    <row r="133" spans="1:1">
      <c r="A133" s="183" t="s">
        <v>519</v>
      </c>
    </row>
    <row r="134" spans="1:1">
      <c r="A134" s="183" t="s">
        <v>518</v>
      </c>
    </row>
    <row r="135" spans="1:1">
      <c r="A135" s="183" t="s">
        <v>517</v>
      </c>
    </row>
    <row r="136" spans="1:1" ht="26.25" customHeight="1">
      <c r="A136" s="183" t="str">
        <f>CONCATENATE("14.    There was no amount outstanding as on ",B18," in respect of undisputed income tax, sales tax, custom duty, excise duty for a period of more than six months from the date, they became payable.")</f>
        <v>14.    There was no amount outstanding as on 31st MARCH, 2012 in respect of undisputed income tax, sales tax, custom duty, excise duty for a period of more than six months from the date, they became payable.</v>
      </c>
    </row>
    <row r="137" spans="1:1" ht="25.5">
      <c r="A137" s="183" t="s">
        <v>516</v>
      </c>
    </row>
    <row r="138" spans="1:1" ht="38.25">
      <c r="A138" s="184" t="s">
        <v>515</v>
      </c>
    </row>
    <row r="139" spans="1:1" ht="38.25">
      <c r="A139" s="183" t="s">
        <v>514</v>
      </c>
    </row>
    <row r="140" spans="1:1" ht="25.5">
      <c r="A140" s="183" t="s">
        <v>513</v>
      </c>
    </row>
    <row r="141" spans="1:1" ht="27.75" customHeight="1">
      <c r="A141" s="183" t="s">
        <v>512</v>
      </c>
    </row>
    <row r="142" spans="1:1" ht="25.5">
      <c r="A142" s="183" t="s">
        <v>511</v>
      </c>
    </row>
    <row r="143" spans="1:1" ht="26.25" customHeight="1">
      <c r="A143" s="183" t="s">
        <v>510</v>
      </c>
    </row>
    <row r="144" spans="1:1" ht="25.5">
      <c r="A144" s="183" t="s">
        <v>509</v>
      </c>
    </row>
    <row r="145" spans="1:1" ht="25.5">
      <c r="A145" s="183" t="s">
        <v>508</v>
      </c>
    </row>
    <row r="146" spans="1:1" ht="25.5">
      <c r="A146" s="183" t="s">
        <v>507</v>
      </c>
    </row>
    <row r="147" spans="1:1" ht="26.25" customHeight="1">
      <c r="A147" s="183" t="s">
        <v>506</v>
      </c>
    </row>
    <row r="148" spans="1:1" ht="39" customHeight="1">
      <c r="A148" s="183" t="s">
        <v>505</v>
      </c>
    </row>
    <row r="149" spans="1:1" ht="25.5">
      <c r="A149" s="183" t="s">
        <v>504</v>
      </c>
    </row>
    <row r="150" spans="1:1">
      <c r="A150" s="183" t="s">
        <v>503</v>
      </c>
    </row>
    <row r="151" spans="1:1">
      <c r="A151" s="183" t="s">
        <v>502</v>
      </c>
    </row>
    <row r="152" spans="1:1" ht="25.5">
      <c r="A152" s="183" t="s">
        <v>501</v>
      </c>
    </row>
  </sheetData>
  <dataValidations count="4">
    <dataValidation type="list" allowBlank="1" showInputMessage="1" showErrorMessage="1" sqref="B104">
      <formula1>$C$103:$C$105</formula1>
    </dataValidation>
    <dataValidation type="list" allowBlank="1" showInputMessage="1" showErrorMessage="1" sqref="B105 B103">
      <formula1>$C$103:$C$104</formula1>
    </dataValidation>
    <dataValidation type="list" allowBlank="1" showInputMessage="1" showErrorMessage="1" sqref="B48 B52 B55 B58 B106:B109 B28 B20:B25">
      <formula1>$C$20:$C$21</formula1>
    </dataValidation>
    <dataValidation type="list" allowBlank="1" showInputMessage="1" showErrorMessage="1" sqref="B42">
      <formula1>$D$60:$D$61</formula1>
    </dataValidation>
  </dataValidations>
  <pageMargins left="0.75" right="0.75" top="1" bottom="1" header="0.5" footer="0.5"/>
  <pageSetup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dimension ref="A1:H778"/>
  <sheetViews>
    <sheetView topLeftCell="A760" workbookViewId="0">
      <selection activeCell="B766" sqref="B766"/>
    </sheetView>
  </sheetViews>
  <sheetFormatPr defaultRowHeight="15"/>
  <cols>
    <col min="1" max="1" width="60.28515625" bestFit="1" customWidth="1"/>
    <col min="2" max="5" width="14.85546875" style="691" customWidth="1"/>
  </cols>
  <sheetData>
    <row r="1" spans="1:5" ht="16.5" thickBot="1">
      <c r="A1" s="36" t="s">
        <v>1800</v>
      </c>
    </row>
    <row r="2" spans="1:5">
      <c r="B2" s="901" t="str">
        <f>master!B16</f>
        <v>31/03/2012</v>
      </c>
      <c r="C2" s="901"/>
      <c r="D2" s="901" t="str">
        <f>master!B17</f>
        <v>31/03/2011</v>
      </c>
      <c r="E2" s="901"/>
    </row>
    <row r="3" spans="1:5">
      <c r="B3" s="690" t="s">
        <v>460</v>
      </c>
      <c r="C3" s="690" t="s">
        <v>461</v>
      </c>
      <c r="D3" s="690" t="s">
        <v>460</v>
      </c>
      <c r="E3" s="690" t="s">
        <v>461</v>
      </c>
    </row>
    <row r="4" spans="1:5" ht="16.5" thickBot="1">
      <c r="A4" s="36" t="s">
        <v>465</v>
      </c>
    </row>
    <row r="5" spans="1:5">
      <c r="A5" s="1" t="s">
        <v>1660</v>
      </c>
      <c r="C5" s="692">
        <f>'1'!F10</f>
        <v>100000</v>
      </c>
      <c r="D5" s="693"/>
      <c r="E5" s="692">
        <f>'1'!G10</f>
        <v>100000</v>
      </c>
    </row>
    <row r="7" spans="1:5" ht="16.5" thickBot="1">
      <c r="A7" s="36" t="s">
        <v>466</v>
      </c>
    </row>
    <row r="8" spans="1:5">
      <c r="A8" s="7" t="s">
        <v>1661</v>
      </c>
      <c r="B8" s="694"/>
      <c r="C8" s="694"/>
    </row>
    <row r="9" spans="1:5">
      <c r="A9" s="1" t="s">
        <v>196</v>
      </c>
      <c r="C9" s="692">
        <f>E9+E10-E11</f>
        <v>0</v>
      </c>
      <c r="D9" s="696"/>
      <c r="E9" s="695">
        <v>0</v>
      </c>
    </row>
    <row r="10" spans="1:5">
      <c r="A10" s="1" t="s">
        <v>197</v>
      </c>
      <c r="C10" s="696">
        <v>0</v>
      </c>
      <c r="D10" s="696"/>
      <c r="E10" s="695">
        <v>0</v>
      </c>
    </row>
    <row r="11" spans="1:5">
      <c r="A11" s="1" t="s">
        <v>198</v>
      </c>
      <c r="B11" s="696">
        <v>0</v>
      </c>
      <c r="C11" s="696"/>
      <c r="D11" s="695">
        <v>0</v>
      </c>
    </row>
    <row r="12" spans="1:5">
      <c r="A12" s="1"/>
      <c r="C12" s="697"/>
      <c r="D12" s="697"/>
      <c r="E12" s="698"/>
    </row>
    <row r="13" spans="1:5">
      <c r="A13" s="7" t="s">
        <v>199</v>
      </c>
      <c r="C13" s="697"/>
      <c r="D13" s="697"/>
      <c r="E13" s="698"/>
    </row>
    <row r="14" spans="1:5">
      <c r="A14" s="1" t="s">
        <v>196</v>
      </c>
      <c r="C14" s="699">
        <f>'2'!F12</f>
        <v>0</v>
      </c>
      <c r="D14" s="697"/>
      <c r="E14" s="695">
        <v>0</v>
      </c>
    </row>
    <row r="15" spans="1:5">
      <c r="A15" s="1" t="s">
        <v>200</v>
      </c>
      <c r="C15" s="696">
        <v>0</v>
      </c>
      <c r="D15" s="696"/>
      <c r="E15" s="696">
        <v>0</v>
      </c>
    </row>
    <row r="16" spans="1:5">
      <c r="A16" s="1" t="s">
        <v>201</v>
      </c>
      <c r="C16" s="696">
        <v>0</v>
      </c>
      <c r="D16" s="696"/>
      <c r="E16" s="696">
        <v>0</v>
      </c>
    </row>
    <row r="17" spans="1:5">
      <c r="A17" s="1" t="s">
        <v>202</v>
      </c>
      <c r="C17" s="696">
        <v>0</v>
      </c>
      <c r="D17" s="696"/>
      <c r="E17" s="696">
        <v>0</v>
      </c>
    </row>
    <row r="18" spans="1:5">
      <c r="A18" s="1" t="s">
        <v>203</v>
      </c>
      <c r="C18" s="696">
        <v>0</v>
      </c>
      <c r="D18" s="696"/>
      <c r="E18" s="696">
        <v>0</v>
      </c>
    </row>
    <row r="19" spans="1:5">
      <c r="A19" s="1" t="s">
        <v>204</v>
      </c>
      <c r="C19" s="715">
        <f>TB_ANNX!C10</f>
        <v>0</v>
      </c>
      <c r="D19" s="715"/>
      <c r="E19" s="715">
        <f>TB_ANNX!D10</f>
        <v>0</v>
      </c>
    </row>
    <row r="20" spans="1:5">
      <c r="A20" s="1" t="s">
        <v>205</v>
      </c>
      <c r="B20" s="696">
        <v>0</v>
      </c>
      <c r="C20" s="696"/>
      <c r="D20" s="696">
        <v>0</v>
      </c>
    </row>
    <row r="21" spans="1:5">
      <c r="A21" s="1" t="s">
        <v>206</v>
      </c>
      <c r="B21" s="696">
        <v>0</v>
      </c>
      <c r="C21" s="696"/>
      <c r="D21" s="696">
        <v>0</v>
      </c>
    </row>
    <row r="22" spans="1:5">
      <c r="A22" s="1" t="s">
        <v>207</v>
      </c>
      <c r="B22" s="696">
        <v>0</v>
      </c>
      <c r="C22" s="696"/>
      <c r="D22" s="696">
        <v>0</v>
      </c>
    </row>
    <row r="23" spans="1:5">
      <c r="A23" s="1" t="s">
        <v>208</v>
      </c>
      <c r="B23" s="696">
        <v>0</v>
      </c>
      <c r="C23" s="696"/>
      <c r="D23" s="696">
        <v>0</v>
      </c>
    </row>
    <row r="24" spans="1:5">
      <c r="A24" s="1" t="s">
        <v>209</v>
      </c>
      <c r="B24" s="696">
        <v>0</v>
      </c>
      <c r="C24" s="696"/>
      <c r="D24" s="696">
        <v>0</v>
      </c>
    </row>
    <row r="25" spans="1:5">
      <c r="A25" s="1" t="s">
        <v>210</v>
      </c>
      <c r="B25" s="696">
        <v>0</v>
      </c>
      <c r="C25" s="696"/>
      <c r="D25" s="696">
        <v>0</v>
      </c>
    </row>
    <row r="26" spans="1:5">
      <c r="A26" s="1" t="s">
        <v>211</v>
      </c>
      <c r="B26" s="696">
        <v>0</v>
      </c>
      <c r="C26" s="696"/>
      <c r="D26" s="696">
        <v>0</v>
      </c>
    </row>
    <row r="27" spans="1:5">
      <c r="A27" s="1" t="s">
        <v>212</v>
      </c>
      <c r="B27" s="696">
        <v>0</v>
      </c>
      <c r="C27" s="696"/>
      <c r="D27" s="696">
        <v>0</v>
      </c>
    </row>
    <row r="28" spans="1:5">
      <c r="A28" s="1" t="s">
        <v>213</v>
      </c>
      <c r="B28" s="696">
        <v>0</v>
      </c>
      <c r="C28" s="696"/>
      <c r="D28" s="696">
        <v>0</v>
      </c>
    </row>
    <row r="29" spans="1:5">
      <c r="A29" s="1" t="s">
        <v>214</v>
      </c>
      <c r="B29" s="696">
        <v>0</v>
      </c>
      <c r="C29" s="696"/>
      <c r="D29" s="696">
        <v>0</v>
      </c>
    </row>
    <row r="30" spans="1:5">
      <c r="A30" s="1" t="s">
        <v>215</v>
      </c>
      <c r="B30" s="696">
        <v>0</v>
      </c>
      <c r="C30" s="696"/>
      <c r="D30" s="696">
        <v>0</v>
      </c>
    </row>
    <row r="31" spans="1:5">
      <c r="A31" s="1" t="s">
        <v>216</v>
      </c>
      <c r="B31" s="696">
        <v>0</v>
      </c>
      <c r="C31" s="696"/>
      <c r="D31" s="696">
        <v>0</v>
      </c>
    </row>
    <row r="32" spans="1:5">
      <c r="A32" s="1" t="s">
        <v>1804</v>
      </c>
      <c r="B32" s="715">
        <f>TB_ANNX!C18</f>
        <v>0</v>
      </c>
      <c r="C32" s="715"/>
      <c r="D32" s="715">
        <f>TB_ANNX!D18</f>
        <v>0</v>
      </c>
    </row>
    <row r="33" spans="1:5">
      <c r="A33" s="7"/>
      <c r="B33" s="697"/>
      <c r="C33" s="697"/>
      <c r="D33" s="697"/>
    </row>
    <row r="34" spans="1:5">
      <c r="A34" s="1" t="s">
        <v>6</v>
      </c>
      <c r="C34" s="696">
        <v>0</v>
      </c>
      <c r="D34" s="696"/>
      <c r="E34" s="696">
        <v>0</v>
      </c>
    </row>
    <row r="35" spans="1:5">
      <c r="A35" s="1"/>
      <c r="C35" s="696"/>
      <c r="D35" s="696"/>
      <c r="E35" s="696"/>
    </row>
    <row r="36" spans="1:5" ht="16.5" thickBot="1">
      <c r="A36" s="36" t="s">
        <v>467</v>
      </c>
    </row>
    <row r="37" spans="1:5">
      <c r="A37" s="2" t="s">
        <v>219</v>
      </c>
      <c r="C37" s="882">
        <v>0</v>
      </c>
      <c r="D37" s="882"/>
      <c r="E37" s="882">
        <v>0</v>
      </c>
    </row>
    <row r="38" spans="1:5">
      <c r="A38" s="2" t="s">
        <v>220</v>
      </c>
      <c r="C38" s="696">
        <v>0</v>
      </c>
      <c r="D38" s="696"/>
      <c r="E38" s="695">
        <v>0</v>
      </c>
    </row>
    <row r="39" spans="1:5">
      <c r="A39" s="2" t="s">
        <v>221</v>
      </c>
      <c r="C39" s="696">
        <v>0</v>
      </c>
      <c r="D39" s="696"/>
      <c r="E39" s="695">
        <v>0</v>
      </c>
    </row>
    <row r="41" spans="1:5" ht="16.5" thickBot="1">
      <c r="A41" s="36" t="s">
        <v>468</v>
      </c>
      <c r="B41" s="696"/>
      <c r="C41" s="696"/>
      <c r="D41" s="695"/>
    </row>
    <row r="42" spans="1:5">
      <c r="A42" s="7" t="s">
        <v>223</v>
      </c>
      <c r="C42" s="696">
        <v>0</v>
      </c>
      <c r="D42" s="696"/>
      <c r="E42" s="695">
        <v>0</v>
      </c>
    </row>
    <row r="43" spans="1:5">
      <c r="A43" s="23"/>
      <c r="C43" s="696"/>
      <c r="D43" s="696"/>
      <c r="E43" s="695"/>
    </row>
    <row r="44" spans="1:5">
      <c r="A44" s="7" t="s">
        <v>224</v>
      </c>
      <c r="C44" s="696">
        <v>0</v>
      </c>
      <c r="D44" s="696"/>
      <c r="E44" s="695">
        <v>0</v>
      </c>
    </row>
    <row r="45" spans="1:5">
      <c r="A45" s="1"/>
      <c r="C45" s="696"/>
      <c r="D45" s="696"/>
      <c r="E45" s="695"/>
    </row>
    <row r="46" spans="1:5">
      <c r="A46" s="7" t="s">
        <v>225</v>
      </c>
      <c r="C46" s="696"/>
      <c r="D46" s="696"/>
      <c r="E46" s="695"/>
    </row>
    <row r="47" spans="1:5">
      <c r="A47" s="40" t="s">
        <v>412</v>
      </c>
      <c r="C47" s="696">
        <v>0</v>
      </c>
      <c r="D47" s="696"/>
      <c r="E47" s="695">
        <v>0</v>
      </c>
    </row>
    <row r="48" spans="1:5">
      <c r="A48" s="23"/>
      <c r="C48" s="696"/>
      <c r="D48" s="696"/>
      <c r="E48" s="695"/>
    </row>
    <row r="49" spans="1:5">
      <c r="A49" s="7" t="s">
        <v>226</v>
      </c>
      <c r="C49" s="696"/>
      <c r="D49" s="696"/>
      <c r="E49" s="695"/>
    </row>
    <row r="50" spans="1:5">
      <c r="A50" s="40" t="s">
        <v>362</v>
      </c>
      <c r="C50" s="696">
        <v>0</v>
      </c>
      <c r="D50" s="696"/>
      <c r="E50" s="695">
        <v>0</v>
      </c>
    </row>
    <row r="51" spans="1:5">
      <c r="A51" s="1"/>
      <c r="C51" s="696"/>
      <c r="D51" s="696"/>
      <c r="E51" s="695"/>
    </row>
    <row r="52" spans="1:5">
      <c r="A52" s="7" t="s">
        <v>227</v>
      </c>
      <c r="C52" s="696"/>
      <c r="D52" s="696"/>
      <c r="E52" s="695"/>
    </row>
    <row r="53" spans="1:5">
      <c r="A53" s="40" t="s">
        <v>413</v>
      </c>
      <c r="C53" s="696">
        <v>0</v>
      </c>
      <c r="D53" s="696"/>
      <c r="E53" s="695">
        <v>0</v>
      </c>
    </row>
    <row r="54" spans="1:5">
      <c r="A54" s="23"/>
      <c r="C54" s="696"/>
      <c r="D54" s="696"/>
      <c r="E54" s="695"/>
    </row>
    <row r="55" spans="1:5">
      <c r="A55" s="7" t="s">
        <v>228</v>
      </c>
      <c r="C55" s="696"/>
      <c r="D55" s="696"/>
      <c r="E55" s="695"/>
    </row>
    <row r="56" spans="1:5">
      <c r="A56" s="40" t="s">
        <v>362</v>
      </c>
      <c r="C56" s="696">
        <v>0</v>
      </c>
      <c r="D56" s="696"/>
      <c r="E56" s="695">
        <v>0</v>
      </c>
    </row>
    <row r="57" spans="1:5">
      <c r="A57" s="23"/>
      <c r="C57" s="700"/>
      <c r="D57" s="700"/>
      <c r="E57" s="701"/>
    </row>
    <row r="58" spans="1:5">
      <c r="A58" s="7" t="s">
        <v>229</v>
      </c>
      <c r="C58" s="696"/>
      <c r="D58" s="696"/>
      <c r="E58" s="695"/>
    </row>
    <row r="59" spans="1:5">
      <c r="A59" s="1" t="s">
        <v>414</v>
      </c>
      <c r="C59" s="696">
        <v>0</v>
      </c>
      <c r="D59" s="696"/>
      <c r="E59" s="695">
        <v>0</v>
      </c>
    </row>
    <row r="60" spans="1:5">
      <c r="A60" s="1"/>
      <c r="C60" s="696"/>
      <c r="D60" s="696"/>
      <c r="E60" s="695"/>
    </row>
    <row r="61" spans="1:5">
      <c r="A61" s="7" t="s">
        <v>230</v>
      </c>
      <c r="C61" s="696"/>
      <c r="D61" s="696"/>
      <c r="E61" s="695"/>
    </row>
    <row r="62" spans="1:5">
      <c r="A62" s="1" t="s">
        <v>415</v>
      </c>
      <c r="C62" s="696">
        <v>0</v>
      </c>
      <c r="D62" s="696"/>
      <c r="E62" s="695">
        <v>0</v>
      </c>
    </row>
    <row r="63" spans="1:5">
      <c r="A63" s="23"/>
      <c r="C63" s="700"/>
      <c r="D63" s="700"/>
      <c r="E63" s="701"/>
    </row>
    <row r="64" spans="1:5">
      <c r="A64" s="67" t="s">
        <v>231</v>
      </c>
      <c r="C64" s="700"/>
      <c r="D64" s="700"/>
      <c r="E64" s="701"/>
    </row>
    <row r="65" spans="1:5">
      <c r="A65" s="68" t="s">
        <v>232</v>
      </c>
      <c r="C65" s="696">
        <v>0</v>
      </c>
      <c r="D65" s="696"/>
      <c r="E65" s="695">
        <v>0</v>
      </c>
    </row>
    <row r="66" spans="1:5">
      <c r="A66" s="68" t="s">
        <v>233</v>
      </c>
      <c r="C66" s="696">
        <v>0</v>
      </c>
      <c r="D66" s="696"/>
      <c r="E66" s="695">
        <v>0</v>
      </c>
    </row>
    <row r="67" spans="1:5">
      <c r="A67" s="68" t="s">
        <v>234</v>
      </c>
      <c r="C67" s="696">
        <v>0</v>
      </c>
      <c r="D67" s="696"/>
      <c r="E67" s="695">
        <v>0</v>
      </c>
    </row>
    <row r="68" spans="1:5">
      <c r="A68" s="68" t="s">
        <v>235</v>
      </c>
      <c r="C68" s="696">
        <v>0</v>
      </c>
      <c r="D68" s="696"/>
      <c r="E68" s="695">
        <v>0</v>
      </c>
    </row>
    <row r="69" spans="1:5">
      <c r="A69" s="68" t="s">
        <v>236</v>
      </c>
      <c r="C69" s="696">
        <v>0</v>
      </c>
      <c r="D69" s="696"/>
      <c r="E69" s="695">
        <v>0</v>
      </c>
    </row>
    <row r="70" spans="1:5">
      <c r="A70" s="68" t="s">
        <v>237</v>
      </c>
      <c r="C70" s="696">
        <v>0</v>
      </c>
      <c r="D70" s="696"/>
      <c r="E70" s="695">
        <v>0</v>
      </c>
    </row>
    <row r="71" spans="1:5">
      <c r="A71" s="68" t="s">
        <v>238</v>
      </c>
      <c r="C71" s="696">
        <v>0</v>
      </c>
      <c r="D71" s="696"/>
      <c r="E71" s="695">
        <v>0</v>
      </c>
    </row>
    <row r="72" spans="1:5">
      <c r="A72" s="68" t="s">
        <v>239</v>
      </c>
      <c r="C72" s="696">
        <v>0</v>
      </c>
      <c r="D72" s="696"/>
      <c r="E72" s="695">
        <v>0</v>
      </c>
    </row>
    <row r="73" spans="1:5">
      <c r="A73" s="68" t="s">
        <v>240</v>
      </c>
      <c r="C73" s="696">
        <v>0</v>
      </c>
      <c r="D73" s="696"/>
      <c r="E73" s="695">
        <v>0</v>
      </c>
    </row>
    <row r="74" spans="1:5">
      <c r="A74" s="68" t="s">
        <v>241</v>
      </c>
      <c r="C74" s="696">
        <v>0</v>
      </c>
      <c r="D74" s="696"/>
      <c r="E74" s="695">
        <v>0</v>
      </c>
    </row>
    <row r="75" spans="1:5">
      <c r="A75" s="23"/>
      <c r="C75" s="700"/>
      <c r="D75" s="700"/>
      <c r="E75" s="701"/>
    </row>
    <row r="76" spans="1:5">
      <c r="A76" s="67" t="s">
        <v>242</v>
      </c>
      <c r="C76" s="700"/>
      <c r="D76" s="700"/>
      <c r="E76" s="701"/>
    </row>
    <row r="77" spans="1:5">
      <c r="A77" s="68" t="s">
        <v>232</v>
      </c>
      <c r="C77" s="695">
        <v>0</v>
      </c>
      <c r="D77" s="696"/>
      <c r="E77" s="695">
        <v>0</v>
      </c>
    </row>
    <row r="78" spans="1:5">
      <c r="A78" s="68" t="s">
        <v>243</v>
      </c>
      <c r="C78" s="695">
        <v>0</v>
      </c>
      <c r="D78" s="696"/>
      <c r="E78" s="695">
        <v>0</v>
      </c>
    </row>
    <row r="79" spans="1:5">
      <c r="A79" s="68" t="s">
        <v>244</v>
      </c>
      <c r="C79" s="695">
        <v>0</v>
      </c>
      <c r="D79" s="696"/>
      <c r="E79" s="695">
        <v>0</v>
      </c>
    </row>
    <row r="80" spans="1:5">
      <c r="A80" s="68" t="s">
        <v>234</v>
      </c>
      <c r="C80" s="695">
        <v>0</v>
      </c>
      <c r="D80" s="696"/>
      <c r="E80" s="695">
        <v>0</v>
      </c>
    </row>
    <row r="81" spans="1:5">
      <c r="A81" s="68" t="s">
        <v>235</v>
      </c>
      <c r="C81" s="695">
        <v>0</v>
      </c>
      <c r="D81" s="696"/>
      <c r="E81" s="695">
        <v>0</v>
      </c>
    </row>
    <row r="82" spans="1:5">
      <c r="A82" s="68" t="s">
        <v>236</v>
      </c>
      <c r="C82" s="695">
        <v>0</v>
      </c>
      <c r="D82" s="696"/>
      <c r="E82" s="695">
        <v>0</v>
      </c>
    </row>
    <row r="83" spans="1:5">
      <c r="A83" s="68" t="s">
        <v>237</v>
      </c>
      <c r="C83" s="695">
        <v>0</v>
      </c>
      <c r="D83" s="696"/>
      <c r="E83" s="695">
        <v>0</v>
      </c>
    </row>
    <row r="84" spans="1:5">
      <c r="A84" s="68" t="s">
        <v>238</v>
      </c>
      <c r="C84" s="695">
        <v>0</v>
      </c>
      <c r="D84" s="696"/>
      <c r="E84" s="695">
        <v>0</v>
      </c>
    </row>
    <row r="85" spans="1:5">
      <c r="A85" s="68" t="s">
        <v>239</v>
      </c>
      <c r="C85" s="695">
        <v>0</v>
      </c>
      <c r="D85" s="696"/>
      <c r="E85" s="695">
        <v>0</v>
      </c>
    </row>
    <row r="86" spans="1:5">
      <c r="A86" s="68" t="s">
        <v>240</v>
      </c>
      <c r="C86" s="695">
        <v>0</v>
      </c>
      <c r="D86" s="696"/>
      <c r="E86" s="695">
        <v>0</v>
      </c>
    </row>
    <row r="87" spans="1:5">
      <c r="A87" s="68" t="s">
        <v>245</v>
      </c>
      <c r="C87" s="695">
        <v>0</v>
      </c>
      <c r="D87" s="696"/>
      <c r="E87" s="695">
        <v>0</v>
      </c>
    </row>
    <row r="89" spans="1:5" ht="16.5" thickBot="1">
      <c r="A89" s="36" t="s">
        <v>469</v>
      </c>
    </row>
    <row r="90" spans="1:5">
      <c r="A90" s="67" t="s">
        <v>252</v>
      </c>
      <c r="C90" s="700"/>
      <c r="D90" s="700"/>
      <c r="E90" s="701"/>
    </row>
    <row r="91" spans="1:5">
      <c r="A91" s="40" t="s">
        <v>416</v>
      </c>
      <c r="C91" s="715">
        <f>E91</f>
        <v>0</v>
      </c>
      <c r="D91" s="696"/>
      <c r="E91" s="695">
        <v>0</v>
      </c>
    </row>
    <row r="92" spans="1:5">
      <c r="A92" s="40" t="s">
        <v>362</v>
      </c>
      <c r="C92" s="715">
        <f>E92</f>
        <v>0</v>
      </c>
      <c r="D92" s="696"/>
      <c r="E92" s="695">
        <v>0</v>
      </c>
    </row>
    <row r="93" spans="1:5">
      <c r="A93" s="23"/>
      <c r="B93" s="700"/>
      <c r="C93" s="700"/>
      <c r="D93" s="701"/>
    </row>
    <row r="94" spans="1:5">
      <c r="A94" s="67" t="s">
        <v>253</v>
      </c>
      <c r="B94" s="700"/>
      <c r="C94" s="700"/>
      <c r="D94" s="701"/>
    </row>
    <row r="95" spans="1:5">
      <c r="A95" s="40" t="s">
        <v>21</v>
      </c>
      <c r="B95" s="715">
        <f>D95</f>
        <v>0</v>
      </c>
      <c r="C95" s="696"/>
      <c r="D95" s="695">
        <v>0</v>
      </c>
    </row>
    <row r="96" spans="1:5">
      <c r="A96" s="40" t="s">
        <v>362</v>
      </c>
      <c r="B96" s="715">
        <f>D96</f>
        <v>0</v>
      </c>
      <c r="C96" s="696"/>
      <c r="D96" s="695">
        <v>0</v>
      </c>
    </row>
    <row r="97" spans="1:5">
      <c r="A97" s="40"/>
      <c r="B97" s="696"/>
      <c r="C97" s="696"/>
      <c r="D97" s="695"/>
    </row>
    <row r="98" spans="1:5" ht="16.5" thickBot="1">
      <c r="A98" s="36" t="s">
        <v>470</v>
      </c>
    </row>
    <row r="99" spans="1:5">
      <c r="A99" s="1" t="s">
        <v>15</v>
      </c>
      <c r="C99" s="696">
        <v>0</v>
      </c>
      <c r="D99" s="696"/>
      <c r="E99" s="695">
        <v>0</v>
      </c>
    </row>
    <row r="100" spans="1:5">
      <c r="A100" s="68" t="s">
        <v>11</v>
      </c>
      <c r="C100" s="696">
        <v>0</v>
      </c>
      <c r="D100" s="696"/>
      <c r="E100" s="695">
        <v>0</v>
      </c>
    </row>
    <row r="101" spans="1:5">
      <c r="A101" s="68"/>
      <c r="C101" s="696"/>
      <c r="D101" s="696"/>
      <c r="E101" s="695"/>
    </row>
    <row r="102" spans="1:5" ht="16.5" thickBot="1">
      <c r="A102" s="36" t="s">
        <v>471</v>
      </c>
    </row>
    <row r="103" spans="1:5">
      <c r="A103" s="67" t="s">
        <v>254</v>
      </c>
      <c r="B103" s="701"/>
      <c r="C103" s="701"/>
    </row>
    <row r="104" spans="1:5">
      <c r="A104" s="1" t="s">
        <v>417</v>
      </c>
      <c r="C104" s="696">
        <v>0</v>
      </c>
      <c r="D104" s="696"/>
      <c r="E104" s="695">
        <v>0</v>
      </c>
    </row>
    <row r="105" spans="1:5">
      <c r="A105" s="23"/>
      <c r="C105" s="700"/>
      <c r="D105" s="700"/>
      <c r="E105" s="701"/>
    </row>
    <row r="106" spans="1:5">
      <c r="A106" s="67" t="s">
        <v>255</v>
      </c>
      <c r="C106" s="700"/>
      <c r="D106" s="700"/>
      <c r="E106" s="701"/>
    </row>
    <row r="107" spans="1:5">
      <c r="A107" s="68" t="s">
        <v>362</v>
      </c>
      <c r="C107" s="696">
        <v>0</v>
      </c>
      <c r="D107" s="696"/>
      <c r="E107" s="695">
        <v>0</v>
      </c>
    </row>
    <row r="108" spans="1:5">
      <c r="A108" s="68"/>
      <c r="C108" s="696"/>
      <c r="D108" s="696"/>
      <c r="E108" s="695"/>
    </row>
    <row r="109" spans="1:5" ht="16.5" thickBot="1">
      <c r="A109" s="36" t="s">
        <v>472</v>
      </c>
    </row>
    <row r="110" spans="1:5">
      <c r="A110" s="67" t="s">
        <v>256</v>
      </c>
      <c r="C110" s="701"/>
      <c r="D110" s="701"/>
    </row>
    <row r="111" spans="1:5">
      <c r="A111" s="40" t="s">
        <v>413</v>
      </c>
      <c r="C111" s="696">
        <v>0</v>
      </c>
      <c r="D111" s="696"/>
      <c r="E111" s="695">
        <v>0</v>
      </c>
    </row>
    <row r="112" spans="1:5">
      <c r="A112" s="23"/>
      <c r="C112" s="700"/>
      <c r="D112" s="700"/>
      <c r="E112" s="701"/>
    </row>
    <row r="113" spans="1:5">
      <c r="A113" s="67" t="s">
        <v>257</v>
      </c>
      <c r="C113" s="700"/>
      <c r="D113" s="700"/>
      <c r="E113" s="701"/>
    </row>
    <row r="114" spans="1:5">
      <c r="A114" s="40" t="s">
        <v>418</v>
      </c>
      <c r="C114" s="715">
        <f>TB_ANNX!C26</f>
        <v>0</v>
      </c>
      <c r="D114" s="700"/>
      <c r="E114" s="715">
        <f>TB_ANNX!D26</f>
        <v>0</v>
      </c>
    </row>
    <row r="115" spans="1:5">
      <c r="A115" s="23"/>
      <c r="C115" s="700"/>
      <c r="D115" s="700"/>
      <c r="E115" s="700"/>
    </row>
    <row r="116" spans="1:5">
      <c r="A116" s="67" t="s">
        <v>258</v>
      </c>
      <c r="C116" s="700"/>
      <c r="D116" s="700"/>
      <c r="E116" s="700"/>
    </row>
    <row r="117" spans="1:5">
      <c r="A117" s="40"/>
      <c r="C117" s="696">
        <v>0</v>
      </c>
      <c r="D117" s="696"/>
      <c r="E117" s="696">
        <v>0</v>
      </c>
    </row>
    <row r="118" spans="1:5">
      <c r="A118" s="23"/>
      <c r="C118" s="700"/>
      <c r="D118" s="700"/>
      <c r="E118" s="700"/>
    </row>
    <row r="119" spans="1:5">
      <c r="A119" s="67" t="s">
        <v>259</v>
      </c>
      <c r="C119" s="700"/>
      <c r="D119" s="700"/>
      <c r="E119" s="700"/>
    </row>
    <row r="120" spans="1:5">
      <c r="A120" s="40"/>
      <c r="C120" s="696">
        <v>0</v>
      </c>
      <c r="D120" s="696"/>
      <c r="E120" s="696">
        <v>0</v>
      </c>
    </row>
    <row r="121" spans="1:5">
      <c r="A121" s="23"/>
      <c r="C121" s="700"/>
      <c r="D121" s="700"/>
      <c r="E121" s="700"/>
    </row>
    <row r="122" spans="1:5">
      <c r="A122" s="67" t="s">
        <v>260</v>
      </c>
      <c r="C122" s="700"/>
      <c r="D122" s="700"/>
      <c r="E122" s="700"/>
    </row>
    <row r="123" spans="1:5">
      <c r="A123" s="40"/>
      <c r="C123" s="696">
        <v>0</v>
      </c>
      <c r="D123" s="696"/>
      <c r="E123" s="696">
        <v>0</v>
      </c>
    </row>
    <row r="124" spans="1:5">
      <c r="A124" s="23"/>
      <c r="C124" s="700"/>
      <c r="D124" s="700"/>
      <c r="E124" s="700"/>
    </row>
    <row r="125" spans="1:5">
      <c r="A125" s="67" t="s">
        <v>261</v>
      </c>
      <c r="C125" s="700"/>
      <c r="D125" s="700"/>
      <c r="E125" s="700"/>
    </row>
    <row r="126" spans="1:5">
      <c r="A126" s="40"/>
      <c r="C126" s="696">
        <v>0</v>
      </c>
      <c r="D126" s="696"/>
      <c r="E126" s="696">
        <v>0</v>
      </c>
    </row>
    <row r="127" spans="1:5">
      <c r="A127" s="23"/>
      <c r="C127" s="700"/>
      <c r="D127" s="700"/>
      <c r="E127" s="700"/>
    </row>
    <row r="128" spans="1:5">
      <c r="A128" s="67" t="s">
        <v>262</v>
      </c>
      <c r="C128" s="696"/>
      <c r="D128" s="696"/>
      <c r="E128" s="696"/>
    </row>
    <row r="129" spans="1:5">
      <c r="A129" s="40"/>
      <c r="C129" s="696">
        <v>0</v>
      </c>
      <c r="D129" s="696"/>
      <c r="E129" s="696">
        <v>0</v>
      </c>
    </row>
    <row r="130" spans="1:5">
      <c r="A130" s="68"/>
      <c r="C130" s="700"/>
      <c r="D130" s="700"/>
      <c r="E130" s="700"/>
    </row>
    <row r="131" spans="1:5">
      <c r="A131" s="67" t="s">
        <v>263</v>
      </c>
      <c r="C131" s="696"/>
      <c r="D131" s="696"/>
      <c r="E131" s="696"/>
    </row>
    <row r="132" spans="1:5">
      <c r="A132" s="40"/>
      <c r="C132" s="715">
        <f>TB_ANNX!C33</f>
        <v>0</v>
      </c>
      <c r="D132" s="715"/>
      <c r="E132" s="715">
        <f>TB_ANNX!D33</f>
        <v>0</v>
      </c>
    </row>
    <row r="133" spans="1:5">
      <c r="A133" s="40"/>
      <c r="C133" s="696"/>
      <c r="D133" s="696"/>
      <c r="E133" s="695"/>
    </row>
    <row r="134" spans="1:5" ht="16.5" thickBot="1">
      <c r="A134" s="36" t="s">
        <v>463</v>
      </c>
      <c r="C134" s="715">
        <f>TB_ANNX!C52</f>
        <v>0</v>
      </c>
      <c r="D134" s="715"/>
      <c r="E134" s="715">
        <f>TB_ANNX!D52</f>
        <v>0</v>
      </c>
    </row>
    <row r="135" spans="1:5">
      <c r="A135" s="40"/>
      <c r="C135" s="696"/>
      <c r="D135" s="696"/>
      <c r="E135" s="695"/>
    </row>
    <row r="137" spans="1:5" ht="16.5" thickBot="1">
      <c r="A137" s="36" t="s">
        <v>473</v>
      </c>
      <c r="B137" s="702"/>
      <c r="C137" s="702"/>
      <c r="D137" s="690"/>
    </row>
    <row r="138" spans="1:5">
      <c r="A138" s="68" t="s">
        <v>267</v>
      </c>
      <c r="C138" s="696">
        <v>0</v>
      </c>
      <c r="D138" s="696"/>
      <c r="E138" s="696">
        <v>0</v>
      </c>
    </row>
    <row r="139" spans="1:5">
      <c r="A139" s="68" t="s">
        <v>268</v>
      </c>
      <c r="C139" s="696">
        <v>0</v>
      </c>
      <c r="D139" s="696"/>
      <c r="E139" s="696">
        <v>0</v>
      </c>
    </row>
    <row r="140" spans="1:5">
      <c r="A140" s="68" t="s">
        <v>269</v>
      </c>
      <c r="C140" s="696">
        <v>0</v>
      </c>
      <c r="D140" s="696"/>
      <c r="E140" s="696">
        <v>0</v>
      </c>
    </row>
    <row r="141" spans="1:5">
      <c r="A141" s="68" t="s">
        <v>270</v>
      </c>
      <c r="C141" s="696">
        <v>0</v>
      </c>
      <c r="D141" s="696"/>
      <c r="E141" s="696">
        <v>0</v>
      </c>
    </row>
    <row r="142" spans="1:5">
      <c r="A142" s="68" t="s">
        <v>271</v>
      </c>
      <c r="C142" s="696">
        <v>0</v>
      </c>
      <c r="D142" s="696"/>
      <c r="E142" s="696">
        <v>0</v>
      </c>
    </row>
    <row r="143" spans="1:5">
      <c r="A143" s="68" t="s">
        <v>272</v>
      </c>
      <c r="C143" s="696">
        <v>0</v>
      </c>
      <c r="D143" s="696"/>
      <c r="E143" s="696">
        <v>0</v>
      </c>
    </row>
    <row r="144" spans="1:5">
      <c r="A144" s="68" t="s">
        <v>273</v>
      </c>
      <c r="C144" s="696">
        <v>0</v>
      </c>
      <c r="D144" s="696"/>
      <c r="E144" s="696">
        <v>0</v>
      </c>
    </row>
    <row r="145" spans="1:5">
      <c r="A145" s="68" t="s">
        <v>274</v>
      </c>
      <c r="C145" s="692">
        <f>TB_ANNX!C65</f>
        <v>0</v>
      </c>
      <c r="D145" s="692"/>
      <c r="E145" s="692">
        <f>TB_ANNX!D65</f>
        <v>0</v>
      </c>
    </row>
    <row r="148" spans="1:5" ht="16.5" thickBot="1">
      <c r="A148" s="36" t="s">
        <v>474</v>
      </c>
    </row>
    <row r="149" spans="1:5">
      <c r="B149" s="700"/>
      <c r="C149" s="700"/>
      <c r="D149" s="701"/>
    </row>
    <row r="150" spans="1:5">
      <c r="A150" s="67" t="s">
        <v>254</v>
      </c>
      <c r="C150" s="696">
        <v>0</v>
      </c>
      <c r="D150" s="696"/>
      <c r="E150" s="695">
        <v>0</v>
      </c>
    </row>
    <row r="151" spans="1:5">
      <c r="A151" s="67" t="s">
        <v>286</v>
      </c>
      <c r="C151" s="696">
        <v>0</v>
      </c>
      <c r="D151" s="696"/>
      <c r="E151" s="695">
        <v>0</v>
      </c>
    </row>
    <row r="152" spans="1:5">
      <c r="A152" s="67" t="s">
        <v>287</v>
      </c>
      <c r="C152" s="696">
        <v>0</v>
      </c>
      <c r="D152" s="696"/>
      <c r="E152" s="695">
        <v>0</v>
      </c>
    </row>
    <row r="153" spans="1:5">
      <c r="A153" s="67" t="s">
        <v>288</v>
      </c>
      <c r="C153" s="715">
        <f>B765+B766</f>
        <v>0</v>
      </c>
      <c r="D153" s="696"/>
      <c r="E153" s="695">
        <v>0</v>
      </c>
    </row>
    <row r="154" spans="1:5">
      <c r="A154" s="67" t="s">
        <v>289</v>
      </c>
      <c r="C154" s="696">
        <v>0</v>
      </c>
      <c r="D154" s="696"/>
      <c r="E154" s="695">
        <v>0</v>
      </c>
    </row>
    <row r="155" spans="1:5">
      <c r="A155" s="67"/>
      <c r="C155" s="696"/>
      <c r="D155" s="696"/>
      <c r="E155" s="695"/>
    </row>
    <row r="156" spans="1:5" ht="18.75">
      <c r="A156" s="94" t="s">
        <v>475</v>
      </c>
      <c r="B156" s="714">
        <f>'11'!K44</f>
        <v>0</v>
      </c>
      <c r="C156" s="714"/>
      <c r="D156" s="714">
        <f>'11'!L44</f>
        <v>0</v>
      </c>
    </row>
    <row r="157" spans="1:5">
      <c r="A157" s="641"/>
    </row>
    <row r="158" spans="1:5">
      <c r="A158" s="641"/>
    </row>
    <row r="159" spans="1:5" ht="18.75">
      <c r="A159" s="94" t="s">
        <v>476</v>
      </c>
      <c r="B159" s="714">
        <f>'12'!O17</f>
        <v>0</v>
      </c>
      <c r="C159" s="714"/>
      <c r="D159" s="714">
        <f>'12'!O18</f>
        <v>0</v>
      </c>
    </row>
    <row r="160" spans="1:5">
      <c r="A160" s="163"/>
    </row>
    <row r="161" spans="1:5" ht="18.75">
      <c r="A161" s="94" t="s">
        <v>1675</v>
      </c>
      <c r="B161" s="89">
        <v>0</v>
      </c>
      <c r="C161" s="2"/>
      <c r="D161" s="89">
        <v>0</v>
      </c>
    </row>
    <row r="162" spans="1:5" ht="18.75">
      <c r="A162" s="94"/>
      <c r="B162" s="89"/>
      <c r="C162" s="2"/>
      <c r="D162" s="89"/>
    </row>
    <row r="163" spans="1:5" ht="18.75">
      <c r="A163" s="94" t="s">
        <v>1676</v>
      </c>
      <c r="B163" s="89">
        <v>0</v>
      </c>
      <c r="C163" s="2"/>
      <c r="D163" s="89">
        <v>0</v>
      </c>
    </row>
    <row r="164" spans="1:5">
      <c r="A164" s="163"/>
    </row>
    <row r="165" spans="1:5">
      <c r="A165" s="163"/>
    </row>
    <row r="166" spans="1:5" ht="16.5" thickBot="1">
      <c r="A166" s="36" t="s">
        <v>477</v>
      </c>
    </row>
    <row r="167" spans="1:5">
      <c r="A167" s="71" t="s">
        <v>303</v>
      </c>
      <c r="B167" s="702"/>
      <c r="C167" s="702"/>
      <c r="D167" s="690"/>
      <c r="E167"/>
    </row>
    <row r="168" spans="1:5">
      <c r="A168" s="72" t="s">
        <v>304</v>
      </c>
      <c r="B168" s="694"/>
      <c r="C168" s="694"/>
      <c r="D168" s="694"/>
      <c r="E168"/>
    </row>
    <row r="169" spans="1:5">
      <c r="A169" s="73"/>
      <c r="B169" s="696">
        <v>0</v>
      </c>
      <c r="C169" s="696"/>
      <c r="D169" s="696">
        <v>0</v>
      </c>
      <c r="E169"/>
    </row>
    <row r="170" spans="1:5">
      <c r="A170" s="71"/>
      <c r="B170" s="702"/>
      <c r="C170" s="702"/>
      <c r="D170" s="702"/>
      <c r="E170"/>
    </row>
    <row r="171" spans="1:5">
      <c r="A171" s="72" t="s">
        <v>305</v>
      </c>
      <c r="B171" s="694"/>
      <c r="C171" s="694"/>
      <c r="D171" s="694"/>
      <c r="E171"/>
    </row>
    <row r="172" spans="1:5">
      <c r="A172" s="73"/>
      <c r="B172" s="696">
        <v>0</v>
      </c>
      <c r="C172" s="696"/>
      <c r="D172" s="696">
        <v>0</v>
      </c>
      <c r="E172"/>
    </row>
    <row r="173" spans="1:5">
      <c r="A173" s="74"/>
      <c r="B173" s="702"/>
      <c r="C173" s="702"/>
      <c r="D173" s="702"/>
      <c r="E173"/>
    </row>
    <row r="174" spans="1:5">
      <c r="A174" s="72" t="s">
        <v>306</v>
      </c>
      <c r="B174" s="694"/>
      <c r="C174" s="694"/>
      <c r="D174" s="694"/>
      <c r="E174"/>
    </row>
    <row r="175" spans="1:5">
      <c r="A175" s="73"/>
      <c r="B175" s="696">
        <v>0</v>
      </c>
      <c r="C175" s="696"/>
      <c r="D175" s="696">
        <v>0</v>
      </c>
      <c r="E175"/>
    </row>
    <row r="176" spans="1:5">
      <c r="A176" s="74"/>
      <c r="B176" s="702"/>
      <c r="C176" s="702"/>
      <c r="D176" s="702"/>
      <c r="E176"/>
    </row>
    <row r="177" spans="1:5">
      <c r="A177" s="72" t="s">
        <v>307</v>
      </c>
      <c r="B177" s="694"/>
      <c r="C177" s="694"/>
      <c r="D177" s="694"/>
      <c r="E177"/>
    </row>
    <row r="178" spans="1:5">
      <c r="A178" s="73"/>
      <c r="B178" s="696">
        <v>0</v>
      </c>
      <c r="C178" s="696"/>
      <c r="D178" s="696">
        <v>0</v>
      </c>
      <c r="E178"/>
    </row>
    <row r="179" spans="1:5">
      <c r="A179" s="74"/>
      <c r="B179" s="702"/>
      <c r="C179" s="702"/>
      <c r="D179" s="702"/>
      <c r="E179"/>
    </row>
    <row r="180" spans="1:5">
      <c r="A180" s="72" t="s">
        <v>308</v>
      </c>
      <c r="B180" s="694"/>
      <c r="C180" s="694"/>
      <c r="D180" s="694"/>
      <c r="E180"/>
    </row>
    <row r="181" spans="1:5">
      <c r="A181" s="73"/>
      <c r="B181" s="696">
        <v>0</v>
      </c>
      <c r="C181" s="696"/>
      <c r="D181" s="696">
        <v>0</v>
      </c>
      <c r="E181"/>
    </row>
    <row r="182" spans="1:5">
      <c r="A182" s="71"/>
      <c r="B182" s="702"/>
      <c r="C182" s="702"/>
      <c r="D182" s="702"/>
      <c r="E182"/>
    </row>
    <row r="183" spans="1:5">
      <c r="A183" s="71" t="s">
        <v>309</v>
      </c>
      <c r="B183" s="702"/>
      <c r="C183" s="702"/>
      <c r="D183" s="702"/>
      <c r="E183"/>
    </row>
    <row r="184" spans="1:5">
      <c r="B184" s="694"/>
      <c r="C184" s="694"/>
      <c r="D184" s="694"/>
      <c r="E184"/>
    </row>
    <row r="185" spans="1:5">
      <c r="A185" s="72" t="s">
        <v>304</v>
      </c>
      <c r="B185" s="696">
        <v>0</v>
      </c>
      <c r="C185" s="696"/>
      <c r="D185" s="696">
        <v>0</v>
      </c>
      <c r="E185"/>
    </row>
    <row r="186" spans="1:5">
      <c r="A186" s="74"/>
      <c r="B186" s="702"/>
      <c r="C186" s="702"/>
      <c r="D186" s="702"/>
      <c r="E186"/>
    </row>
    <row r="187" spans="1:5">
      <c r="B187" s="694"/>
      <c r="C187" s="694"/>
      <c r="D187" s="694"/>
      <c r="E187"/>
    </row>
    <row r="188" spans="1:5">
      <c r="A188" s="72" t="s">
        <v>305</v>
      </c>
      <c r="B188" s="696">
        <v>0</v>
      </c>
      <c r="C188" s="696"/>
      <c r="D188" s="696">
        <v>0</v>
      </c>
      <c r="E188"/>
    </row>
    <row r="189" spans="1:5">
      <c r="A189" s="74"/>
      <c r="B189" s="702"/>
      <c r="C189" s="702"/>
      <c r="D189" s="702"/>
      <c r="E189"/>
    </row>
    <row r="190" spans="1:5">
      <c r="B190" s="694"/>
      <c r="C190" s="694"/>
      <c r="D190" s="694"/>
      <c r="E190"/>
    </row>
    <row r="191" spans="1:5">
      <c r="A191" s="72" t="s">
        <v>306</v>
      </c>
      <c r="B191" s="715">
        <f>TB_ANNX!C76</f>
        <v>0</v>
      </c>
      <c r="C191" s="715"/>
      <c r="D191" s="715">
        <f>TB_ANNX!D76</f>
        <v>0</v>
      </c>
      <c r="E191"/>
    </row>
    <row r="192" spans="1:5">
      <c r="A192" s="74"/>
      <c r="B192" s="702"/>
      <c r="C192" s="702"/>
      <c r="D192" s="702"/>
      <c r="E192"/>
    </row>
    <row r="193" spans="1:5">
      <c r="B193" s="694"/>
      <c r="C193" s="694"/>
      <c r="D193" s="694"/>
      <c r="E193"/>
    </row>
    <row r="194" spans="1:5">
      <c r="A194" s="72" t="s">
        <v>307</v>
      </c>
      <c r="B194" s="696">
        <v>0</v>
      </c>
      <c r="C194" s="696"/>
      <c r="D194" s="696">
        <v>0</v>
      </c>
      <c r="E194"/>
    </row>
    <row r="195" spans="1:5">
      <c r="A195" s="74"/>
      <c r="B195" s="702"/>
      <c r="C195" s="702"/>
      <c r="D195" s="702"/>
      <c r="E195"/>
    </row>
    <row r="196" spans="1:5">
      <c r="B196" s="694"/>
      <c r="C196" s="694"/>
      <c r="D196" s="694"/>
      <c r="E196"/>
    </row>
    <row r="197" spans="1:5">
      <c r="A197" s="72" t="s">
        <v>308</v>
      </c>
      <c r="B197" s="696">
        <v>0</v>
      </c>
      <c r="C197" s="696"/>
      <c r="D197" s="696">
        <v>0</v>
      </c>
      <c r="E197"/>
    </row>
    <row r="198" spans="1:5">
      <c r="A198" s="71"/>
      <c r="B198" s="702"/>
      <c r="C198" s="702"/>
      <c r="D198" s="702"/>
      <c r="E198"/>
    </row>
    <row r="199" spans="1:5">
      <c r="A199" s="71" t="s">
        <v>310</v>
      </c>
      <c r="B199" s="702"/>
      <c r="C199" s="702"/>
      <c r="D199" s="702"/>
      <c r="E199"/>
    </row>
    <row r="200" spans="1:5">
      <c r="B200" s="697"/>
      <c r="C200" s="697"/>
      <c r="D200" s="697"/>
      <c r="E200"/>
    </row>
    <row r="201" spans="1:5">
      <c r="A201" s="75" t="s">
        <v>311</v>
      </c>
      <c r="B201" s="696">
        <v>0</v>
      </c>
      <c r="C201" s="696"/>
      <c r="D201" s="696">
        <v>0</v>
      </c>
      <c r="E201"/>
    </row>
    <row r="202" spans="1:5">
      <c r="A202" s="74"/>
      <c r="B202" s="702"/>
      <c r="C202" s="702"/>
      <c r="D202" s="702"/>
      <c r="E202"/>
    </row>
    <row r="203" spans="1:5">
      <c r="B203" s="696"/>
      <c r="C203" s="696"/>
      <c r="D203" s="696"/>
      <c r="E203"/>
    </row>
    <row r="204" spans="1:5">
      <c r="A204" s="75" t="s">
        <v>312</v>
      </c>
      <c r="B204" s="696">
        <v>0</v>
      </c>
      <c r="C204" s="696"/>
      <c r="D204" s="696">
        <v>0</v>
      </c>
      <c r="E204"/>
    </row>
    <row r="205" spans="1:5">
      <c r="A205" s="76"/>
      <c r="B205" s="696"/>
      <c r="C205" s="696"/>
      <c r="D205" s="696"/>
      <c r="E205"/>
    </row>
    <row r="206" spans="1:5">
      <c r="B206" s="696"/>
      <c r="C206" s="696"/>
      <c r="D206" s="696"/>
      <c r="E206"/>
    </row>
    <row r="207" spans="1:5">
      <c r="A207" s="75" t="s">
        <v>313</v>
      </c>
      <c r="B207" s="696">
        <v>0</v>
      </c>
      <c r="C207" s="696"/>
      <c r="D207" s="696">
        <v>0</v>
      </c>
      <c r="E207"/>
    </row>
    <row r="208" spans="1:5">
      <c r="A208" s="76"/>
      <c r="B208" s="696"/>
      <c r="C208" s="696"/>
      <c r="D208" s="696"/>
      <c r="E208"/>
    </row>
    <row r="209" spans="1:5">
      <c r="B209" s="696"/>
      <c r="C209" s="696"/>
      <c r="D209" s="696"/>
      <c r="E209"/>
    </row>
    <row r="210" spans="1:5">
      <c r="A210" s="75" t="s">
        <v>314</v>
      </c>
      <c r="B210" s="696">
        <v>0</v>
      </c>
      <c r="C210" s="696"/>
      <c r="D210" s="696">
        <v>0</v>
      </c>
      <c r="E210"/>
    </row>
    <row r="211" spans="1:5">
      <c r="A211" s="8"/>
      <c r="B211" s="702"/>
      <c r="C211" s="702"/>
      <c r="D211" s="702"/>
      <c r="E211"/>
    </row>
    <row r="212" spans="1:5">
      <c r="A212" s="8" t="s">
        <v>315</v>
      </c>
      <c r="B212" s="702"/>
      <c r="C212" s="702"/>
      <c r="D212" s="702"/>
      <c r="E212"/>
    </row>
    <row r="213" spans="1:5">
      <c r="A213" s="71" t="s">
        <v>303</v>
      </c>
      <c r="B213" s="702"/>
      <c r="C213" s="702"/>
      <c r="D213" s="702"/>
      <c r="E213"/>
    </row>
    <row r="214" spans="1:5">
      <c r="B214" s="694"/>
      <c r="C214" s="694"/>
      <c r="D214" s="694"/>
      <c r="E214"/>
    </row>
    <row r="215" spans="1:5">
      <c r="A215" s="72" t="s">
        <v>316</v>
      </c>
      <c r="B215" s="696">
        <v>0</v>
      </c>
      <c r="C215" s="696"/>
      <c r="D215" s="696">
        <v>0</v>
      </c>
      <c r="E215"/>
    </row>
    <row r="216" spans="1:5">
      <c r="A216" s="74"/>
      <c r="B216" s="702"/>
      <c r="C216" s="702"/>
      <c r="D216" s="702"/>
      <c r="E216"/>
    </row>
    <row r="217" spans="1:5">
      <c r="B217" s="694"/>
      <c r="C217" s="694"/>
      <c r="D217" s="694"/>
      <c r="E217"/>
    </row>
    <row r="218" spans="1:5">
      <c r="A218" s="72" t="s">
        <v>305</v>
      </c>
      <c r="B218" s="696">
        <v>0</v>
      </c>
      <c r="C218" s="696"/>
      <c r="D218" s="696">
        <v>0</v>
      </c>
      <c r="E218"/>
    </row>
    <row r="219" spans="1:5">
      <c r="A219" s="74"/>
      <c r="B219" s="702"/>
      <c r="C219" s="702"/>
      <c r="D219" s="702"/>
      <c r="E219"/>
    </row>
    <row r="220" spans="1:5">
      <c r="B220" s="694"/>
      <c r="C220" s="694"/>
      <c r="D220" s="694"/>
      <c r="E220"/>
    </row>
    <row r="221" spans="1:5">
      <c r="A221" s="72" t="s">
        <v>306</v>
      </c>
      <c r="B221" s="696">
        <v>0</v>
      </c>
      <c r="C221" s="696"/>
      <c r="D221" s="696">
        <v>0</v>
      </c>
      <c r="E221"/>
    </row>
    <row r="222" spans="1:5">
      <c r="A222" s="74"/>
      <c r="B222" s="702"/>
      <c r="C222" s="702"/>
      <c r="D222" s="702"/>
      <c r="E222"/>
    </row>
    <row r="223" spans="1:5">
      <c r="B223" s="694"/>
      <c r="C223" s="694"/>
      <c r="D223" s="694"/>
      <c r="E223"/>
    </row>
    <row r="224" spans="1:5">
      <c r="A224" s="72" t="s">
        <v>307</v>
      </c>
      <c r="B224" s="696">
        <v>0</v>
      </c>
      <c r="C224" s="696"/>
      <c r="D224" s="696">
        <v>0</v>
      </c>
      <c r="E224"/>
    </row>
    <row r="225" spans="1:5">
      <c r="A225" s="74"/>
      <c r="B225" s="702"/>
      <c r="C225" s="702"/>
      <c r="D225" s="702"/>
      <c r="E225"/>
    </row>
    <row r="226" spans="1:5">
      <c r="B226" s="694"/>
      <c r="C226" s="694"/>
      <c r="D226" s="694"/>
      <c r="E226"/>
    </row>
    <row r="227" spans="1:5">
      <c r="A227" s="72" t="s">
        <v>317</v>
      </c>
      <c r="B227" s="696">
        <v>0</v>
      </c>
      <c r="C227" s="696"/>
      <c r="D227" s="696">
        <v>0</v>
      </c>
      <c r="E227"/>
    </row>
    <row r="228" spans="1:5">
      <c r="A228" s="77"/>
      <c r="B228" s="694"/>
      <c r="C228" s="694"/>
      <c r="D228" s="694"/>
      <c r="E228"/>
    </row>
    <row r="229" spans="1:5">
      <c r="B229" s="694"/>
      <c r="C229" s="694"/>
      <c r="D229" s="694"/>
      <c r="E229"/>
    </row>
    <row r="230" spans="1:5">
      <c r="A230" s="72" t="s">
        <v>318</v>
      </c>
      <c r="B230" s="696">
        <v>0</v>
      </c>
      <c r="C230" s="696"/>
      <c r="D230" s="696">
        <v>0</v>
      </c>
      <c r="E230"/>
    </row>
    <row r="231" spans="1:5">
      <c r="A231" s="74"/>
      <c r="B231" s="702"/>
      <c r="C231" s="702"/>
      <c r="D231" s="702"/>
      <c r="E231"/>
    </row>
    <row r="232" spans="1:5">
      <c r="B232" s="694"/>
      <c r="C232" s="694"/>
      <c r="D232" s="694"/>
      <c r="E232"/>
    </row>
    <row r="233" spans="1:5">
      <c r="A233" s="72" t="s">
        <v>308</v>
      </c>
      <c r="B233" s="696">
        <v>0</v>
      </c>
      <c r="C233" s="696"/>
      <c r="D233" s="696">
        <v>0</v>
      </c>
      <c r="E233"/>
    </row>
    <row r="234" spans="1:5">
      <c r="A234" s="71"/>
      <c r="B234" s="702"/>
      <c r="C234" s="702"/>
      <c r="D234" s="702"/>
      <c r="E234"/>
    </row>
    <row r="235" spans="1:5">
      <c r="A235" s="71" t="s">
        <v>309</v>
      </c>
      <c r="B235" s="702"/>
      <c r="C235" s="702"/>
      <c r="D235" s="702"/>
      <c r="E235"/>
    </row>
    <row r="236" spans="1:5">
      <c r="B236" s="694"/>
      <c r="C236" s="694"/>
      <c r="D236" s="694"/>
      <c r="E236"/>
    </row>
    <row r="237" spans="1:5">
      <c r="A237" s="72" t="s">
        <v>304</v>
      </c>
      <c r="B237" s="696">
        <v>0</v>
      </c>
      <c r="C237" s="696"/>
      <c r="D237" s="696">
        <v>0</v>
      </c>
      <c r="E237"/>
    </row>
    <row r="238" spans="1:5">
      <c r="A238" s="74"/>
      <c r="B238" s="702"/>
      <c r="C238" s="702"/>
      <c r="D238" s="702"/>
      <c r="E238"/>
    </row>
    <row r="239" spans="1:5">
      <c r="B239" s="694"/>
      <c r="C239" s="694"/>
      <c r="D239" s="694"/>
      <c r="E239"/>
    </row>
    <row r="240" spans="1:5">
      <c r="A240" s="72" t="s">
        <v>319</v>
      </c>
      <c r="B240" s="696">
        <v>0</v>
      </c>
      <c r="C240" s="696"/>
      <c r="D240" s="696">
        <v>0</v>
      </c>
      <c r="E240"/>
    </row>
    <row r="241" spans="1:5">
      <c r="A241" s="74"/>
      <c r="B241" s="702"/>
      <c r="C241" s="702"/>
      <c r="D241" s="702"/>
      <c r="E241"/>
    </row>
    <row r="242" spans="1:5">
      <c r="B242" s="694"/>
      <c r="C242" s="694"/>
      <c r="D242" s="694"/>
      <c r="E242"/>
    </row>
    <row r="243" spans="1:5">
      <c r="A243" s="72" t="s">
        <v>306</v>
      </c>
      <c r="B243" s="696">
        <v>0</v>
      </c>
      <c r="C243" s="696"/>
      <c r="D243" s="696">
        <v>0</v>
      </c>
      <c r="E243"/>
    </row>
    <row r="244" spans="1:5">
      <c r="A244" s="74"/>
      <c r="B244" s="702"/>
      <c r="C244" s="702"/>
      <c r="D244" s="702"/>
      <c r="E244"/>
    </row>
    <row r="245" spans="1:5">
      <c r="B245" s="694"/>
      <c r="C245" s="694"/>
      <c r="D245" s="694"/>
      <c r="E245"/>
    </row>
    <row r="246" spans="1:5">
      <c r="A246" s="72" t="s">
        <v>307</v>
      </c>
      <c r="B246" s="696">
        <v>0</v>
      </c>
      <c r="C246" s="696"/>
      <c r="D246" s="696">
        <v>0</v>
      </c>
      <c r="E246"/>
    </row>
    <row r="247" spans="1:5">
      <c r="A247" s="79"/>
      <c r="B247" s="697"/>
      <c r="C247" s="697"/>
      <c r="D247" s="697"/>
      <c r="E247"/>
    </row>
    <row r="248" spans="1:5">
      <c r="B248" s="694"/>
      <c r="C248" s="694"/>
      <c r="D248" s="694"/>
      <c r="E248"/>
    </row>
    <row r="249" spans="1:5">
      <c r="A249" s="72" t="s">
        <v>317</v>
      </c>
      <c r="B249" s="696">
        <v>0</v>
      </c>
      <c r="C249" s="696"/>
      <c r="D249" s="696">
        <v>0</v>
      </c>
      <c r="E249"/>
    </row>
    <row r="250" spans="1:5">
      <c r="A250" s="77"/>
      <c r="B250" s="694"/>
      <c r="C250" s="694"/>
      <c r="D250" s="694"/>
      <c r="E250"/>
    </row>
    <row r="251" spans="1:5">
      <c r="B251" s="694"/>
      <c r="C251" s="694"/>
      <c r="D251" s="694"/>
      <c r="E251"/>
    </row>
    <row r="252" spans="1:5">
      <c r="A252" s="72" t="s">
        <v>318</v>
      </c>
      <c r="B252" s="696">
        <v>0</v>
      </c>
      <c r="C252" s="696"/>
      <c r="D252" s="696">
        <v>0</v>
      </c>
      <c r="E252"/>
    </row>
    <row r="253" spans="1:5">
      <c r="A253" s="74"/>
      <c r="B253" s="702"/>
      <c r="C253" s="702"/>
      <c r="D253" s="702"/>
      <c r="E253"/>
    </row>
    <row r="254" spans="1:5">
      <c r="B254" s="694"/>
      <c r="C254" s="694"/>
      <c r="D254" s="694"/>
      <c r="E254"/>
    </row>
    <row r="255" spans="1:5">
      <c r="A255" s="72" t="s">
        <v>308</v>
      </c>
      <c r="B255" s="696">
        <v>0</v>
      </c>
      <c r="C255" s="696"/>
      <c r="D255" s="696">
        <v>0</v>
      </c>
      <c r="E255"/>
    </row>
    <row r="256" spans="1:5">
      <c r="A256" s="71"/>
      <c r="B256" s="702"/>
      <c r="C256" s="702"/>
      <c r="D256" s="702"/>
      <c r="E256"/>
    </row>
    <row r="257" spans="1:5">
      <c r="A257" s="71" t="s">
        <v>310</v>
      </c>
      <c r="B257" s="702"/>
      <c r="C257" s="702"/>
      <c r="D257" s="702"/>
      <c r="E257"/>
    </row>
    <row r="258" spans="1:5">
      <c r="B258" s="697"/>
      <c r="C258" s="697"/>
      <c r="D258" s="697"/>
      <c r="E258"/>
    </row>
    <row r="259" spans="1:5">
      <c r="A259" s="75" t="s">
        <v>311</v>
      </c>
      <c r="B259" s="696">
        <v>0</v>
      </c>
      <c r="C259" s="696"/>
      <c r="D259" s="696">
        <v>0</v>
      </c>
      <c r="E259"/>
    </row>
    <row r="260" spans="1:5">
      <c r="A260" s="76"/>
      <c r="B260" s="696"/>
      <c r="C260" s="696"/>
      <c r="D260" s="696"/>
      <c r="E260"/>
    </row>
    <row r="261" spans="1:5">
      <c r="B261" s="696"/>
      <c r="C261" s="696"/>
      <c r="D261" s="696"/>
      <c r="E261"/>
    </row>
    <row r="262" spans="1:5">
      <c r="A262" s="75" t="s">
        <v>312</v>
      </c>
      <c r="B262" s="696">
        <v>0</v>
      </c>
      <c r="C262" s="696"/>
      <c r="D262" s="696">
        <v>0</v>
      </c>
      <c r="E262"/>
    </row>
    <row r="263" spans="1:5">
      <c r="A263" s="76"/>
      <c r="B263" s="696"/>
      <c r="C263" s="696"/>
      <c r="D263" s="696"/>
    </row>
    <row r="264" spans="1:5">
      <c r="B264" s="696"/>
      <c r="C264" s="696"/>
      <c r="D264" s="696"/>
    </row>
    <row r="265" spans="1:5">
      <c r="A265" s="75" t="s">
        <v>313</v>
      </c>
      <c r="B265" s="696">
        <v>0</v>
      </c>
      <c r="C265" s="696"/>
      <c r="D265" s="696">
        <v>0</v>
      </c>
    </row>
    <row r="266" spans="1:5">
      <c r="A266" s="76"/>
      <c r="B266" s="696"/>
      <c r="C266" s="696"/>
      <c r="D266" s="696"/>
    </row>
    <row r="267" spans="1:5">
      <c r="B267" s="696"/>
      <c r="C267" s="696"/>
      <c r="D267" s="696"/>
    </row>
    <row r="268" spans="1:5">
      <c r="A268" s="75" t="s">
        <v>314</v>
      </c>
      <c r="B268" s="696">
        <v>0</v>
      </c>
      <c r="C268" s="696"/>
      <c r="D268" s="696">
        <v>0</v>
      </c>
    </row>
    <row r="269" spans="1:5">
      <c r="A269" s="76"/>
      <c r="B269" s="696"/>
      <c r="C269" s="696"/>
      <c r="D269" s="696"/>
    </row>
    <row r="270" spans="1:5">
      <c r="B270" s="696"/>
      <c r="C270" s="696"/>
      <c r="D270" s="696"/>
    </row>
    <row r="271" spans="1:5">
      <c r="A271" s="75" t="s">
        <v>320</v>
      </c>
      <c r="B271" s="696">
        <v>0</v>
      </c>
      <c r="C271" s="696"/>
      <c r="D271" s="696">
        <v>0</v>
      </c>
    </row>
    <row r="272" spans="1:5">
      <c r="A272" s="2"/>
      <c r="B272" s="696"/>
      <c r="C272" s="696"/>
      <c r="D272" s="696"/>
    </row>
    <row r="273" spans="1:5">
      <c r="A273" s="2"/>
      <c r="B273" s="697"/>
      <c r="C273" s="697"/>
      <c r="D273" s="697"/>
    </row>
    <row r="274" spans="1:5">
      <c r="A274" s="8" t="s">
        <v>321</v>
      </c>
      <c r="C274" s="696">
        <v>0</v>
      </c>
      <c r="D274" s="696"/>
      <c r="E274" s="695">
        <v>0</v>
      </c>
    </row>
    <row r="275" spans="1:5">
      <c r="A275" s="8"/>
      <c r="C275" s="696"/>
      <c r="D275" s="696"/>
      <c r="E275" s="695"/>
    </row>
    <row r="276" spans="1:5">
      <c r="A276" s="8"/>
      <c r="C276" s="696"/>
      <c r="D276" s="696"/>
      <c r="E276" s="695"/>
    </row>
    <row r="277" spans="1:5" ht="16.5" thickBot="1">
      <c r="A277" s="36" t="s">
        <v>478</v>
      </c>
      <c r="B277" s="702"/>
      <c r="C277" s="702"/>
      <c r="D277" s="690"/>
    </row>
    <row r="278" spans="1:5">
      <c r="A278" s="7" t="s">
        <v>325</v>
      </c>
      <c r="B278" s="694"/>
      <c r="C278" s="694"/>
    </row>
    <row r="279" spans="1:5">
      <c r="A279" s="4" t="s">
        <v>326</v>
      </c>
      <c r="B279" s="696">
        <v>0</v>
      </c>
      <c r="C279" s="696"/>
      <c r="D279" s="695">
        <v>0</v>
      </c>
    </row>
    <row r="280" spans="1:5">
      <c r="A280" s="4" t="s">
        <v>327</v>
      </c>
      <c r="B280" s="696">
        <v>0</v>
      </c>
      <c r="C280" s="696"/>
      <c r="D280" s="696">
        <v>0</v>
      </c>
    </row>
    <row r="281" spans="1:5">
      <c r="A281" s="4" t="s">
        <v>328</v>
      </c>
      <c r="B281" s="696">
        <v>0</v>
      </c>
      <c r="C281" s="696"/>
      <c r="D281" s="695">
        <v>0</v>
      </c>
    </row>
    <row r="282" spans="1:5">
      <c r="A282" s="4" t="s">
        <v>329</v>
      </c>
      <c r="C282" s="696">
        <v>0</v>
      </c>
      <c r="D282" s="696"/>
      <c r="E282" s="695">
        <v>0</v>
      </c>
    </row>
    <row r="283" spans="1:5">
      <c r="A283" s="5"/>
      <c r="B283" s="694"/>
      <c r="C283" s="694"/>
    </row>
    <row r="284" spans="1:5">
      <c r="A284" s="5" t="s">
        <v>330</v>
      </c>
      <c r="B284" s="696">
        <v>0</v>
      </c>
      <c r="C284" s="696"/>
      <c r="D284" s="695">
        <v>0</v>
      </c>
    </row>
    <row r="285" spans="1:5">
      <c r="A285" s="5" t="s">
        <v>331</v>
      </c>
      <c r="B285" s="715">
        <f>TB_ANNX!C97</f>
        <v>0</v>
      </c>
      <c r="C285" s="696"/>
      <c r="D285" s="715">
        <f>TB_ANNX!D97</f>
        <v>0</v>
      </c>
    </row>
    <row r="286" spans="1:5">
      <c r="A286" s="5"/>
      <c r="B286" s="694"/>
      <c r="C286" s="694"/>
    </row>
    <row r="287" spans="1:5">
      <c r="A287" s="5" t="s">
        <v>332</v>
      </c>
      <c r="B287" s="694"/>
      <c r="C287" s="694"/>
    </row>
    <row r="288" spans="1:5">
      <c r="A288" s="4" t="s">
        <v>326</v>
      </c>
      <c r="B288" s="696">
        <v>0</v>
      </c>
      <c r="C288" s="696"/>
      <c r="D288" s="695">
        <v>0</v>
      </c>
    </row>
    <row r="289" spans="1:5">
      <c r="A289" s="4" t="s">
        <v>327</v>
      </c>
      <c r="B289" s="715">
        <f>TB_ANNX!C105</f>
        <v>0</v>
      </c>
      <c r="C289" s="696"/>
      <c r="D289" s="715">
        <f>TB_ANNX!D105</f>
        <v>0</v>
      </c>
    </row>
    <row r="290" spans="1:5">
      <c r="A290" s="4" t="s">
        <v>328</v>
      </c>
      <c r="B290" s="696">
        <v>0</v>
      </c>
      <c r="C290" s="696"/>
      <c r="D290" s="695">
        <v>0</v>
      </c>
    </row>
    <row r="291" spans="1:5">
      <c r="A291" s="4" t="s">
        <v>333</v>
      </c>
      <c r="C291" s="696">
        <v>0</v>
      </c>
      <c r="D291" s="696"/>
      <c r="E291" s="695">
        <v>0</v>
      </c>
    </row>
    <row r="292" spans="1:5">
      <c r="A292" s="5"/>
      <c r="B292" s="694"/>
      <c r="C292" s="694"/>
    </row>
    <row r="293" spans="1:5">
      <c r="A293" s="5" t="s">
        <v>334</v>
      </c>
      <c r="B293" s="694"/>
      <c r="C293" s="694"/>
    </row>
    <row r="294" spans="1:5">
      <c r="A294" s="4" t="s">
        <v>326</v>
      </c>
      <c r="B294" s="696">
        <v>0</v>
      </c>
      <c r="C294" s="696"/>
      <c r="D294" s="695">
        <v>0</v>
      </c>
    </row>
    <row r="295" spans="1:5">
      <c r="A295" s="4" t="s">
        <v>327</v>
      </c>
      <c r="B295" s="696">
        <v>0</v>
      </c>
      <c r="C295" s="696"/>
      <c r="D295" s="695">
        <v>0</v>
      </c>
    </row>
    <row r="296" spans="1:5">
      <c r="A296" s="4" t="s">
        <v>328</v>
      </c>
      <c r="B296" s="696">
        <v>0</v>
      </c>
      <c r="C296" s="696"/>
      <c r="D296" s="695">
        <v>0</v>
      </c>
    </row>
    <row r="297" spans="1:5">
      <c r="A297" s="4" t="s">
        <v>335</v>
      </c>
      <c r="C297" s="696">
        <v>0</v>
      </c>
      <c r="D297" s="696"/>
      <c r="E297" s="695">
        <v>0</v>
      </c>
    </row>
    <row r="298" spans="1:5">
      <c r="A298" s="5"/>
      <c r="B298" s="694"/>
      <c r="C298" s="694"/>
    </row>
    <row r="299" spans="1:5">
      <c r="A299" s="5" t="s">
        <v>336</v>
      </c>
      <c r="B299" s="694"/>
      <c r="C299" s="694"/>
    </row>
    <row r="300" spans="1:5">
      <c r="A300" s="4" t="s">
        <v>326</v>
      </c>
      <c r="B300" s="696">
        <v>0</v>
      </c>
      <c r="C300" s="696"/>
      <c r="D300" s="695">
        <v>0</v>
      </c>
    </row>
    <row r="301" spans="1:5">
      <c r="A301" s="4" t="s">
        <v>327</v>
      </c>
      <c r="B301" s="696">
        <v>0</v>
      </c>
      <c r="C301" s="696"/>
      <c r="D301" s="695">
        <v>0</v>
      </c>
    </row>
    <row r="302" spans="1:5">
      <c r="A302" s="4" t="s">
        <v>328</v>
      </c>
      <c r="B302" s="696">
        <v>0</v>
      </c>
      <c r="C302" s="696"/>
      <c r="D302" s="695">
        <v>0</v>
      </c>
    </row>
    <row r="303" spans="1:5">
      <c r="A303" s="4" t="s">
        <v>337</v>
      </c>
      <c r="C303" s="696">
        <v>0</v>
      </c>
      <c r="D303" s="696"/>
      <c r="E303" s="695">
        <v>0</v>
      </c>
    </row>
    <row r="304" spans="1:5">
      <c r="A304" s="5"/>
      <c r="B304" s="694"/>
      <c r="C304" s="694"/>
    </row>
    <row r="305" spans="1:5">
      <c r="A305" s="5" t="s">
        <v>338</v>
      </c>
      <c r="B305" s="694"/>
      <c r="C305" s="694"/>
    </row>
    <row r="306" spans="1:5">
      <c r="A306" s="4" t="s">
        <v>326</v>
      </c>
      <c r="B306" s="696">
        <v>0</v>
      </c>
      <c r="C306" s="696"/>
      <c r="D306" s="695">
        <v>0</v>
      </c>
    </row>
    <row r="307" spans="1:5">
      <c r="A307" s="4" t="s">
        <v>327</v>
      </c>
      <c r="B307" s="696">
        <v>0</v>
      </c>
      <c r="C307" s="696"/>
      <c r="D307" s="695">
        <v>0</v>
      </c>
    </row>
    <row r="308" spans="1:5">
      <c r="A308" s="4" t="s">
        <v>328</v>
      </c>
      <c r="B308" s="696">
        <v>0</v>
      </c>
      <c r="C308" s="696"/>
      <c r="D308" s="695">
        <v>0</v>
      </c>
    </row>
    <row r="309" spans="1:5">
      <c r="A309" s="4" t="s">
        <v>339</v>
      </c>
      <c r="C309" s="696">
        <v>0</v>
      </c>
      <c r="D309" s="696"/>
      <c r="E309" s="695">
        <v>0</v>
      </c>
    </row>
    <row r="310" spans="1:5">
      <c r="A310" s="5"/>
      <c r="B310" s="694"/>
      <c r="C310" s="694"/>
    </row>
    <row r="311" spans="1:5">
      <c r="A311" s="5" t="s">
        <v>340</v>
      </c>
      <c r="B311" s="694"/>
      <c r="C311" s="694"/>
    </row>
    <row r="312" spans="1:5">
      <c r="A312" s="4" t="s">
        <v>326</v>
      </c>
      <c r="B312" s="696">
        <v>0</v>
      </c>
      <c r="C312" s="696"/>
      <c r="D312" s="695">
        <v>0</v>
      </c>
    </row>
    <row r="313" spans="1:5">
      <c r="A313" s="4" t="s">
        <v>327</v>
      </c>
      <c r="B313" s="696">
        <v>0</v>
      </c>
      <c r="C313" s="696"/>
      <c r="D313" s="695">
        <v>0</v>
      </c>
    </row>
    <row r="314" spans="1:5">
      <c r="A314" s="4" t="s">
        <v>328</v>
      </c>
      <c r="B314" s="696">
        <v>0</v>
      </c>
      <c r="C314" s="696"/>
      <c r="D314" s="695">
        <v>0</v>
      </c>
    </row>
    <row r="315" spans="1:5">
      <c r="A315" s="4" t="s">
        <v>341</v>
      </c>
      <c r="C315" s="696">
        <v>0</v>
      </c>
      <c r="D315" s="696"/>
      <c r="E315" s="695">
        <v>0</v>
      </c>
    </row>
    <row r="316" spans="1:5">
      <c r="A316" s="5"/>
      <c r="B316" s="694"/>
      <c r="C316" s="694"/>
    </row>
    <row r="317" spans="1:5">
      <c r="A317" s="5" t="s">
        <v>342</v>
      </c>
      <c r="B317" s="694"/>
      <c r="C317" s="694"/>
    </row>
    <row r="318" spans="1:5">
      <c r="A318" s="4" t="s">
        <v>326</v>
      </c>
      <c r="B318" s="696">
        <v>0</v>
      </c>
      <c r="C318" s="696"/>
      <c r="D318" s="695">
        <v>0</v>
      </c>
    </row>
    <row r="319" spans="1:5">
      <c r="A319" s="4" t="s">
        <v>327</v>
      </c>
      <c r="B319" s="715">
        <f>TB_ANNX!C116</f>
        <v>0</v>
      </c>
      <c r="C319" s="715"/>
      <c r="D319" s="715">
        <f>TB_ANNX!D116</f>
        <v>0</v>
      </c>
    </row>
    <row r="320" spans="1:5">
      <c r="A320" s="4" t="s">
        <v>328</v>
      </c>
      <c r="B320" s="696">
        <v>0</v>
      </c>
      <c r="C320" s="696"/>
      <c r="D320" s="695">
        <v>0</v>
      </c>
    </row>
    <row r="321" spans="1:5">
      <c r="A321" s="4" t="s">
        <v>343</v>
      </c>
      <c r="C321" s="696">
        <v>0</v>
      </c>
      <c r="D321" s="696"/>
      <c r="E321" s="695">
        <v>0</v>
      </c>
    </row>
    <row r="322" spans="1:5">
      <c r="A322" s="5"/>
      <c r="B322" s="694"/>
      <c r="C322" s="694"/>
    </row>
    <row r="323" spans="1:5">
      <c r="A323" s="5" t="s">
        <v>344</v>
      </c>
      <c r="B323" s="694"/>
      <c r="C323" s="694"/>
    </row>
    <row r="324" spans="1:5">
      <c r="A324" s="4" t="s">
        <v>326</v>
      </c>
      <c r="B324" s="696">
        <v>0</v>
      </c>
      <c r="C324" s="696"/>
      <c r="D324" s="695">
        <v>0</v>
      </c>
    </row>
    <row r="325" spans="1:5">
      <c r="A325" s="4" t="s">
        <v>327</v>
      </c>
      <c r="B325" s="715">
        <f>TB_ANNX!C124</f>
        <v>0</v>
      </c>
      <c r="C325" s="715"/>
      <c r="D325" s="715">
        <f>TB_ANNX!D124</f>
        <v>0</v>
      </c>
    </row>
    <row r="326" spans="1:5">
      <c r="A326" s="4" t="s">
        <v>328</v>
      </c>
      <c r="B326" s="696">
        <v>0</v>
      </c>
      <c r="C326" s="696"/>
      <c r="D326" s="695">
        <v>0</v>
      </c>
    </row>
    <row r="327" spans="1:5">
      <c r="A327" s="4" t="s">
        <v>345</v>
      </c>
      <c r="C327" s="696">
        <v>0</v>
      </c>
      <c r="D327" s="696"/>
      <c r="E327" s="695">
        <v>0</v>
      </c>
    </row>
    <row r="328" spans="1:5">
      <c r="A328" s="5"/>
      <c r="B328" s="694"/>
      <c r="C328" s="694"/>
    </row>
    <row r="329" spans="1:5">
      <c r="A329" s="5" t="s">
        <v>346</v>
      </c>
      <c r="B329" s="694"/>
      <c r="C329" s="694"/>
    </row>
    <row r="330" spans="1:5">
      <c r="A330" s="4" t="s">
        <v>326</v>
      </c>
      <c r="B330" s="696">
        <v>0</v>
      </c>
      <c r="C330" s="696"/>
      <c r="D330" s="695">
        <v>0</v>
      </c>
    </row>
    <row r="331" spans="1:5">
      <c r="A331" s="4" t="s">
        <v>327</v>
      </c>
      <c r="B331" s="696">
        <v>0</v>
      </c>
      <c r="C331" s="696"/>
      <c r="D331" s="695">
        <v>0</v>
      </c>
    </row>
    <row r="332" spans="1:5">
      <c r="A332" s="4" t="s">
        <v>328</v>
      </c>
      <c r="B332" s="696">
        <v>0</v>
      </c>
      <c r="C332" s="696"/>
      <c r="D332" s="695">
        <v>0</v>
      </c>
    </row>
    <row r="333" spans="1:5">
      <c r="A333" s="4" t="s">
        <v>347</v>
      </c>
      <c r="C333" s="696">
        <v>0</v>
      </c>
      <c r="D333" s="696"/>
      <c r="E333" s="695">
        <v>0</v>
      </c>
    </row>
    <row r="336" spans="1:5" ht="16.5" thickBot="1">
      <c r="A336" s="36" t="s">
        <v>479</v>
      </c>
      <c r="B336" s="702"/>
      <c r="C336" s="702"/>
      <c r="D336" s="690"/>
    </row>
    <row r="337" spans="1:5">
      <c r="A337" s="7" t="s">
        <v>355</v>
      </c>
      <c r="B337" s="694"/>
      <c r="C337" s="694"/>
    </row>
    <row r="338" spans="1:5">
      <c r="A338" s="4" t="s">
        <v>326</v>
      </c>
      <c r="B338" s="696">
        <v>0</v>
      </c>
      <c r="C338" s="696"/>
      <c r="D338" s="695">
        <v>0</v>
      </c>
    </row>
    <row r="339" spans="1:5">
      <c r="A339" s="4" t="s">
        <v>327</v>
      </c>
      <c r="B339" s="696">
        <v>0</v>
      </c>
      <c r="C339" s="696"/>
      <c r="D339" s="695">
        <v>0</v>
      </c>
    </row>
    <row r="340" spans="1:5">
      <c r="A340" s="4" t="s">
        <v>328</v>
      </c>
      <c r="B340" s="696">
        <v>0</v>
      </c>
      <c r="C340" s="696"/>
      <c r="D340" s="695">
        <v>0</v>
      </c>
    </row>
    <row r="341" spans="1:5">
      <c r="A341" s="4" t="s">
        <v>356</v>
      </c>
      <c r="C341" s="696">
        <v>0</v>
      </c>
      <c r="D341" s="696"/>
      <c r="E341" s="695">
        <v>0</v>
      </c>
    </row>
    <row r="342" spans="1:5">
      <c r="A342" s="7"/>
      <c r="B342" s="694"/>
      <c r="C342" s="694"/>
    </row>
    <row r="343" spans="1:5">
      <c r="A343" s="7" t="s">
        <v>357</v>
      </c>
      <c r="B343" s="696">
        <v>0</v>
      </c>
      <c r="C343" s="696"/>
      <c r="D343" s="695">
        <v>0</v>
      </c>
      <c r="E343"/>
    </row>
    <row r="346" spans="1:5" ht="16.5" thickBot="1">
      <c r="A346" s="36" t="s">
        <v>480</v>
      </c>
      <c r="B346" s="702"/>
      <c r="C346" s="702"/>
      <c r="D346" s="690"/>
      <c r="E346"/>
    </row>
    <row r="347" spans="1:5">
      <c r="A347" s="8" t="s">
        <v>302</v>
      </c>
      <c r="B347" s="702"/>
      <c r="C347" s="702"/>
      <c r="D347" s="690"/>
      <c r="E347"/>
    </row>
    <row r="348" spans="1:5">
      <c r="A348" s="82" t="s">
        <v>316</v>
      </c>
      <c r="B348" s="694"/>
      <c r="C348" s="694"/>
      <c r="E348"/>
    </row>
    <row r="349" spans="1:5">
      <c r="A349" s="23" t="s">
        <v>120</v>
      </c>
      <c r="B349" s="696">
        <v>0</v>
      </c>
      <c r="C349" s="696"/>
      <c r="D349" s="696">
        <v>0</v>
      </c>
      <c r="E349"/>
    </row>
    <row r="350" spans="1:5">
      <c r="A350" s="83"/>
      <c r="B350" s="702"/>
      <c r="C350" s="702"/>
      <c r="D350" s="702"/>
      <c r="E350"/>
    </row>
    <row r="351" spans="1:5">
      <c r="A351" s="82" t="s">
        <v>305</v>
      </c>
      <c r="B351" s="694"/>
      <c r="C351" s="694"/>
      <c r="D351" s="694"/>
      <c r="E351"/>
    </row>
    <row r="352" spans="1:5">
      <c r="A352" s="23" t="s">
        <v>438</v>
      </c>
      <c r="B352" s="696">
        <v>0</v>
      </c>
      <c r="C352" s="696"/>
      <c r="D352" s="696">
        <v>0</v>
      </c>
      <c r="E352"/>
    </row>
    <row r="353" spans="1:5">
      <c r="A353" s="83"/>
      <c r="B353" s="702"/>
      <c r="C353" s="702"/>
      <c r="D353" s="702"/>
      <c r="E353"/>
    </row>
    <row r="354" spans="1:5">
      <c r="A354" s="82" t="s">
        <v>306</v>
      </c>
      <c r="B354" s="694"/>
      <c r="C354" s="694"/>
      <c r="D354" s="694"/>
      <c r="E354"/>
    </row>
    <row r="355" spans="1:5">
      <c r="A355" s="23" t="s">
        <v>436</v>
      </c>
      <c r="B355" s="696">
        <v>0</v>
      </c>
      <c r="C355" s="696"/>
      <c r="D355" s="696">
        <v>0</v>
      </c>
      <c r="E355"/>
    </row>
    <row r="356" spans="1:5">
      <c r="A356" s="83"/>
      <c r="B356" s="702"/>
      <c r="C356" s="702"/>
      <c r="D356" s="702"/>
      <c r="E356"/>
    </row>
    <row r="357" spans="1:5">
      <c r="A357" s="82" t="s">
        <v>307</v>
      </c>
      <c r="B357" s="694"/>
      <c r="C357" s="694"/>
      <c r="D357" s="694"/>
      <c r="E357"/>
    </row>
    <row r="358" spans="1:5">
      <c r="A358" s="23" t="s">
        <v>437</v>
      </c>
      <c r="B358" s="696">
        <v>0</v>
      </c>
      <c r="C358" s="696"/>
      <c r="D358" s="696">
        <v>0</v>
      </c>
      <c r="E358"/>
    </row>
    <row r="359" spans="1:5">
      <c r="A359" s="83"/>
      <c r="B359" s="702"/>
      <c r="C359" s="702"/>
      <c r="D359" s="702"/>
      <c r="E359"/>
    </row>
    <row r="360" spans="1:5">
      <c r="A360" s="82" t="s">
        <v>308</v>
      </c>
      <c r="B360" s="694"/>
      <c r="C360" s="694"/>
      <c r="D360" s="694"/>
      <c r="E360"/>
    </row>
    <row r="361" spans="1:5">
      <c r="A361" s="23" t="s">
        <v>439</v>
      </c>
      <c r="B361" s="696">
        <v>0</v>
      </c>
      <c r="C361" s="696"/>
      <c r="D361" s="696">
        <v>0</v>
      </c>
      <c r="E361"/>
    </row>
    <row r="362" spans="1:5">
      <c r="A362" s="8"/>
      <c r="B362" s="702"/>
      <c r="C362" s="702"/>
      <c r="D362" s="702"/>
      <c r="E362"/>
    </row>
    <row r="363" spans="1:5">
      <c r="A363" s="71" t="s">
        <v>311</v>
      </c>
      <c r="B363" s="697"/>
      <c r="C363" s="697"/>
      <c r="D363" s="697"/>
      <c r="E363"/>
    </row>
    <row r="364" spans="1:5">
      <c r="A364" s="23" t="s">
        <v>440</v>
      </c>
      <c r="B364" s="696">
        <v>0</v>
      </c>
      <c r="C364" s="696"/>
      <c r="D364" s="696">
        <v>0</v>
      </c>
      <c r="E364"/>
    </row>
    <row r="365" spans="1:5">
      <c r="A365" s="83"/>
      <c r="B365" s="702"/>
      <c r="C365" s="702"/>
      <c r="D365" s="702"/>
      <c r="E365"/>
    </row>
    <row r="366" spans="1:5">
      <c r="A366" s="71" t="s">
        <v>312</v>
      </c>
      <c r="B366" s="696"/>
      <c r="C366" s="696"/>
      <c r="D366" s="696"/>
      <c r="E366"/>
    </row>
    <row r="367" spans="1:5">
      <c r="A367" s="23" t="s">
        <v>441</v>
      </c>
      <c r="B367" s="696">
        <v>0</v>
      </c>
      <c r="C367" s="696"/>
      <c r="D367" s="696">
        <v>0</v>
      </c>
      <c r="E367"/>
    </row>
    <row r="368" spans="1:5">
      <c r="A368" s="78"/>
      <c r="B368" s="696"/>
      <c r="C368" s="696"/>
      <c r="D368" s="696"/>
      <c r="E368"/>
    </row>
    <row r="369" spans="1:5">
      <c r="A369" s="71" t="s">
        <v>313</v>
      </c>
      <c r="B369" s="696"/>
      <c r="C369" s="696"/>
      <c r="D369" s="696"/>
      <c r="E369"/>
    </row>
    <row r="370" spans="1:5">
      <c r="A370" s="23" t="s">
        <v>442</v>
      </c>
      <c r="B370" s="696">
        <v>0</v>
      </c>
      <c r="C370" s="696"/>
      <c r="D370" s="696">
        <v>0</v>
      </c>
      <c r="E370"/>
    </row>
    <row r="371" spans="1:5">
      <c r="A371" s="78"/>
      <c r="B371" s="696"/>
      <c r="C371" s="696"/>
      <c r="D371" s="696"/>
      <c r="E371"/>
    </row>
    <row r="372" spans="1:5">
      <c r="A372" s="71" t="s">
        <v>314</v>
      </c>
      <c r="B372" s="696"/>
      <c r="C372" s="696"/>
      <c r="D372" s="696"/>
      <c r="E372"/>
    </row>
    <row r="373" spans="1:5">
      <c r="A373" s="23" t="s">
        <v>443</v>
      </c>
      <c r="B373" s="696">
        <v>0</v>
      </c>
      <c r="C373" s="696"/>
      <c r="D373" s="696">
        <v>0</v>
      </c>
      <c r="E373"/>
    </row>
    <row r="374" spans="1:5">
      <c r="A374" s="8"/>
      <c r="B374" s="702"/>
      <c r="C374" s="702"/>
      <c r="D374" s="702"/>
      <c r="E374"/>
    </row>
    <row r="375" spans="1:5">
      <c r="A375" s="8" t="s">
        <v>315</v>
      </c>
      <c r="B375" s="702"/>
      <c r="C375" s="702"/>
      <c r="D375" s="690"/>
      <c r="E375"/>
    </row>
    <row r="376" spans="1:5">
      <c r="A376" s="82" t="s">
        <v>316</v>
      </c>
      <c r="B376" s="694"/>
      <c r="C376" s="694"/>
      <c r="E376"/>
    </row>
    <row r="377" spans="1:5">
      <c r="A377" s="23" t="s">
        <v>444</v>
      </c>
      <c r="B377" s="696">
        <v>0</v>
      </c>
      <c r="C377" s="696"/>
      <c r="D377" s="696">
        <v>0</v>
      </c>
      <c r="E377"/>
    </row>
    <row r="378" spans="1:5">
      <c r="A378" s="83"/>
      <c r="B378" s="702"/>
      <c r="C378" s="702"/>
      <c r="D378" s="702"/>
      <c r="E378"/>
    </row>
    <row r="379" spans="1:5">
      <c r="A379" s="82" t="s">
        <v>305</v>
      </c>
      <c r="B379" s="694"/>
      <c r="C379" s="694"/>
      <c r="D379" s="694"/>
      <c r="E379"/>
    </row>
    <row r="380" spans="1:5">
      <c r="A380" s="23"/>
      <c r="B380" s="696">
        <v>0</v>
      </c>
      <c r="C380" s="696"/>
      <c r="D380" s="696">
        <v>0</v>
      </c>
      <c r="E380"/>
    </row>
    <row r="381" spans="1:5">
      <c r="A381" s="83"/>
      <c r="B381" s="702" t="s">
        <v>464</v>
      </c>
      <c r="C381" s="702"/>
      <c r="D381" s="702" t="s">
        <v>464</v>
      </c>
      <c r="E381"/>
    </row>
    <row r="382" spans="1:5">
      <c r="A382" s="82" t="s">
        <v>306</v>
      </c>
      <c r="B382" s="694"/>
      <c r="C382" s="694"/>
      <c r="D382" s="694"/>
      <c r="E382"/>
    </row>
    <row r="383" spans="1:5">
      <c r="A383" s="23"/>
      <c r="B383" s="696">
        <v>0</v>
      </c>
      <c r="C383" s="696"/>
      <c r="D383" s="696">
        <v>0</v>
      </c>
      <c r="E383"/>
    </row>
    <row r="384" spans="1:5">
      <c r="A384" s="83"/>
      <c r="B384" s="702"/>
      <c r="C384" s="702"/>
      <c r="D384" s="702"/>
      <c r="E384"/>
    </row>
    <row r="385" spans="1:5">
      <c r="A385" s="82" t="s">
        <v>307</v>
      </c>
      <c r="B385" s="694"/>
      <c r="C385" s="694"/>
      <c r="D385" s="694"/>
      <c r="E385"/>
    </row>
    <row r="386" spans="1:5">
      <c r="A386" s="23"/>
      <c r="B386" s="696">
        <v>0</v>
      </c>
      <c r="C386" s="696"/>
      <c r="D386" s="696">
        <v>0</v>
      </c>
      <c r="E386"/>
    </row>
    <row r="387" spans="1:5">
      <c r="A387" s="83"/>
      <c r="B387" s="702"/>
      <c r="C387" s="702"/>
      <c r="D387" s="702"/>
      <c r="E387"/>
    </row>
    <row r="388" spans="1:5">
      <c r="A388" s="82" t="s">
        <v>317</v>
      </c>
      <c r="B388" s="694"/>
      <c r="C388" s="694"/>
      <c r="D388" s="694"/>
      <c r="E388"/>
    </row>
    <row r="389" spans="1:5">
      <c r="A389" s="23"/>
      <c r="B389" s="696">
        <v>0</v>
      </c>
      <c r="C389" s="696"/>
      <c r="D389" s="696">
        <v>0</v>
      </c>
      <c r="E389"/>
    </row>
    <row r="390" spans="1:5">
      <c r="A390" s="40"/>
      <c r="B390" s="694"/>
      <c r="C390" s="694"/>
      <c r="D390" s="694"/>
      <c r="E390"/>
    </row>
    <row r="391" spans="1:5">
      <c r="A391" s="82" t="s">
        <v>318</v>
      </c>
      <c r="B391" s="694"/>
      <c r="C391" s="694"/>
      <c r="D391" s="694"/>
      <c r="E391"/>
    </row>
    <row r="392" spans="1:5">
      <c r="A392" s="23"/>
      <c r="B392" s="696">
        <v>0</v>
      </c>
      <c r="C392" s="696"/>
      <c r="D392" s="696">
        <v>0</v>
      </c>
      <c r="E392"/>
    </row>
    <row r="393" spans="1:5">
      <c r="A393" s="83"/>
      <c r="B393" s="702"/>
      <c r="C393" s="702"/>
      <c r="D393" s="702"/>
      <c r="E393"/>
    </row>
    <row r="394" spans="1:5">
      <c r="A394" s="82" t="s">
        <v>308</v>
      </c>
      <c r="B394" s="694"/>
      <c r="C394" s="694"/>
      <c r="D394" s="694"/>
      <c r="E394"/>
    </row>
    <row r="395" spans="1:5">
      <c r="A395" s="23"/>
      <c r="B395" s="696">
        <v>0</v>
      </c>
      <c r="C395" s="696"/>
      <c r="D395" s="696">
        <v>0</v>
      </c>
      <c r="E395"/>
    </row>
    <row r="396" spans="1:5">
      <c r="A396" s="8"/>
      <c r="B396" s="702"/>
      <c r="C396" s="702"/>
      <c r="D396" s="702"/>
      <c r="E396"/>
    </row>
    <row r="397" spans="1:5">
      <c r="A397" s="71" t="s">
        <v>311</v>
      </c>
      <c r="B397" s="697"/>
      <c r="C397" s="697"/>
      <c r="D397" s="697"/>
      <c r="E397"/>
    </row>
    <row r="398" spans="1:5">
      <c r="A398" s="23"/>
      <c r="B398" s="696">
        <v>0</v>
      </c>
      <c r="C398" s="696"/>
      <c r="D398" s="696">
        <v>0</v>
      </c>
      <c r="E398"/>
    </row>
    <row r="399" spans="1:5">
      <c r="A399" s="78"/>
      <c r="B399" s="696"/>
      <c r="C399" s="696"/>
      <c r="D399" s="696"/>
      <c r="E399"/>
    </row>
    <row r="400" spans="1:5">
      <c r="A400" s="71" t="s">
        <v>312</v>
      </c>
      <c r="B400" s="696"/>
      <c r="C400" s="696"/>
      <c r="D400" s="696"/>
      <c r="E400"/>
    </row>
    <row r="401" spans="1:5">
      <c r="A401" s="23"/>
      <c r="B401" s="696">
        <v>0</v>
      </c>
      <c r="C401" s="696"/>
      <c r="D401" s="696">
        <v>0</v>
      </c>
      <c r="E401"/>
    </row>
    <row r="402" spans="1:5">
      <c r="A402" s="78"/>
      <c r="B402" s="696"/>
      <c r="C402" s="696"/>
      <c r="D402" s="696"/>
      <c r="E402"/>
    </row>
    <row r="403" spans="1:5">
      <c r="A403" s="71" t="s">
        <v>313</v>
      </c>
      <c r="B403" s="696"/>
      <c r="C403" s="696"/>
      <c r="D403" s="696"/>
      <c r="E403"/>
    </row>
    <row r="404" spans="1:5">
      <c r="A404" s="23"/>
      <c r="B404" s="696">
        <v>0</v>
      </c>
      <c r="C404" s="696"/>
      <c r="D404" s="696">
        <v>0</v>
      </c>
      <c r="E404"/>
    </row>
    <row r="405" spans="1:5">
      <c r="A405" s="78"/>
      <c r="B405" s="696"/>
      <c r="C405" s="696"/>
      <c r="D405" s="696"/>
      <c r="E405"/>
    </row>
    <row r="406" spans="1:5">
      <c r="A406" s="71" t="s">
        <v>314</v>
      </c>
      <c r="B406" s="696"/>
      <c r="C406" s="696"/>
      <c r="D406" s="696"/>
      <c r="E406"/>
    </row>
    <row r="407" spans="1:5">
      <c r="A407" s="23"/>
      <c r="B407" s="696">
        <v>0</v>
      </c>
      <c r="C407" s="696"/>
      <c r="D407" s="696">
        <v>0</v>
      </c>
    </row>
    <row r="408" spans="1:5">
      <c r="A408" s="78"/>
      <c r="B408" s="696"/>
      <c r="C408" s="696"/>
      <c r="D408" s="696"/>
    </row>
    <row r="409" spans="1:5">
      <c r="A409" s="71" t="s">
        <v>320</v>
      </c>
      <c r="B409" s="696"/>
      <c r="C409" s="696"/>
      <c r="D409" s="696"/>
    </row>
    <row r="410" spans="1:5">
      <c r="A410" s="23"/>
      <c r="B410" s="696">
        <v>0</v>
      </c>
      <c r="C410" s="696"/>
      <c r="D410" s="696">
        <v>0</v>
      </c>
    </row>
    <row r="411" spans="1:5">
      <c r="A411" s="1"/>
      <c r="B411" s="694"/>
      <c r="C411" s="694"/>
    </row>
    <row r="412" spans="1:5">
      <c r="A412" s="8" t="s">
        <v>359</v>
      </c>
      <c r="C412" s="696">
        <v>0</v>
      </c>
      <c r="D412" s="696"/>
      <c r="E412" s="695">
        <v>0</v>
      </c>
    </row>
    <row r="413" spans="1:5">
      <c r="A413" s="13"/>
      <c r="B413" s="694"/>
      <c r="C413" s="694"/>
    </row>
    <row r="415" spans="1:5" ht="16.5" thickBot="1">
      <c r="A415" s="36" t="s">
        <v>481</v>
      </c>
      <c r="B415" s="702"/>
      <c r="C415" s="702"/>
      <c r="D415" s="690"/>
    </row>
    <row r="416" spans="1:5" ht="15.75">
      <c r="A416" s="52"/>
      <c r="B416" s="702"/>
      <c r="C416" s="702"/>
      <c r="D416" s="690"/>
    </row>
    <row r="417" spans="1:5">
      <c r="A417" s="53" t="s">
        <v>445</v>
      </c>
      <c r="B417" s="165">
        <v>0</v>
      </c>
      <c r="C417" s="165"/>
      <c r="D417" s="165">
        <v>0</v>
      </c>
    </row>
    <row r="418" spans="1:5">
      <c r="A418" s="53" t="s">
        <v>446</v>
      </c>
      <c r="B418" s="165">
        <v>0</v>
      </c>
      <c r="C418" s="165"/>
      <c r="D418" s="165">
        <v>0</v>
      </c>
    </row>
    <row r="419" spans="1:5">
      <c r="A419" s="53" t="s">
        <v>447</v>
      </c>
      <c r="B419" s="165">
        <v>0</v>
      </c>
      <c r="C419" s="165"/>
      <c r="D419" s="165">
        <v>0</v>
      </c>
    </row>
    <row r="420" spans="1:5">
      <c r="A420" s="53" t="s">
        <v>448</v>
      </c>
      <c r="B420" s="723">
        <f>C604</f>
        <v>0</v>
      </c>
      <c r="C420" s="723"/>
      <c r="D420" s="723">
        <f>E604</f>
        <v>0</v>
      </c>
    </row>
    <row r="421" spans="1:5">
      <c r="A421" s="53" t="s">
        <v>110</v>
      </c>
      <c r="B421" s="165">
        <v>0</v>
      </c>
      <c r="C421" s="165"/>
      <c r="D421" s="165">
        <v>0</v>
      </c>
    </row>
    <row r="422" spans="1:5">
      <c r="A422" s="53" t="s">
        <v>449</v>
      </c>
      <c r="B422" s="165">
        <v>0</v>
      </c>
      <c r="C422" s="165"/>
      <c r="D422" s="165">
        <v>0</v>
      </c>
    </row>
    <row r="423" spans="1:5">
      <c r="A423" s="53" t="s">
        <v>434</v>
      </c>
      <c r="B423" s="165">
        <v>0</v>
      </c>
      <c r="C423" s="165"/>
      <c r="D423" s="165">
        <v>0</v>
      </c>
      <c r="E423"/>
    </row>
    <row r="424" spans="1:5">
      <c r="A424" s="53" t="s">
        <v>450</v>
      </c>
      <c r="B424" s="165">
        <v>0</v>
      </c>
      <c r="C424" s="165"/>
      <c r="D424" s="165">
        <v>0</v>
      </c>
      <c r="E424"/>
    </row>
    <row r="425" spans="1:5">
      <c r="A425" s="53" t="s">
        <v>451</v>
      </c>
      <c r="B425" s="165">
        <v>0</v>
      </c>
      <c r="C425" s="165"/>
      <c r="D425" s="165">
        <v>0</v>
      </c>
      <c r="E425"/>
    </row>
    <row r="426" spans="1:5">
      <c r="A426" s="5"/>
      <c r="B426" s="694"/>
      <c r="C426" s="694"/>
      <c r="E426"/>
    </row>
    <row r="428" spans="1:5" ht="16.5" thickBot="1">
      <c r="A428" s="36" t="s">
        <v>482</v>
      </c>
      <c r="B428" s="702"/>
      <c r="C428" s="702"/>
      <c r="D428" s="690"/>
      <c r="E428"/>
    </row>
    <row r="429" spans="1:5">
      <c r="A429" s="5" t="s">
        <v>360</v>
      </c>
      <c r="B429" s="696"/>
      <c r="C429" s="696"/>
      <c r="D429" s="695"/>
      <c r="E429"/>
    </row>
    <row r="430" spans="1:5">
      <c r="A430" s="4" t="s">
        <v>361</v>
      </c>
      <c r="B430" s="696">
        <v>0</v>
      </c>
      <c r="C430" s="696"/>
      <c r="D430" s="695">
        <v>0</v>
      </c>
      <c r="E430"/>
    </row>
    <row r="431" spans="1:5">
      <c r="A431" s="4" t="s">
        <v>362</v>
      </c>
      <c r="B431" s="696">
        <v>0</v>
      </c>
      <c r="C431" s="696"/>
      <c r="D431" s="695">
        <v>0</v>
      </c>
      <c r="E431"/>
    </row>
    <row r="432" spans="1:5">
      <c r="A432" s="1"/>
      <c r="B432" s="694"/>
      <c r="C432" s="694"/>
      <c r="E432"/>
    </row>
    <row r="433" spans="1:5">
      <c r="A433" s="5" t="s">
        <v>363</v>
      </c>
      <c r="B433" s="694"/>
      <c r="C433" s="694"/>
      <c r="E433"/>
    </row>
    <row r="434" spans="1:5">
      <c r="A434" s="4" t="s">
        <v>361</v>
      </c>
      <c r="B434" s="715">
        <f>TB_ANNX!C137</f>
        <v>0</v>
      </c>
      <c r="C434" s="696"/>
      <c r="D434" s="715">
        <f>TB_ANNX!D137</f>
        <v>0</v>
      </c>
      <c r="E434"/>
    </row>
    <row r="435" spans="1:5">
      <c r="A435" s="4" t="s">
        <v>362</v>
      </c>
      <c r="B435" s="715">
        <f>TB_ANNX!C153</f>
        <v>0</v>
      </c>
      <c r="C435" s="696"/>
      <c r="D435" s="715">
        <f>TB_ANNX!D153</f>
        <v>0</v>
      </c>
      <c r="E435"/>
    </row>
    <row r="436" spans="1:5">
      <c r="A436" s="1"/>
      <c r="B436" s="696"/>
      <c r="C436" s="696"/>
      <c r="D436" s="695"/>
      <c r="E436"/>
    </row>
    <row r="437" spans="1:5">
      <c r="A437" s="5" t="s">
        <v>364</v>
      </c>
      <c r="B437" s="694"/>
      <c r="C437" s="694"/>
      <c r="E437"/>
    </row>
    <row r="438" spans="1:5">
      <c r="A438" s="4" t="s">
        <v>361</v>
      </c>
      <c r="B438" s="696">
        <v>0</v>
      </c>
      <c r="C438" s="696"/>
      <c r="D438" s="695">
        <v>0</v>
      </c>
      <c r="E438"/>
    </row>
    <row r="439" spans="1:5">
      <c r="A439" s="4" t="s">
        <v>362</v>
      </c>
      <c r="B439" s="696">
        <v>0</v>
      </c>
      <c r="C439" s="696"/>
      <c r="D439" s="695">
        <v>0</v>
      </c>
    </row>
    <row r="440" spans="1:5">
      <c r="A440" s="4"/>
      <c r="B440" s="694"/>
      <c r="C440" s="694"/>
    </row>
    <row r="441" spans="1:5">
      <c r="A441" s="5" t="s">
        <v>365</v>
      </c>
      <c r="B441" s="696">
        <v>0</v>
      </c>
      <c r="C441" s="696"/>
      <c r="D441" s="695">
        <v>0</v>
      </c>
    </row>
    <row r="442" spans="1:5">
      <c r="A442" s="5" t="s">
        <v>366</v>
      </c>
      <c r="C442" s="696">
        <v>0</v>
      </c>
      <c r="D442" s="696"/>
      <c r="E442" s="695">
        <v>0</v>
      </c>
    </row>
    <row r="445" spans="1:5" ht="16.5" thickBot="1">
      <c r="A445" s="36" t="s">
        <v>483</v>
      </c>
      <c r="B445" s="702"/>
      <c r="C445" s="702"/>
      <c r="D445" s="690"/>
    </row>
    <row r="446" spans="1:5">
      <c r="A446" s="5" t="s">
        <v>368</v>
      </c>
      <c r="B446" s="694"/>
      <c r="C446" s="694"/>
    </row>
    <row r="447" spans="1:5">
      <c r="A447" s="4" t="s">
        <v>369</v>
      </c>
      <c r="B447" s="696">
        <v>0</v>
      </c>
      <c r="C447" s="696"/>
      <c r="D447" s="695">
        <v>0</v>
      </c>
    </row>
    <row r="448" spans="1:5">
      <c r="A448" s="4" t="s">
        <v>370</v>
      </c>
      <c r="B448" s="695">
        <v>0</v>
      </c>
      <c r="C448" s="696"/>
      <c r="D448" s="695">
        <v>0</v>
      </c>
    </row>
    <row r="449" spans="1:5">
      <c r="A449" s="4" t="s">
        <v>371</v>
      </c>
      <c r="B449" s="695">
        <v>0</v>
      </c>
      <c r="C449" s="696"/>
      <c r="D449" s="695">
        <v>0</v>
      </c>
    </row>
    <row r="450" spans="1:5">
      <c r="A450" s="4" t="s">
        <v>372</v>
      </c>
      <c r="B450" s="695">
        <v>0</v>
      </c>
      <c r="C450" s="696"/>
      <c r="D450" s="695">
        <v>0</v>
      </c>
    </row>
    <row r="451" spans="1:5">
      <c r="A451" s="4" t="s">
        <v>373</v>
      </c>
      <c r="B451" s="695">
        <v>0</v>
      </c>
      <c r="C451" s="696"/>
      <c r="D451" s="695">
        <v>0</v>
      </c>
    </row>
    <row r="452" spans="1:5">
      <c r="A452" s="5"/>
      <c r="B452" s="694"/>
      <c r="C452" s="694"/>
    </row>
    <row r="453" spans="1:5">
      <c r="A453" s="5" t="s">
        <v>374</v>
      </c>
      <c r="B453" s="694"/>
      <c r="C453" s="694"/>
    </row>
    <row r="454" spans="1:5">
      <c r="A454" s="4" t="s">
        <v>375</v>
      </c>
      <c r="B454" s="715">
        <f>TB_ANNX!C170</f>
        <v>0</v>
      </c>
      <c r="C454" s="715"/>
      <c r="D454" s="715">
        <f>TB_ANNX!D170</f>
        <v>0</v>
      </c>
    </row>
    <row r="455" spans="1:5">
      <c r="A455" s="4" t="s">
        <v>376</v>
      </c>
      <c r="B455" s="715">
        <f>TB_ANNX!C181</f>
        <v>0</v>
      </c>
      <c r="C455" s="715"/>
      <c r="D455" s="715">
        <f>TB_ANNX!D181</f>
        <v>0</v>
      </c>
      <c r="E455"/>
    </row>
    <row r="456" spans="1:5">
      <c r="A456" s="4" t="s">
        <v>377</v>
      </c>
      <c r="B456" s="695">
        <v>0</v>
      </c>
      <c r="C456" s="696"/>
      <c r="D456" s="695">
        <v>0</v>
      </c>
      <c r="E456"/>
    </row>
    <row r="457" spans="1:5">
      <c r="A457" s="4" t="s">
        <v>378</v>
      </c>
      <c r="B457" s="695">
        <v>0</v>
      </c>
      <c r="C457" s="696"/>
      <c r="D457" s="695">
        <v>0</v>
      </c>
      <c r="E457"/>
    </row>
    <row r="458" spans="1:5">
      <c r="A458" s="4" t="s">
        <v>379</v>
      </c>
      <c r="B458" s="695">
        <v>0</v>
      </c>
      <c r="C458" s="696"/>
      <c r="D458" s="695">
        <v>0</v>
      </c>
      <c r="E458"/>
    </row>
    <row r="459" spans="1:5">
      <c r="A459" s="1"/>
      <c r="B459" s="694"/>
      <c r="C459" s="694"/>
      <c r="E459"/>
    </row>
    <row r="460" spans="1:5">
      <c r="A460" s="7" t="s">
        <v>380</v>
      </c>
      <c r="B460" s="694"/>
      <c r="C460" s="694"/>
      <c r="E460"/>
    </row>
    <row r="461" spans="1:5">
      <c r="A461" s="4" t="s">
        <v>375</v>
      </c>
      <c r="B461" s="696">
        <v>0</v>
      </c>
      <c r="C461" s="696"/>
      <c r="D461" s="695">
        <v>0</v>
      </c>
      <c r="E461"/>
    </row>
    <row r="462" spans="1:5">
      <c r="A462" s="4" t="s">
        <v>376</v>
      </c>
      <c r="B462" s="695">
        <v>0</v>
      </c>
      <c r="C462" s="696"/>
      <c r="D462" s="695">
        <v>0</v>
      </c>
      <c r="E462"/>
    </row>
    <row r="463" spans="1:5">
      <c r="A463" s="4" t="s">
        <v>377</v>
      </c>
      <c r="B463" s="695">
        <v>0</v>
      </c>
      <c r="C463" s="696"/>
      <c r="D463" s="695">
        <v>0</v>
      </c>
      <c r="E463"/>
    </row>
    <row r="464" spans="1:5">
      <c r="A464" s="4" t="s">
        <v>379</v>
      </c>
      <c r="B464" s="695">
        <v>0</v>
      </c>
      <c r="C464" s="696"/>
      <c r="D464" s="695">
        <v>0</v>
      </c>
      <c r="E464"/>
    </row>
    <row r="465" spans="1:5">
      <c r="A465" s="1"/>
      <c r="B465" s="697"/>
      <c r="C465" s="697"/>
      <c r="D465" s="698"/>
      <c r="E465"/>
    </row>
    <row r="466" spans="1:5">
      <c r="A466" s="7" t="s">
        <v>381</v>
      </c>
      <c r="B466" s="696">
        <v>0</v>
      </c>
      <c r="C466" s="696"/>
      <c r="D466" s="695">
        <v>0</v>
      </c>
      <c r="E466"/>
    </row>
    <row r="467" spans="1:5">
      <c r="A467" s="7" t="s">
        <v>382</v>
      </c>
      <c r="B467" s="696">
        <v>0</v>
      </c>
      <c r="C467" s="696"/>
      <c r="D467" s="695">
        <v>0</v>
      </c>
      <c r="E467"/>
    </row>
    <row r="470" spans="1:5" ht="16.5" thickBot="1">
      <c r="A470" s="36" t="s">
        <v>484</v>
      </c>
      <c r="B470" s="702"/>
      <c r="C470" s="702"/>
      <c r="D470" s="690"/>
      <c r="E470"/>
    </row>
    <row r="471" spans="1:5">
      <c r="A471" s="5" t="s">
        <v>334</v>
      </c>
      <c r="B471" s="694"/>
      <c r="C471" s="694"/>
    </row>
    <row r="472" spans="1:5">
      <c r="A472" s="4" t="s">
        <v>326</v>
      </c>
      <c r="B472" s="696">
        <v>0</v>
      </c>
      <c r="C472" s="696"/>
      <c r="D472" s="696">
        <v>0</v>
      </c>
      <c r="E472" s="696"/>
    </row>
    <row r="473" spans="1:5">
      <c r="A473" s="4" t="s">
        <v>327</v>
      </c>
      <c r="B473" s="696">
        <v>0</v>
      </c>
      <c r="C473" s="696"/>
      <c r="D473" s="696">
        <v>0</v>
      </c>
      <c r="E473" s="696"/>
    </row>
    <row r="474" spans="1:5">
      <c r="A474" s="4" t="s">
        <v>328</v>
      </c>
      <c r="B474" s="696">
        <v>0</v>
      </c>
      <c r="C474" s="696"/>
      <c r="D474" s="696">
        <v>0</v>
      </c>
      <c r="E474" s="696"/>
    </row>
    <row r="475" spans="1:5">
      <c r="A475" s="4" t="s">
        <v>335</v>
      </c>
      <c r="C475" s="696">
        <v>0</v>
      </c>
      <c r="E475" s="696">
        <v>0</v>
      </c>
    </row>
    <row r="476" spans="1:5">
      <c r="A476" s="5"/>
      <c r="B476" s="694"/>
      <c r="C476" s="694"/>
    </row>
    <row r="477" spans="1:5">
      <c r="A477" s="5" t="s">
        <v>336</v>
      </c>
      <c r="B477" s="694"/>
      <c r="C477" s="694"/>
    </row>
    <row r="478" spans="1:5">
      <c r="A478" s="4" t="s">
        <v>326</v>
      </c>
      <c r="B478" s="696">
        <v>0</v>
      </c>
      <c r="C478" s="696"/>
      <c r="D478" s="696">
        <v>0</v>
      </c>
      <c r="E478" s="696"/>
    </row>
    <row r="479" spans="1:5">
      <c r="A479" s="4" t="s">
        <v>327</v>
      </c>
      <c r="B479" s="696">
        <v>0</v>
      </c>
      <c r="C479" s="696"/>
      <c r="D479" s="696">
        <v>0</v>
      </c>
      <c r="E479" s="696"/>
    </row>
    <row r="480" spans="1:5">
      <c r="A480" s="4" t="s">
        <v>328</v>
      </c>
      <c r="B480" s="696">
        <v>0</v>
      </c>
      <c r="C480" s="696"/>
      <c r="D480" s="696">
        <v>0</v>
      </c>
      <c r="E480" s="696"/>
    </row>
    <row r="481" spans="1:5">
      <c r="A481" s="4" t="s">
        <v>337</v>
      </c>
      <c r="C481" s="696">
        <v>0</v>
      </c>
      <c r="E481" s="696">
        <v>0</v>
      </c>
    </row>
    <row r="482" spans="1:5">
      <c r="A482" s="5"/>
      <c r="B482" s="694"/>
      <c r="C482" s="694"/>
    </row>
    <row r="483" spans="1:5">
      <c r="A483" s="5" t="s">
        <v>338</v>
      </c>
      <c r="B483" s="694"/>
      <c r="C483" s="694"/>
    </row>
    <row r="484" spans="1:5">
      <c r="A484" s="4" t="s">
        <v>326</v>
      </c>
      <c r="B484" s="696">
        <v>0</v>
      </c>
      <c r="C484" s="696"/>
      <c r="D484" s="696">
        <v>0</v>
      </c>
      <c r="E484" s="696"/>
    </row>
    <row r="485" spans="1:5">
      <c r="A485" s="4" t="s">
        <v>327</v>
      </c>
      <c r="B485" s="715">
        <f>TB_ANNX!C249</f>
        <v>0</v>
      </c>
      <c r="C485" s="715"/>
      <c r="D485" s="715">
        <f>TB_ANNX!D249</f>
        <v>0</v>
      </c>
      <c r="E485" s="696"/>
    </row>
    <row r="486" spans="1:5">
      <c r="A486" s="4" t="s">
        <v>328</v>
      </c>
      <c r="B486" s="696">
        <v>0</v>
      </c>
      <c r="C486" s="696"/>
      <c r="D486" s="696">
        <v>0</v>
      </c>
      <c r="E486" s="696"/>
    </row>
    <row r="487" spans="1:5">
      <c r="A487" s="4" t="s">
        <v>339</v>
      </c>
      <c r="C487" s="696">
        <v>0</v>
      </c>
      <c r="E487" s="696">
        <v>0</v>
      </c>
    </row>
    <row r="488" spans="1:5">
      <c r="A488" s="5"/>
      <c r="B488" s="694"/>
      <c r="C488" s="694"/>
    </row>
    <row r="489" spans="1:5">
      <c r="A489" s="5" t="s">
        <v>340</v>
      </c>
      <c r="B489" s="694"/>
      <c r="C489" s="694"/>
    </row>
    <row r="490" spans="1:5">
      <c r="A490" s="4" t="s">
        <v>326</v>
      </c>
      <c r="B490" s="696">
        <v>0</v>
      </c>
      <c r="C490" s="696"/>
      <c r="D490" s="696">
        <v>0</v>
      </c>
      <c r="E490" s="696"/>
    </row>
    <row r="491" spans="1:5">
      <c r="A491" s="4" t="s">
        <v>327</v>
      </c>
      <c r="B491" s="696">
        <v>0</v>
      </c>
      <c r="C491" s="696"/>
      <c r="D491" s="696">
        <v>0</v>
      </c>
      <c r="E491" s="696"/>
    </row>
    <row r="492" spans="1:5">
      <c r="A492" s="4" t="s">
        <v>328</v>
      </c>
      <c r="B492" s="696">
        <v>0</v>
      </c>
      <c r="C492" s="696"/>
      <c r="D492" s="696">
        <v>0</v>
      </c>
      <c r="E492" s="696"/>
    </row>
    <row r="493" spans="1:5">
      <c r="A493" s="4" t="s">
        <v>341</v>
      </c>
      <c r="C493" s="696">
        <v>0</v>
      </c>
      <c r="E493" s="696">
        <v>0</v>
      </c>
    </row>
    <row r="494" spans="1:5">
      <c r="A494" s="5"/>
      <c r="B494" s="694"/>
      <c r="C494" s="694"/>
    </row>
    <row r="495" spans="1:5">
      <c r="A495" s="5" t="s">
        <v>384</v>
      </c>
      <c r="B495" s="694"/>
      <c r="C495" s="694"/>
    </row>
    <row r="496" spans="1:5">
      <c r="A496" s="4" t="s">
        <v>326</v>
      </c>
      <c r="B496" s="696">
        <v>0</v>
      </c>
      <c r="C496" s="696"/>
      <c r="D496" s="695">
        <v>0</v>
      </c>
    </row>
    <row r="497" spans="1:5">
      <c r="A497" s="4" t="s">
        <v>327</v>
      </c>
      <c r="B497" s="715">
        <f>TB_ANNX!C257</f>
        <v>0</v>
      </c>
      <c r="C497" s="715"/>
      <c r="D497" s="715">
        <f>TB_ANNX!D257</f>
        <v>0</v>
      </c>
    </row>
    <row r="498" spans="1:5">
      <c r="A498" s="4" t="s">
        <v>328</v>
      </c>
      <c r="B498" s="696">
        <v>0</v>
      </c>
      <c r="C498" s="696"/>
      <c r="D498" s="695">
        <v>0</v>
      </c>
    </row>
    <row r="499" spans="1:5">
      <c r="A499" s="4" t="s">
        <v>347</v>
      </c>
      <c r="C499" s="696">
        <v>0</v>
      </c>
      <c r="D499" s="696"/>
      <c r="E499" s="695">
        <v>0</v>
      </c>
    </row>
    <row r="502" spans="1:5" ht="16.5" thickBot="1">
      <c r="A502" s="36" t="s">
        <v>485</v>
      </c>
      <c r="B502" s="702"/>
      <c r="C502" s="702"/>
      <c r="D502" s="690"/>
    </row>
    <row r="503" spans="1:5">
      <c r="A503" s="84" t="s">
        <v>386</v>
      </c>
      <c r="B503" s="696">
        <v>0</v>
      </c>
      <c r="C503" s="696"/>
      <c r="D503" s="696">
        <v>0</v>
      </c>
      <c r="E503"/>
    </row>
    <row r="504" spans="1:5">
      <c r="A504" s="85" t="s">
        <v>387</v>
      </c>
      <c r="B504" s="696">
        <v>0</v>
      </c>
      <c r="C504" s="696"/>
      <c r="D504" s="696">
        <v>0</v>
      </c>
      <c r="E504"/>
    </row>
    <row r="505" spans="1:5">
      <c r="A505" s="84" t="s">
        <v>1788</v>
      </c>
      <c r="B505" s="715">
        <f>TB_ANNX!C231</f>
        <v>0</v>
      </c>
      <c r="C505" s="715"/>
      <c r="D505" s="715">
        <f>TB_ANNX!D231</f>
        <v>0</v>
      </c>
      <c r="E505"/>
    </row>
    <row r="506" spans="1:5">
      <c r="A506" s="86" t="s">
        <v>389</v>
      </c>
      <c r="B506" s="696">
        <v>0</v>
      </c>
      <c r="C506" s="696"/>
      <c r="D506" s="696">
        <v>0</v>
      </c>
      <c r="E506"/>
    </row>
    <row r="507" spans="1:5">
      <c r="A507" s="84" t="s">
        <v>390</v>
      </c>
      <c r="B507" s="696">
        <v>0</v>
      </c>
      <c r="C507" s="696"/>
      <c r="D507" s="696">
        <v>0</v>
      </c>
      <c r="E507"/>
    </row>
    <row r="508" spans="1:5">
      <c r="A508" s="87" t="s">
        <v>391</v>
      </c>
      <c r="B508" s="715">
        <f>TB_ANNX!C239</f>
        <v>0</v>
      </c>
      <c r="C508" s="715"/>
      <c r="D508" s="715">
        <f>TB_ANNX!D239</f>
        <v>0</v>
      </c>
      <c r="E508"/>
    </row>
    <row r="509" spans="1:5">
      <c r="A509" s="87" t="s">
        <v>392</v>
      </c>
      <c r="B509" s="696">
        <v>0</v>
      </c>
      <c r="C509" s="696"/>
      <c r="D509" s="696">
        <v>0</v>
      </c>
      <c r="E509"/>
    </row>
    <row r="510" spans="1:5">
      <c r="A510" s="87" t="s">
        <v>393</v>
      </c>
      <c r="B510" s="696">
        <v>0</v>
      </c>
      <c r="C510" s="696"/>
      <c r="D510" s="696">
        <v>0</v>
      </c>
      <c r="E510"/>
    </row>
    <row r="511" spans="1:5">
      <c r="A511" s="85" t="s">
        <v>394</v>
      </c>
      <c r="B511" s="696">
        <v>0</v>
      </c>
      <c r="C511" s="696"/>
      <c r="D511" s="696">
        <v>0</v>
      </c>
      <c r="E511"/>
    </row>
    <row r="512" spans="1:5">
      <c r="A512" s="88" t="s">
        <v>395</v>
      </c>
      <c r="B512" s="715">
        <f>TB_ANNX!C205</f>
        <v>0</v>
      </c>
      <c r="C512" s="715"/>
      <c r="D512" s="715">
        <f>TB_ANNX!D205</f>
        <v>0</v>
      </c>
      <c r="E512"/>
    </row>
    <row r="513" spans="1:5">
      <c r="A513" s="88" t="s">
        <v>396</v>
      </c>
      <c r="B513" s="696">
        <v>0</v>
      </c>
      <c r="C513" s="696"/>
      <c r="D513" s="696">
        <v>0</v>
      </c>
      <c r="E513"/>
    </row>
    <row r="514" spans="1:5">
      <c r="A514" s="88" t="s">
        <v>397</v>
      </c>
      <c r="B514" s="696">
        <v>0</v>
      </c>
      <c r="C514" s="696"/>
      <c r="D514" s="696">
        <v>0</v>
      </c>
      <c r="E514"/>
    </row>
    <row r="515" spans="1:5">
      <c r="A515" s="85" t="s">
        <v>398</v>
      </c>
      <c r="B515" s="696">
        <v>0</v>
      </c>
      <c r="C515" s="696"/>
      <c r="D515" s="696">
        <v>0</v>
      </c>
      <c r="E515"/>
    </row>
    <row r="516" spans="1:5">
      <c r="A516" s="1"/>
      <c r="B516" s="694"/>
      <c r="C516" s="694"/>
      <c r="E516"/>
    </row>
    <row r="519" spans="1:5" ht="16.5" thickBot="1">
      <c r="A519" s="36" t="s">
        <v>486</v>
      </c>
      <c r="B519" s="702"/>
      <c r="C519" s="702"/>
      <c r="D519" s="690"/>
    </row>
    <row r="520" spans="1:5">
      <c r="A520" s="5" t="s">
        <v>77</v>
      </c>
      <c r="B520" s="696"/>
      <c r="C520" s="696"/>
      <c r="D520" s="695"/>
    </row>
    <row r="521" spans="1:5">
      <c r="A521" s="40" t="s">
        <v>89</v>
      </c>
      <c r="C521" s="696">
        <v>0</v>
      </c>
      <c r="D521" s="696"/>
      <c r="E521" s="695">
        <v>0</v>
      </c>
    </row>
    <row r="522" spans="1:5">
      <c r="A522" s="40" t="s">
        <v>90</v>
      </c>
      <c r="C522" s="696">
        <v>0</v>
      </c>
      <c r="D522" s="696"/>
      <c r="E522" s="695">
        <v>0</v>
      </c>
    </row>
    <row r="523" spans="1:5">
      <c r="A523" s="4"/>
      <c r="C523" s="696"/>
      <c r="D523" s="696"/>
      <c r="E523" s="695"/>
    </row>
    <row r="524" spans="1:5">
      <c r="A524" s="5" t="s">
        <v>79</v>
      </c>
      <c r="C524" s="696"/>
      <c r="D524" s="696"/>
      <c r="E524" s="695"/>
    </row>
    <row r="525" spans="1:5">
      <c r="A525" s="40" t="s">
        <v>91</v>
      </c>
      <c r="C525" s="696">
        <v>0</v>
      </c>
      <c r="D525" s="696"/>
      <c r="E525" s="695">
        <v>0</v>
      </c>
    </row>
    <row r="526" spans="1:5">
      <c r="A526" s="4"/>
      <c r="C526" s="697"/>
      <c r="D526" s="697"/>
      <c r="E526" s="698"/>
    </row>
    <row r="527" spans="1:5">
      <c r="A527" s="5" t="s">
        <v>80</v>
      </c>
      <c r="C527" s="696"/>
      <c r="D527" s="696"/>
      <c r="E527" s="695"/>
    </row>
    <row r="528" spans="1:5">
      <c r="A528" s="40" t="s">
        <v>92</v>
      </c>
      <c r="C528" s="696">
        <v>0</v>
      </c>
      <c r="D528" s="696"/>
      <c r="E528" s="695">
        <v>0</v>
      </c>
    </row>
    <row r="529" spans="1:5">
      <c r="A529" s="40"/>
      <c r="C529" s="696"/>
      <c r="D529" s="696"/>
      <c r="E529" s="695"/>
    </row>
    <row r="530" spans="1:5">
      <c r="A530" s="4"/>
      <c r="C530" s="696"/>
      <c r="D530" s="696"/>
      <c r="E530" s="695"/>
    </row>
    <row r="531" spans="1:5">
      <c r="A531" s="5" t="s">
        <v>81</v>
      </c>
      <c r="C531" s="696"/>
      <c r="D531" s="696"/>
      <c r="E531" s="695"/>
    </row>
    <row r="532" spans="1:5">
      <c r="A532" s="40" t="s">
        <v>93</v>
      </c>
      <c r="C532" s="696">
        <v>0</v>
      </c>
      <c r="D532" s="696"/>
      <c r="E532" s="695">
        <v>0</v>
      </c>
    </row>
    <row r="533" spans="1:5">
      <c r="A533" s="40"/>
      <c r="C533" s="696"/>
      <c r="D533" s="696"/>
      <c r="E533" s="695"/>
    </row>
    <row r="534" spans="1:5">
      <c r="A534" s="4"/>
      <c r="C534" s="696"/>
      <c r="D534" s="696"/>
      <c r="E534" s="695"/>
    </row>
    <row r="535" spans="1:5">
      <c r="A535" s="5" t="s">
        <v>82</v>
      </c>
      <c r="C535" s="696"/>
      <c r="D535" s="696"/>
      <c r="E535" s="695"/>
    </row>
    <row r="536" spans="1:5">
      <c r="A536" s="40" t="s">
        <v>47</v>
      </c>
      <c r="C536" s="715">
        <f>TB_ANNX!C214</f>
        <v>0</v>
      </c>
      <c r="D536" s="715"/>
      <c r="E536" s="715">
        <f>TB_ANNX!D214</f>
        <v>0</v>
      </c>
    </row>
    <row r="537" spans="1:5">
      <c r="A537" s="40"/>
      <c r="C537" s="696"/>
      <c r="D537" s="696"/>
      <c r="E537" s="695"/>
    </row>
    <row r="538" spans="1:5">
      <c r="A538" s="4"/>
      <c r="B538" s="696"/>
      <c r="C538" s="696"/>
      <c r="D538" s="695"/>
    </row>
    <row r="539" spans="1:5">
      <c r="A539" s="4" t="s">
        <v>83</v>
      </c>
      <c r="B539" s="696">
        <v>0</v>
      </c>
      <c r="C539" s="696"/>
      <c r="D539" s="696">
        <v>0</v>
      </c>
    </row>
    <row r="540" spans="1:5">
      <c r="A540" s="4" t="s">
        <v>84</v>
      </c>
      <c r="B540" s="696">
        <v>0</v>
      </c>
      <c r="C540" s="696"/>
      <c r="D540" s="696">
        <v>0</v>
      </c>
    </row>
    <row r="541" spans="1:5">
      <c r="A541" s="4" t="s">
        <v>85</v>
      </c>
      <c r="B541" s="696">
        <v>0</v>
      </c>
      <c r="C541" s="696"/>
      <c r="D541" s="696">
        <v>0</v>
      </c>
    </row>
    <row r="542" spans="1:5">
      <c r="A542" s="4" t="s">
        <v>86</v>
      </c>
      <c r="B542" s="696">
        <v>0</v>
      </c>
      <c r="C542" s="696"/>
      <c r="D542" s="696">
        <v>0</v>
      </c>
    </row>
    <row r="543" spans="1:5">
      <c r="A543" s="4" t="s">
        <v>87</v>
      </c>
      <c r="B543" s="696">
        <v>0</v>
      </c>
      <c r="C543" s="696"/>
      <c r="D543" s="696">
        <v>0</v>
      </c>
    </row>
    <row r="544" spans="1:5">
      <c r="A544" s="4" t="s">
        <v>88</v>
      </c>
      <c r="B544" s="696">
        <v>0</v>
      </c>
      <c r="C544" s="696"/>
      <c r="D544" s="696">
        <v>0</v>
      </c>
    </row>
    <row r="545" spans="1:5">
      <c r="B545" s="691" t="s">
        <v>464</v>
      </c>
      <c r="D545" s="691" t="s">
        <v>464</v>
      </c>
    </row>
    <row r="546" spans="1:5">
      <c r="A546" s="2" t="s">
        <v>45</v>
      </c>
      <c r="B546" s="696">
        <v>0</v>
      </c>
      <c r="D546" s="696">
        <v>0</v>
      </c>
    </row>
    <row r="548" spans="1:5" ht="16.5" thickBot="1">
      <c r="A548" s="36" t="s">
        <v>487</v>
      </c>
      <c r="B548" s="697"/>
      <c r="C548" s="697"/>
      <c r="D548" s="698"/>
      <c r="E548" s="698"/>
    </row>
    <row r="549" spans="1:5" ht="15.75">
      <c r="A549" s="129" t="s">
        <v>100</v>
      </c>
      <c r="C549" s="863"/>
      <c r="D549" s="165"/>
      <c r="E549" s="165"/>
    </row>
    <row r="550" spans="1:5" ht="15.75">
      <c r="A550" s="47" t="s">
        <v>684</v>
      </c>
      <c r="C550" s="691">
        <v>0</v>
      </c>
      <c r="D550" s="165"/>
      <c r="E550" s="165">
        <v>0</v>
      </c>
    </row>
    <row r="551" spans="1:5" ht="15.75">
      <c r="A551" s="47" t="s">
        <v>97</v>
      </c>
      <c r="C551" s="691">
        <v>0</v>
      </c>
      <c r="D551" s="165"/>
      <c r="E551" s="165"/>
    </row>
    <row r="552" spans="1:5" ht="15.75">
      <c r="A552" s="47" t="s">
        <v>96</v>
      </c>
      <c r="C552" s="863"/>
      <c r="D552" s="165"/>
      <c r="E552" s="165"/>
    </row>
    <row r="553" spans="1:5" ht="15.75">
      <c r="A553" s="47" t="s">
        <v>1623</v>
      </c>
      <c r="D553" s="165"/>
      <c r="E553" s="165"/>
    </row>
    <row r="554" spans="1:5" ht="15.75">
      <c r="A554" s="47" t="s">
        <v>1624</v>
      </c>
      <c r="D554" s="165"/>
      <c r="E554" s="165"/>
    </row>
    <row r="555" spans="1:5" ht="15.75">
      <c r="A555" s="47" t="s">
        <v>692</v>
      </c>
      <c r="D555" s="165"/>
      <c r="E555" s="165"/>
    </row>
    <row r="556" spans="1:5" ht="15.75">
      <c r="A556" s="47" t="s">
        <v>691</v>
      </c>
      <c r="D556" s="165"/>
      <c r="E556" s="165"/>
    </row>
    <row r="557" spans="1:5" ht="15.75">
      <c r="A557" s="47" t="s">
        <v>1625</v>
      </c>
      <c r="D557" s="165"/>
      <c r="E557" s="165"/>
    </row>
    <row r="558" spans="1:5" ht="15.75">
      <c r="A558" s="47" t="s">
        <v>98</v>
      </c>
      <c r="C558" s="691">
        <v>0</v>
      </c>
      <c r="D558" s="165"/>
      <c r="E558" s="165">
        <v>0</v>
      </c>
    </row>
    <row r="559" spans="1:5" ht="15.75">
      <c r="A559" s="47" t="s">
        <v>99</v>
      </c>
      <c r="C559" s="691">
        <v>0</v>
      </c>
      <c r="D559" s="165"/>
      <c r="E559" s="165">
        <v>0</v>
      </c>
    </row>
    <row r="560" spans="1:5" ht="15.75">
      <c r="A560" s="47" t="s">
        <v>47</v>
      </c>
      <c r="C560" s="691">
        <v>0</v>
      </c>
      <c r="D560" s="165"/>
      <c r="E560" s="165">
        <v>0</v>
      </c>
    </row>
    <row r="561" spans="1:5" ht="15.75">
      <c r="A561" s="47"/>
      <c r="D561" s="165"/>
      <c r="E561" s="165"/>
    </row>
    <row r="562" spans="1:5" ht="16.5" thickBot="1">
      <c r="A562" s="36" t="s">
        <v>488</v>
      </c>
      <c r="B562" s="702"/>
      <c r="C562" s="702"/>
      <c r="D562" s="690"/>
    </row>
    <row r="563" spans="1:5">
      <c r="A563" s="7" t="s">
        <v>101</v>
      </c>
      <c r="B563" s="694"/>
      <c r="C563" s="694"/>
    </row>
    <row r="564" spans="1:5">
      <c r="A564" s="1" t="s">
        <v>102</v>
      </c>
      <c r="B564" s="696">
        <v>0</v>
      </c>
      <c r="C564" s="696"/>
      <c r="D564" s="696">
        <v>0</v>
      </c>
      <c r="E564" s="696"/>
    </row>
    <row r="565" spans="1:5">
      <c r="A565" s="1" t="s">
        <v>103</v>
      </c>
      <c r="B565" s="696">
        <v>0</v>
      </c>
      <c r="C565" s="696"/>
      <c r="D565" s="696">
        <v>0</v>
      </c>
      <c r="E565" s="696"/>
    </row>
    <row r="566" spans="1:5">
      <c r="A566" s="1" t="s">
        <v>104</v>
      </c>
      <c r="B566" s="696">
        <v>0</v>
      </c>
      <c r="C566" s="696"/>
      <c r="D566" s="696">
        <v>0</v>
      </c>
      <c r="E566" s="696"/>
    </row>
    <row r="567" spans="1:5">
      <c r="A567" s="1" t="s">
        <v>105</v>
      </c>
      <c r="C567" s="696">
        <v>0</v>
      </c>
      <c r="E567" s="696">
        <v>0</v>
      </c>
    </row>
    <row r="568" spans="1:5">
      <c r="A568" s="1" t="s">
        <v>106</v>
      </c>
      <c r="C568" s="696">
        <v>0</v>
      </c>
      <c r="E568" s="696">
        <v>0</v>
      </c>
    </row>
    <row r="569" spans="1:5">
      <c r="A569" s="1" t="s">
        <v>107</v>
      </c>
      <c r="C569" s="696">
        <v>0</v>
      </c>
      <c r="E569" s="696">
        <v>0</v>
      </c>
    </row>
    <row r="570" spans="1:5">
      <c r="A570" s="1" t="s">
        <v>108</v>
      </c>
      <c r="C570" s="696">
        <v>0</v>
      </c>
      <c r="E570" s="696">
        <v>0</v>
      </c>
    </row>
    <row r="571" spans="1:5">
      <c r="A571" s="1"/>
      <c r="B571" s="694"/>
      <c r="C571" s="694"/>
      <c r="D571" s="694"/>
      <c r="E571" s="694"/>
    </row>
    <row r="572" spans="1:5">
      <c r="A572" s="7" t="s">
        <v>109</v>
      </c>
      <c r="B572" s="694"/>
      <c r="C572" s="694"/>
      <c r="D572" s="694"/>
      <c r="E572" s="694"/>
    </row>
    <row r="573" spans="1:5">
      <c r="A573" s="1" t="s">
        <v>102</v>
      </c>
      <c r="B573" s="696">
        <v>0</v>
      </c>
      <c r="C573" s="696"/>
      <c r="D573" s="696">
        <v>0</v>
      </c>
      <c r="E573" s="696"/>
    </row>
    <row r="574" spans="1:5">
      <c r="A574" s="1" t="s">
        <v>103</v>
      </c>
      <c r="B574" s="696">
        <v>0</v>
      </c>
      <c r="C574" s="696"/>
      <c r="D574" s="696">
        <v>0</v>
      </c>
      <c r="E574" s="696"/>
    </row>
    <row r="575" spans="1:5">
      <c r="A575" s="1" t="s">
        <v>108</v>
      </c>
      <c r="C575" s="696">
        <v>0</v>
      </c>
      <c r="E575" s="696">
        <v>0</v>
      </c>
    </row>
    <row r="576" spans="1:5">
      <c r="A576" s="1"/>
      <c r="B576" s="697"/>
      <c r="C576" s="697"/>
      <c r="D576" s="697"/>
      <c r="E576" s="697"/>
    </row>
    <row r="577" spans="1:6">
      <c r="A577" s="7" t="s">
        <v>110</v>
      </c>
      <c r="B577" s="694"/>
      <c r="C577" s="694"/>
      <c r="D577" s="694"/>
      <c r="E577" s="694"/>
    </row>
    <row r="578" spans="1:6">
      <c r="A578" s="1" t="s">
        <v>102</v>
      </c>
      <c r="B578" s="696">
        <v>0</v>
      </c>
      <c r="C578" s="696"/>
      <c r="D578" s="696">
        <v>0</v>
      </c>
      <c r="E578" s="696"/>
    </row>
    <row r="579" spans="1:6">
      <c r="A579" s="1" t="s">
        <v>103</v>
      </c>
      <c r="B579" s="696">
        <v>0</v>
      </c>
      <c r="C579" s="696"/>
      <c r="D579" s="696">
        <v>0</v>
      </c>
      <c r="E579" s="696"/>
    </row>
    <row r="580" spans="1:6">
      <c r="A580" s="1" t="s">
        <v>108</v>
      </c>
      <c r="C580" s="696">
        <v>0</v>
      </c>
      <c r="E580" s="696">
        <v>0</v>
      </c>
    </row>
    <row r="581" spans="1:6">
      <c r="A581" s="1"/>
      <c r="B581" s="697"/>
      <c r="C581" s="697"/>
      <c r="D581" s="697"/>
      <c r="E581" s="697"/>
    </row>
    <row r="582" spans="1:6">
      <c r="A582" s="7" t="s">
        <v>111</v>
      </c>
      <c r="B582" s="694"/>
      <c r="C582" s="694"/>
      <c r="D582" s="694"/>
      <c r="E582" s="694"/>
    </row>
    <row r="583" spans="1:6">
      <c r="A583" s="1" t="s">
        <v>102</v>
      </c>
      <c r="B583" s="696">
        <v>0</v>
      </c>
      <c r="C583" s="696"/>
      <c r="D583" s="696">
        <v>0</v>
      </c>
      <c r="E583" s="696"/>
    </row>
    <row r="584" spans="1:6">
      <c r="A584" s="1" t="s">
        <v>103</v>
      </c>
      <c r="B584" s="696">
        <v>0</v>
      </c>
      <c r="C584" s="696"/>
      <c r="D584" s="696">
        <v>0</v>
      </c>
      <c r="E584" s="696"/>
    </row>
    <row r="585" spans="1:6">
      <c r="A585" s="1" t="s">
        <v>108</v>
      </c>
      <c r="C585" s="696">
        <v>0</v>
      </c>
      <c r="E585" s="696">
        <v>0</v>
      </c>
    </row>
    <row r="587" spans="1:6" ht="16.5" thickBot="1">
      <c r="A587" s="36" t="s">
        <v>489</v>
      </c>
    </row>
    <row r="588" spans="1:6" ht="15.75">
      <c r="A588" s="52"/>
    </row>
    <row r="589" spans="1:6">
      <c r="A589" s="1" t="s">
        <v>117</v>
      </c>
      <c r="B589" s="703">
        <v>0</v>
      </c>
      <c r="D589" s="703">
        <v>0</v>
      </c>
      <c r="E589" s="704"/>
      <c r="F589" s="150"/>
    </row>
    <row r="590" spans="1:6">
      <c r="A590" s="1" t="s">
        <v>118</v>
      </c>
      <c r="B590" s="691">
        <v>0</v>
      </c>
      <c r="D590" s="691">
        <v>0</v>
      </c>
    </row>
    <row r="591" spans="1:6" ht="15.75">
      <c r="A591" s="52"/>
    </row>
    <row r="592" spans="1:6">
      <c r="A592" s="7" t="s">
        <v>119</v>
      </c>
      <c r="B592" s="694"/>
      <c r="C592" s="694"/>
    </row>
    <row r="593" spans="1:8">
      <c r="A593" s="1"/>
      <c r="B593" s="702"/>
      <c r="C593" s="702"/>
      <c r="D593" s="690"/>
    </row>
    <row r="594" spans="1:8">
      <c r="A594" s="1" t="s">
        <v>122</v>
      </c>
      <c r="F594" s="89">
        <v>0</v>
      </c>
      <c r="G594" s="89"/>
      <c r="H594" s="90">
        <v>0</v>
      </c>
    </row>
    <row r="595" spans="1:8">
      <c r="A595" s="1"/>
      <c r="F595" s="89"/>
      <c r="G595" s="89"/>
      <c r="H595" s="90"/>
    </row>
    <row r="596" spans="1:8">
      <c r="A596" s="1"/>
      <c r="F596" s="4"/>
      <c r="G596" s="4"/>
      <c r="H596" s="2"/>
    </row>
    <row r="597" spans="1:8">
      <c r="A597" s="7" t="s">
        <v>121</v>
      </c>
      <c r="F597" s="4"/>
      <c r="G597" s="4"/>
      <c r="H597" s="2"/>
    </row>
    <row r="598" spans="1:8">
      <c r="A598" s="1"/>
      <c r="F598" s="6"/>
      <c r="G598" s="6"/>
      <c r="H598" s="16"/>
    </row>
    <row r="599" spans="1:8">
      <c r="A599" s="1" t="s">
        <v>123</v>
      </c>
      <c r="F599" s="89">
        <v>0</v>
      </c>
      <c r="G599" s="89"/>
      <c r="H599" s="90">
        <v>0</v>
      </c>
    </row>
    <row r="600" spans="1:8">
      <c r="A600" s="1"/>
      <c r="B600" s="696"/>
      <c r="C600" s="696"/>
      <c r="D600" s="695"/>
    </row>
    <row r="601" spans="1:8" ht="16.5" thickBot="1">
      <c r="A601" s="36" t="s">
        <v>490</v>
      </c>
      <c r="B601" s="702"/>
      <c r="C601" s="702"/>
      <c r="D601" s="690"/>
    </row>
    <row r="602" spans="1:8">
      <c r="A602" s="7" t="s">
        <v>117</v>
      </c>
      <c r="B602" s="694"/>
      <c r="C602" s="694"/>
    </row>
    <row r="603" spans="1:8">
      <c r="A603" s="1" t="s">
        <v>102</v>
      </c>
      <c r="B603" s="715">
        <f>E604</f>
        <v>0</v>
      </c>
      <c r="C603" s="696"/>
      <c r="D603" s="695">
        <v>0</v>
      </c>
    </row>
    <row r="604" spans="1:8">
      <c r="A604" s="1" t="s">
        <v>108</v>
      </c>
      <c r="C604" s="696">
        <v>0</v>
      </c>
      <c r="D604" s="696"/>
      <c r="E604" s="695">
        <v>0</v>
      </c>
    </row>
    <row r="605" spans="1:8">
      <c r="A605" s="1"/>
      <c r="B605" s="694"/>
      <c r="C605" s="694"/>
    </row>
    <row r="606" spans="1:8">
      <c r="A606" s="7" t="s">
        <v>124</v>
      </c>
      <c r="B606" s="694"/>
      <c r="C606" s="694"/>
    </row>
    <row r="607" spans="1:8">
      <c r="A607" s="1" t="s">
        <v>102</v>
      </c>
      <c r="B607" s="696">
        <v>0</v>
      </c>
      <c r="C607" s="696"/>
      <c r="D607" s="696">
        <v>0</v>
      </c>
      <c r="E607" s="696"/>
    </row>
    <row r="608" spans="1:8">
      <c r="A608" s="1" t="s">
        <v>108</v>
      </c>
      <c r="C608" s="696">
        <v>0</v>
      </c>
      <c r="E608" s="696">
        <v>0</v>
      </c>
    </row>
    <row r="609" spans="1:5">
      <c r="A609" s="1"/>
      <c r="B609" s="694"/>
      <c r="C609" s="694"/>
      <c r="D609" s="694"/>
      <c r="E609" s="694"/>
    </row>
    <row r="610" spans="1:5">
      <c r="A610" s="7" t="s">
        <v>125</v>
      </c>
      <c r="B610" s="694"/>
      <c r="C610" s="694"/>
      <c r="D610" s="694"/>
      <c r="E610" s="694"/>
    </row>
    <row r="611" spans="1:5">
      <c r="A611" s="1" t="s">
        <v>102</v>
      </c>
      <c r="B611" s="696">
        <v>0</v>
      </c>
      <c r="C611" s="696"/>
      <c r="D611" s="696">
        <v>0</v>
      </c>
      <c r="E611" s="696"/>
    </row>
    <row r="612" spans="1:5">
      <c r="A612" s="1" t="s">
        <v>108</v>
      </c>
      <c r="C612" s="696">
        <v>0</v>
      </c>
      <c r="E612" s="696">
        <v>0</v>
      </c>
    </row>
    <row r="613" spans="1:5">
      <c r="A613" s="1"/>
      <c r="B613" s="697"/>
      <c r="C613" s="697"/>
      <c r="D613" s="697"/>
      <c r="E613" s="697"/>
    </row>
    <row r="614" spans="1:5">
      <c r="A614" s="7" t="s">
        <v>126</v>
      </c>
      <c r="B614" s="694"/>
      <c r="C614" s="694"/>
      <c r="D614" s="694"/>
      <c r="E614" s="694"/>
    </row>
    <row r="615" spans="1:5">
      <c r="A615" s="1" t="s">
        <v>102</v>
      </c>
      <c r="B615" s="696">
        <v>0</v>
      </c>
      <c r="C615" s="696"/>
      <c r="D615" s="696">
        <v>0</v>
      </c>
      <c r="E615" s="696"/>
    </row>
    <row r="616" spans="1:5">
      <c r="A616" s="1" t="s">
        <v>108</v>
      </c>
      <c r="C616" s="696">
        <v>0</v>
      </c>
      <c r="E616" s="696">
        <v>0</v>
      </c>
    </row>
    <row r="617" spans="1:5">
      <c r="A617" s="1"/>
      <c r="B617" s="694"/>
      <c r="C617" s="694"/>
    </row>
    <row r="619" spans="1:5" ht="16.5" thickBot="1">
      <c r="A619" s="50" t="s">
        <v>491</v>
      </c>
      <c r="B619" s="702"/>
      <c r="C619" s="702"/>
      <c r="D619" s="690"/>
      <c r="E619"/>
    </row>
    <row r="620" spans="1:5" ht="15.75">
      <c r="A620" s="129" t="s">
        <v>133</v>
      </c>
      <c r="B620" s="165">
        <v>0</v>
      </c>
      <c r="C620" s="165"/>
      <c r="D620" s="165">
        <v>0</v>
      </c>
      <c r="E620"/>
    </row>
    <row r="621" spans="1:5" ht="15.75">
      <c r="A621" s="47" t="s">
        <v>134</v>
      </c>
      <c r="B621" s="165"/>
      <c r="C621" s="165"/>
      <c r="D621" s="165"/>
      <c r="E621"/>
    </row>
    <row r="622" spans="1:5" ht="15.75">
      <c r="A622" s="47" t="s">
        <v>135</v>
      </c>
      <c r="B622" s="165"/>
      <c r="C622" s="165"/>
      <c r="D622" s="165"/>
      <c r="E622"/>
    </row>
    <row r="623" spans="1:5">
      <c r="A623" s="200" t="s">
        <v>664</v>
      </c>
      <c r="B623" s="165"/>
      <c r="C623" s="165"/>
      <c r="D623" s="165"/>
      <c r="E623"/>
    </row>
    <row r="624" spans="1:5">
      <c r="A624" s="200" t="s">
        <v>663</v>
      </c>
      <c r="B624" s="165"/>
      <c r="C624" s="165"/>
      <c r="D624" s="165"/>
      <c r="E624"/>
    </row>
    <row r="625" spans="1:5">
      <c r="A625" s="200" t="s">
        <v>662</v>
      </c>
      <c r="B625" s="165"/>
      <c r="C625" s="165"/>
      <c r="D625" s="165"/>
      <c r="E625"/>
    </row>
    <row r="626" spans="1:5">
      <c r="A626" s="200" t="s">
        <v>661</v>
      </c>
      <c r="B626" s="165"/>
      <c r="C626" s="165"/>
      <c r="D626" s="165"/>
      <c r="E626"/>
    </row>
    <row r="627" spans="1:5">
      <c r="A627" s="200" t="s">
        <v>660</v>
      </c>
      <c r="B627" s="165"/>
      <c r="C627" s="165"/>
      <c r="D627" s="165"/>
      <c r="E627"/>
    </row>
    <row r="628" spans="1:5" ht="25.5">
      <c r="A628" s="638" t="s">
        <v>659</v>
      </c>
      <c r="B628" s="165"/>
      <c r="C628" s="165"/>
      <c r="D628" s="165"/>
      <c r="E628"/>
    </row>
    <row r="629" spans="1:5">
      <c r="A629" s="196" t="s">
        <v>658</v>
      </c>
      <c r="B629" s="165"/>
      <c r="C629" s="165"/>
      <c r="D629" s="165"/>
      <c r="E629"/>
    </row>
    <row r="630" spans="1:5">
      <c r="A630" s="200" t="s">
        <v>657</v>
      </c>
      <c r="B630" s="165"/>
      <c r="C630" s="165"/>
      <c r="D630" s="165"/>
      <c r="E630"/>
    </row>
    <row r="631" spans="1:5">
      <c r="A631" s="200" t="s">
        <v>656</v>
      </c>
      <c r="B631" s="165"/>
      <c r="C631" s="165"/>
      <c r="D631" s="165"/>
      <c r="E631"/>
    </row>
    <row r="632" spans="1:5">
      <c r="A632" s="200" t="s">
        <v>655</v>
      </c>
      <c r="B632" s="165"/>
      <c r="C632" s="165"/>
      <c r="D632" s="165"/>
      <c r="E632"/>
    </row>
    <row r="633" spans="1:5" ht="26.25">
      <c r="A633" s="211" t="s">
        <v>654</v>
      </c>
      <c r="B633" s="165"/>
      <c r="C633" s="165"/>
      <c r="D633" s="165"/>
      <c r="E633"/>
    </row>
    <row r="634" spans="1:5" ht="15.75">
      <c r="A634" s="47" t="s">
        <v>136</v>
      </c>
      <c r="B634" s="165"/>
      <c r="C634" s="165"/>
      <c r="D634" s="165"/>
      <c r="E634"/>
    </row>
    <row r="635" spans="1:5" ht="15.75">
      <c r="A635" s="47" t="s">
        <v>137</v>
      </c>
      <c r="B635" s="165"/>
      <c r="C635" s="165"/>
      <c r="D635" s="165"/>
      <c r="E635"/>
    </row>
    <row r="636" spans="1:5" ht="15.75">
      <c r="A636" s="47" t="s">
        <v>138</v>
      </c>
      <c r="B636" s="165"/>
      <c r="C636" s="165"/>
      <c r="D636" s="165"/>
      <c r="E636"/>
    </row>
    <row r="639" spans="1:5" ht="16.5" thickBot="1">
      <c r="A639" s="36" t="s">
        <v>492</v>
      </c>
      <c r="B639" s="702"/>
      <c r="C639" s="702"/>
      <c r="D639" s="690"/>
    </row>
    <row r="640" spans="1:5" ht="15.75">
      <c r="A640" s="52"/>
      <c r="B640" s="702"/>
      <c r="C640" s="702"/>
      <c r="D640" s="690"/>
    </row>
    <row r="641" spans="1:5">
      <c r="A641" s="53" t="s">
        <v>139</v>
      </c>
      <c r="B641" s="165">
        <v>0</v>
      </c>
      <c r="C641" s="165"/>
      <c r="D641" s="165">
        <v>0</v>
      </c>
    </row>
    <row r="642" spans="1:5">
      <c r="A642" s="53" t="s">
        <v>140</v>
      </c>
      <c r="B642" s="165"/>
      <c r="C642" s="165"/>
      <c r="D642" s="165"/>
    </row>
    <row r="643" spans="1:5">
      <c r="A643" s="53" t="s">
        <v>141</v>
      </c>
      <c r="B643" s="165"/>
      <c r="C643" s="165"/>
      <c r="D643" s="165"/>
    </row>
    <row r="644" spans="1:5">
      <c r="A644" s="53" t="s">
        <v>142</v>
      </c>
      <c r="B644" s="165"/>
      <c r="C644" s="165"/>
      <c r="D644" s="165"/>
    </row>
    <row r="645" spans="1:5">
      <c r="A645" s="53" t="s">
        <v>1618</v>
      </c>
      <c r="B645" s="863">
        <v>0</v>
      </c>
      <c r="C645" s="165"/>
      <c r="D645" s="165">
        <v>0</v>
      </c>
      <c r="E645" s="165"/>
    </row>
    <row r="646" spans="1:5">
      <c r="A646" s="1"/>
      <c r="B646" s="696"/>
      <c r="C646" s="696"/>
      <c r="D646" s="695"/>
    </row>
    <row r="647" spans="1:5">
      <c r="A647" s="2" t="s">
        <v>54</v>
      </c>
      <c r="B647" s="705">
        <f>'29'!F10</f>
        <v>0</v>
      </c>
      <c r="C647" s="705"/>
      <c r="D647" s="705">
        <f>'29'!G10</f>
        <v>0</v>
      </c>
    </row>
    <row r="649" spans="1:5" ht="16.5" thickBot="1">
      <c r="A649" s="36" t="s">
        <v>493</v>
      </c>
      <c r="B649" s="702"/>
      <c r="C649" s="702"/>
      <c r="D649" s="690"/>
    </row>
    <row r="650" spans="1:5">
      <c r="A650" s="5"/>
      <c r="B650" s="696"/>
      <c r="C650" s="696"/>
      <c r="D650" s="695"/>
    </row>
    <row r="651" spans="1:5">
      <c r="A651" s="640" t="s">
        <v>145</v>
      </c>
      <c r="B651" s="696"/>
      <c r="C651" s="696"/>
      <c r="D651" s="695"/>
    </row>
    <row r="652" spans="1:5">
      <c r="A652" s="641" t="s">
        <v>1628</v>
      </c>
      <c r="B652" s="696">
        <v>0</v>
      </c>
      <c r="D652" s="696">
        <v>0</v>
      </c>
    </row>
    <row r="653" spans="1:5">
      <c r="A653" s="683" t="s">
        <v>148</v>
      </c>
      <c r="B653" s="696"/>
      <c r="D653" s="696"/>
      <c r="E653"/>
    </row>
    <row r="654" spans="1:5">
      <c r="A654" s="684" t="s">
        <v>149</v>
      </c>
      <c r="B654" s="696"/>
      <c r="D654" s="696"/>
      <c r="E654"/>
    </row>
    <row r="655" spans="1:5">
      <c r="A655" s="684" t="s">
        <v>109</v>
      </c>
      <c r="B655" s="696"/>
      <c r="D655" s="696"/>
      <c r="E655"/>
    </row>
    <row r="656" spans="1:5">
      <c r="A656" s="684" t="s">
        <v>150</v>
      </c>
      <c r="B656" s="696"/>
      <c r="D656" s="696"/>
      <c r="E656"/>
    </row>
    <row r="657" spans="1:5">
      <c r="A657" s="684" t="s">
        <v>151</v>
      </c>
      <c r="B657" s="696"/>
      <c r="D657" s="696"/>
      <c r="E657"/>
    </row>
    <row r="658" spans="1:5">
      <c r="A658" s="684" t="s">
        <v>152</v>
      </c>
      <c r="B658" s="696"/>
      <c r="D658" s="696"/>
      <c r="E658"/>
    </row>
    <row r="659" spans="1:5">
      <c r="A659" s="641" t="s">
        <v>1622</v>
      </c>
      <c r="B659" s="863">
        <v>0</v>
      </c>
      <c r="D659" s="696">
        <v>0</v>
      </c>
      <c r="E659"/>
    </row>
    <row r="660" spans="1:5">
      <c r="A660" s="641" t="s">
        <v>153</v>
      </c>
      <c r="B660" s="696"/>
      <c r="D660" s="696"/>
      <c r="E660"/>
    </row>
    <row r="661" spans="1:5">
      <c r="A661" s="641" t="s">
        <v>1637</v>
      </c>
      <c r="B661" s="696"/>
      <c r="D661" s="696"/>
      <c r="E661"/>
    </row>
    <row r="662" spans="1:5">
      <c r="A662" s="639"/>
      <c r="B662" s="696"/>
      <c r="D662" s="696"/>
      <c r="E662"/>
    </row>
    <row r="663" spans="1:5">
      <c r="A663" s="642"/>
      <c r="B663" s="696"/>
      <c r="D663" s="696"/>
      <c r="E663"/>
    </row>
    <row r="664" spans="1:5">
      <c r="A664" s="640" t="s">
        <v>146</v>
      </c>
      <c r="B664" s="696"/>
      <c r="D664" s="696"/>
      <c r="E664"/>
    </row>
    <row r="665" spans="1:5">
      <c r="A665" s="639" t="s">
        <v>154</v>
      </c>
      <c r="B665" s="696"/>
      <c r="D665" s="696"/>
      <c r="E665"/>
    </row>
    <row r="666" spans="1:5">
      <c r="A666" s="642"/>
      <c r="B666" s="696"/>
      <c r="D666" s="696"/>
      <c r="E666"/>
    </row>
    <row r="667" spans="1:5">
      <c r="A667" s="640" t="s">
        <v>147</v>
      </c>
      <c r="B667" s="696"/>
      <c r="D667" s="696"/>
      <c r="E667"/>
    </row>
    <row r="668" spans="1:5">
      <c r="A668" s="643" t="s">
        <v>1643</v>
      </c>
      <c r="B668" s="696">
        <v>0</v>
      </c>
      <c r="D668" s="696">
        <v>0</v>
      </c>
      <c r="E668"/>
    </row>
    <row r="669" spans="1:5">
      <c r="A669" s="643" t="s">
        <v>1644</v>
      </c>
      <c r="B669" s="696">
        <v>0</v>
      </c>
      <c r="D669" s="696">
        <v>0</v>
      </c>
      <c r="E669"/>
    </row>
    <row r="670" spans="1:5">
      <c r="A670" s="643" t="s">
        <v>1645</v>
      </c>
      <c r="B670" s="696"/>
      <c r="D670" s="696"/>
      <c r="E670"/>
    </row>
    <row r="671" spans="1:5">
      <c r="A671" s="643" t="s">
        <v>1646</v>
      </c>
      <c r="B671" s="696"/>
      <c r="D671" s="696"/>
      <c r="E671"/>
    </row>
    <row r="672" spans="1:5">
      <c r="A672" s="643" t="s">
        <v>1647</v>
      </c>
      <c r="B672" s="696"/>
      <c r="D672" s="696"/>
      <c r="E672"/>
    </row>
    <row r="673" spans="1:5">
      <c r="A673" s="643" t="s">
        <v>1648</v>
      </c>
      <c r="B673" s="696"/>
      <c r="D673" s="696"/>
      <c r="E673"/>
    </row>
    <row r="674" spans="1:5">
      <c r="A674" s="642"/>
      <c r="B674" s="696"/>
      <c r="D674" s="696"/>
      <c r="E674"/>
    </row>
    <row r="675" spans="1:5">
      <c r="A675" s="640" t="s">
        <v>1619</v>
      </c>
      <c r="B675" s="696"/>
      <c r="D675" s="696"/>
      <c r="E675"/>
    </row>
    <row r="676" spans="1:5">
      <c r="A676" s="644" t="s">
        <v>653</v>
      </c>
      <c r="B676" s="696"/>
      <c r="D676" s="696"/>
      <c r="E676"/>
    </row>
    <row r="677" spans="1:5">
      <c r="A677" s="644" t="s">
        <v>687</v>
      </c>
      <c r="B677" s="696"/>
      <c r="D677" s="696"/>
      <c r="E677"/>
    </row>
    <row r="678" spans="1:5">
      <c r="A678" s="639" t="s">
        <v>1621</v>
      </c>
      <c r="B678" s="696"/>
      <c r="D678" s="696"/>
      <c r="E678"/>
    </row>
    <row r="679" spans="1:5">
      <c r="A679" s="642"/>
      <c r="B679" s="696"/>
      <c r="D679" s="696"/>
      <c r="E679"/>
    </row>
    <row r="680" spans="1:5">
      <c r="A680" s="640" t="s">
        <v>1620</v>
      </c>
      <c r="B680" s="696"/>
      <c r="D680" s="696"/>
      <c r="E680"/>
    </row>
    <row r="681" spans="1:5">
      <c r="A681" s="57" t="s">
        <v>1636</v>
      </c>
      <c r="B681" s="696"/>
      <c r="D681" s="696"/>
      <c r="E681"/>
    </row>
    <row r="682" spans="1:5">
      <c r="A682" s="639" t="s">
        <v>1629</v>
      </c>
      <c r="B682" s="696"/>
      <c r="D682" s="696"/>
      <c r="E682"/>
    </row>
    <row r="683" spans="1:5">
      <c r="A683" s="639" t="s">
        <v>1630</v>
      </c>
      <c r="B683" s="696"/>
      <c r="D683" s="696"/>
      <c r="E683"/>
    </row>
    <row r="684" spans="1:5">
      <c r="A684" s="639" t="s">
        <v>1631</v>
      </c>
      <c r="B684" s="696"/>
      <c r="D684" s="696"/>
      <c r="E684"/>
    </row>
    <row r="685" spans="1:5">
      <c r="A685" s="639" t="s">
        <v>1632</v>
      </c>
      <c r="B685" s="696"/>
      <c r="D685" s="696"/>
      <c r="E685"/>
    </row>
    <row r="686" spans="1:5">
      <c r="A686" s="639" t="s">
        <v>1633</v>
      </c>
      <c r="B686" s="696"/>
      <c r="D686" s="696"/>
      <c r="E686"/>
    </row>
    <row r="687" spans="1:5">
      <c r="A687" s="639" t="s">
        <v>1634</v>
      </c>
      <c r="B687" s="696"/>
      <c r="D687" s="696"/>
      <c r="E687"/>
    </row>
    <row r="688" spans="1:5">
      <c r="A688" s="639" t="s">
        <v>1635</v>
      </c>
      <c r="B688" s="696"/>
      <c r="D688" s="696"/>
      <c r="E688"/>
    </row>
    <row r="689" spans="1:5">
      <c r="A689" s="644" t="s">
        <v>665</v>
      </c>
      <c r="B689" s="696">
        <v>0</v>
      </c>
      <c r="D689" s="696">
        <v>0</v>
      </c>
      <c r="E689"/>
    </row>
    <row r="690" spans="1:5">
      <c r="A690" s="645" t="s">
        <v>676</v>
      </c>
      <c r="B690" s="696"/>
      <c r="D690" s="696"/>
      <c r="E690"/>
    </row>
    <row r="691" spans="1:5">
      <c r="A691" s="644" t="s">
        <v>675</v>
      </c>
      <c r="B691" s="696"/>
      <c r="D691" s="696"/>
      <c r="E691"/>
    </row>
    <row r="692" spans="1:5">
      <c r="A692" s="644" t="s">
        <v>674</v>
      </c>
      <c r="B692" s="696"/>
      <c r="D692" s="696"/>
      <c r="E692"/>
    </row>
    <row r="693" spans="1:5">
      <c r="A693" s="644" t="s">
        <v>673</v>
      </c>
      <c r="B693" s="696"/>
      <c r="D693" s="696"/>
      <c r="E693"/>
    </row>
    <row r="694" spans="1:5">
      <c r="A694" s="644" t="s">
        <v>1627</v>
      </c>
      <c r="B694" s="863">
        <v>0</v>
      </c>
      <c r="D694" s="696">
        <v>0</v>
      </c>
      <c r="E694"/>
    </row>
    <row r="695" spans="1:5">
      <c r="A695" s="642" t="s">
        <v>1626</v>
      </c>
      <c r="B695" s="696">
        <v>0</v>
      </c>
      <c r="D695" s="696">
        <v>0</v>
      </c>
      <c r="E695"/>
    </row>
    <row r="696" spans="1:5">
      <c r="A696" s="644" t="s">
        <v>619</v>
      </c>
      <c r="B696" s="696"/>
      <c r="D696" s="696"/>
      <c r="E696"/>
    </row>
    <row r="697" spans="1:5">
      <c r="A697" s="644" t="s">
        <v>678</v>
      </c>
      <c r="B697" s="696"/>
      <c r="D697" s="696"/>
      <c r="E697"/>
    </row>
    <row r="698" spans="1:5">
      <c r="A698" s="644" t="s">
        <v>683</v>
      </c>
      <c r="B698" s="696"/>
      <c r="D698" s="696"/>
      <c r="E698"/>
    </row>
    <row r="699" spans="1:5">
      <c r="A699" s="644" t="s">
        <v>677</v>
      </c>
      <c r="B699" s="696"/>
      <c r="D699" s="696"/>
      <c r="E699"/>
    </row>
    <row r="700" spans="1:5">
      <c r="A700" s="644" t="s">
        <v>649</v>
      </c>
      <c r="B700" s="696"/>
      <c r="D700" s="696"/>
      <c r="E700"/>
    </row>
    <row r="701" spans="1:5">
      <c r="A701" s="644" t="s">
        <v>620</v>
      </c>
      <c r="B701" s="696"/>
      <c r="D701" s="696">
        <v>0</v>
      </c>
      <c r="E701"/>
    </row>
    <row r="702" spans="1:5">
      <c r="A702" s="644" t="s">
        <v>650</v>
      </c>
      <c r="B702" s="863">
        <v>0</v>
      </c>
      <c r="D702" s="696">
        <v>0</v>
      </c>
      <c r="E702"/>
    </row>
    <row r="703" spans="1:5">
      <c r="A703" s="644" t="s">
        <v>679</v>
      </c>
      <c r="B703" s="696"/>
      <c r="D703" s="696"/>
      <c r="E703"/>
    </row>
    <row r="704" spans="1:5">
      <c r="A704" s="644" t="s">
        <v>686</v>
      </c>
      <c r="B704" s="696"/>
      <c r="D704" s="696"/>
      <c r="E704"/>
    </row>
    <row r="705" spans="1:5">
      <c r="A705" s="644" t="s">
        <v>681</v>
      </c>
      <c r="B705" s="696"/>
      <c r="D705" s="696">
        <v>0</v>
      </c>
      <c r="E705"/>
    </row>
    <row r="706" spans="1:5">
      <c r="A706" s="644" t="s">
        <v>651</v>
      </c>
      <c r="B706" s="696"/>
      <c r="D706" s="696"/>
      <c r="E706"/>
    </row>
    <row r="707" spans="1:5">
      <c r="A707" s="644" t="s">
        <v>680</v>
      </c>
      <c r="B707" s="696"/>
      <c r="D707" s="696"/>
      <c r="E707"/>
    </row>
    <row r="708" spans="1:5">
      <c r="A708" s="644" t="s">
        <v>682</v>
      </c>
      <c r="B708" s="696"/>
      <c r="D708" s="696"/>
      <c r="E708"/>
    </row>
    <row r="709" spans="1:5" ht="30">
      <c r="A709" s="646" t="s">
        <v>672</v>
      </c>
      <c r="B709" s="696"/>
      <c r="D709" s="696"/>
      <c r="E709"/>
    </row>
    <row r="710" spans="1:5">
      <c r="A710" s="647" t="s">
        <v>671</v>
      </c>
      <c r="B710" s="696"/>
      <c r="D710" s="696"/>
      <c r="E710"/>
    </row>
    <row r="711" spans="1:5">
      <c r="A711" s="647" t="s">
        <v>670</v>
      </c>
      <c r="B711" s="696"/>
      <c r="D711" s="696"/>
      <c r="E711"/>
    </row>
    <row r="712" spans="1:5">
      <c r="A712" s="647" t="s">
        <v>669</v>
      </c>
      <c r="B712" s="696"/>
      <c r="D712" s="696"/>
      <c r="E712"/>
    </row>
    <row r="713" spans="1:5">
      <c r="A713" s="647" t="s">
        <v>668</v>
      </c>
      <c r="B713" s="696"/>
      <c r="D713" s="696"/>
      <c r="E713"/>
    </row>
    <row r="714" spans="1:5">
      <c r="A714" s="647" t="s">
        <v>667</v>
      </c>
      <c r="B714" s="863">
        <v>0</v>
      </c>
      <c r="D714" s="696">
        <v>0</v>
      </c>
      <c r="E714"/>
    </row>
    <row r="715" spans="1:5">
      <c r="A715" s="644" t="s">
        <v>626</v>
      </c>
      <c r="B715" s="696"/>
      <c r="D715" s="696"/>
      <c r="E715"/>
    </row>
    <row r="716" spans="1:5">
      <c r="A716" s="644" t="s">
        <v>625</v>
      </c>
      <c r="B716" s="696"/>
      <c r="D716" s="696"/>
      <c r="E716"/>
    </row>
    <row r="717" spans="1:5">
      <c r="A717" s="644" t="s">
        <v>699</v>
      </c>
      <c r="B717" s="696"/>
      <c r="D717" s="696"/>
      <c r="E717"/>
    </row>
    <row r="718" spans="1:5">
      <c r="A718" s="4"/>
      <c r="B718" s="696"/>
      <c r="D718" s="696"/>
      <c r="E718"/>
    </row>
    <row r="719" spans="1:5">
      <c r="A719" s="648" t="s">
        <v>55</v>
      </c>
      <c r="B719" s="696"/>
      <c r="D719" s="696"/>
      <c r="E719"/>
    </row>
    <row r="720" spans="1:5">
      <c r="A720" s="4" t="s">
        <v>647</v>
      </c>
      <c r="B720" s="696"/>
      <c r="D720" s="696"/>
      <c r="E720"/>
    </row>
    <row r="721" spans="1:5">
      <c r="A721" s="4" t="s">
        <v>638</v>
      </c>
      <c r="B721" s="696"/>
      <c r="D721" s="696"/>
      <c r="E721"/>
    </row>
    <row r="722" spans="1:5">
      <c r="A722" s="4" t="s">
        <v>648</v>
      </c>
      <c r="B722" s="696"/>
      <c r="D722" s="696"/>
      <c r="E722"/>
    </row>
    <row r="723" spans="1:5">
      <c r="A723" s="4" t="s">
        <v>646</v>
      </c>
      <c r="B723" s="696"/>
      <c r="D723" s="696">
        <v>0</v>
      </c>
      <c r="E723"/>
    </row>
    <row r="724" spans="1:5">
      <c r="A724" s="4" t="s">
        <v>685</v>
      </c>
      <c r="B724" s="696"/>
      <c r="D724" s="697"/>
      <c r="E724"/>
    </row>
    <row r="725" spans="1:5">
      <c r="A725" s="4" t="s">
        <v>1638</v>
      </c>
      <c r="B725" s="696"/>
      <c r="D725" s="696">
        <v>0</v>
      </c>
      <c r="E725"/>
    </row>
    <row r="726" spans="1:5">
      <c r="A726" s="4" t="s">
        <v>645</v>
      </c>
      <c r="B726" s="696"/>
      <c r="D726" s="696"/>
      <c r="E726"/>
    </row>
    <row r="727" spans="1:5">
      <c r="A727" s="4" t="s">
        <v>637</v>
      </c>
      <c r="B727" s="863">
        <v>0</v>
      </c>
      <c r="D727" s="696">
        <v>0</v>
      </c>
      <c r="E727"/>
    </row>
    <row r="728" spans="1:5">
      <c r="A728" s="4" t="s">
        <v>618</v>
      </c>
      <c r="B728" s="696">
        <v>0</v>
      </c>
      <c r="D728" s="696">
        <v>0</v>
      </c>
      <c r="E728"/>
    </row>
    <row r="729" spans="1:5">
      <c r="A729" s="720" t="s">
        <v>621</v>
      </c>
      <c r="B729" s="863">
        <v>0</v>
      </c>
      <c r="C729" s="722"/>
      <c r="D729" s="721">
        <v>0</v>
      </c>
      <c r="E729"/>
    </row>
    <row r="730" spans="1:5">
      <c r="A730" s="4" t="s">
        <v>644</v>
      </c>
      <c r="B730" s="696"/>
      <c r="D730" s="696"/>
      <c r="E730"/>
    </row>
    <row r="731" spans="1:5">
      <c r="A731" s="4" t="s">
        <v>627</v>
      </c>
      <c r="B731" s="696"/>
      <c r="D731" s="696"/>
      <c r="E731"/>
    </row>
    <row r="732" spans="1:5">
      <c r="A732" s="4" t="s">
        <v>643</v>
      </c>
      <c r="B732" s="863">
        <v>0</v>
      </c>
      <c r="D732" s="696">
        <v>0</v>
      </c>
      <c r="E732"/>
    </row>
    <row r="733" spans="1:5">
      <c r="A733" s="4" t="s">
        <v>1819</v>
      </c>
      <c r="B733" s="696">
        <v>0</v>
      </c>
      <c r="D733" s="696">
        <v>0</v>
      </c>
      <c r="E733"/>
    </row>
    <row r="734" spans="1:5">
      <c r="A734" s="720" t="s">
        <v>1820</v>
      </c>
      <c r="B734" s="721">
        <v>0</v>
      </c>
      <c r="C734" s="722"/>
      <c r="D734" s="721"/>
      <c r="E734"/>
    </row>
    <row r="735" spans="1:5">
      <c r="A735" s="720" t="s">
        <v>642</v>
      </c>
      <c r="B735" s="721"/>
      <c r="C735" s="722"/>
      <c r="D735" s="721"/>
      <c r="E735"/>
    </row>
    <row r="736" spans="1:5">
      <c r="A736" s="4" t="s">
        <v>1641</v>
      </c>
      <c r="B736" s="696"/>
      <c r="D736" s="696"/>
      <c r="E736"/>
    </row>
    <row r="737" spans="1:5">
      <c r="A737" s="4" t="s">
        <v>639</v>
      </c>
      <c r="B737" s="696"/>
      <c r="D737" s="696"/>
      <c r="E737"/>
    </row>
    <row r="738" spans="1:5">
      <c r="A738" s="4" t="s">
        <v>615</v>
      </c>
      <c r="B738" s="696">
        <v>0</v>
      </c>
      <c r="D738" s="696"/>
      <c r="E738"/>
    </row>
    <row r="739" spans="1:5">
      <c r="A739" s="4" t="s">
        <v>617</v>
      </c>
      <c r="B739" s="863">
        <v>0</v>
      </c>
      <c r="D739" s="696"/>
      <c r="E739"/>
    </row>
    <row r="740" spans="1:5">
      <c r="A740" s="4" t="s">
        <v>1642</v>
      </c>
      <c r="B740" s="696"/>
      <c r="D740" s="696"/>
      <c r="E740"/>
    </row>
    <row r="741" spans="1:5">
      <c r="A741" s="720" t="s">
        <v>1668</v>
      </c>
      <c r="B741" s="886"/>
      <c r="C741" s="722"/>
      <c r="D741" s="721"/>
      <c r="E741"/>
    </row>
    <row r="742" spans="1:5">
      <c r="A742" s="4" t="s">
        <v>616</v>
      </c>
      <c r="B742" s="696"/>
      <c r="D742" s="696"/>
      <c r="E742"/>
    </row>
    <row r="743" spans="1:5">
      <c r="A743" s="4" t="s">
        <v>636</v>
      </c>
      <c r="B743" s="696"/>
      <c r="D743" s="696"/>
      <c r="E743"/>
    </row>
    <row r="744" spans="1:5">
      <c r="A744" s="4" t="s">
        <v>614</v>
      </c>
      <c r="B744" s="696"/>
      <c r="D744" s="696"/>
      <c r="E744"/>
    </row>
    <row r="745" spans="1:5">
      <c r="A745" s="4" t="s">
        <v>666</v>
      </c>
      <c r="B745" s="696"/>
      <c r="D745" s="696"/>
      <c r="E745"/>
    </row>
    <row r="746" spans="1:5">
      <c r="A746" s="4" t="s">
        <v>652</v>
      </c>
      <c r="B746" s="696"/>
      <c r="D746" s="696"/>
      <c r="E746"/>
    </row>
    <row r="747" spans="1:5">
      <c r="A747" s="4" t="s">
        <v>635</v>
      </c>
      <c r="B747" s="696"/>
      <c r="D747" s="696"/>
      <c r="E747"/>
    </row>
    <row r="748" spans="1:5">
      <c r="A748" s="4" t="s">
        <v>628</v>
      </c>
      <c r="B748" s="696"/>
      <c r="D748" s="696"/>
      <c r="E748"/>
    </row>
    <row r="749" spans="1:5">
      <c r="A749" s="4" t="s">
        <v>634</v>
      </c>
      <c r="B749" s="863"/>
      <c r="D749" s="696"/>
    </row>
    <row r="750" spans="1:5">
      <c r="A750" s="4" t="s">
        <v>630</v>
      </c>
      <c r="B750" s="696"/>
      <c r="D750" s="696"/>
    </row>
    <row r="751" spans="1:5">
      <c r="A751" s="4" t="s">
        <v>629</v>
      </c>
      <c r="B751" s="696"/>
      <c r="D751" s="696"/>
    </row>
    <row r="752" spans="1:5">
      <c r="A752" s="4" t="s">
        <v>631</v>
      </c>
      <c r="B752" s="863"/>
      <c r="D752" s="696"/>
    </row>
    <row r="753" spans="1:5">
      <c r="A753" s="4" t="s">
        <v>633</v>
      </c>
      <c r="B753" s="696"/>
      <c r="D753" s="696"/>
    </row>
    <row r="754" spans="1:5">
      <c r="A754" s="4" t="s">
        <v>632</v>
      </c>
      <c r="B754" s="696"/>
      <c r="D754" s="696"/>
    </row>
    <row r="755" spans="1:5">
      <c r="A755" s="4"/>
      <c r="B755" s="696"/>
      <c r="D755" s="696"/>
    </row>
    <row r="756" spans="1:5" ht="16.5" thickBot="1">
      <c r="A756" s="36" t="s">
        <v>1649</v>
      </c>
      <c r="B756" s="696"/>
      <c r="C756" s="696"/>
      <c r="D756" s="695"/>
    </row>
    <row r="757" spans="1:5" ht="15.75">
      <c r="A757" s="52"/>
      <c r="B757" s="696"/>
      <c r="C757" s="696"/>
      <c r="D757" s="695"/>
    </row>
    <row r="758" spans="1:5">
      <c r="A758" s="2" t="s">
        <v>462</v>
      </c>
      <c r="C758" s="696">
        <v>0</v>
      </c>
      <c r="E758" s="696">
        <v>0</v>
      </c>
    </row>
    <row r="759" spans="1:5">
      <c r="A759" s="2" t="s">
        <v>60</v>
      </c>
      <c r="B759" s="696"/>
      <c r="C759" s="696">
        <v>0</v>
      </c>
      <c r="E759" s="696">
        <v>0</v>
      </c>
    </row>
    <row r="760" spans="1:5">
      <c r="A760" s="2" t="s">
        <v>61</v>
      </c>
      <c r="B760" s="696"/>
      <c r="C760" s="696">
        <v>0</v>
      </c>
      <c r="E760" s="696">
        <v>0</v>
      </c>
    </row>
    <row r="763" spans="1:5" ht="16.5" thickBot="1">
      <c r="A763" s="36" t="s">
        <v>1818</v>
      </c>
      <c r="B763" s="702"/>
      <c r="C763" s="702"/>
      <c r="D763" s="690"/>
    </row>
    <row r="764" spans="1:5" ht="15.75">
      <c r="A764" s="52"/>
      <c r="B764" s="702"/>
      <c r="C764" s="702"/>
      <c r="D764" s="690"/>
    </row>
    <row r="765" spans="1:5">
      <c r="A765" s="40" t="s">
        <v>155</v>
      </c>
      <c r="B765" s="715">
        <f>'31'!E7</f>
        <v>0</v>
      </c>
      <c r="C765" s="696"/>
      <c r="D765" s="695">
        <v>0</v>
      </c>
    </row>
    <row r="766" spans="1:5">
      <c r="A766" s="40" t="s">
        <v>156</v>
      </c>
      <c r="B766" s="715">
        <f>'31'!E8</f>
        <v>0</v>
      </c>
      <c r="C766" s="696"/>
      <c r="D766" s="695">
        <v>0</v>
      </c>
    </row>
    <row r="767" spans="1:5">
      <c r="A767" s="8"/>
    </row>
    <row r="769" spans="1:5" ht="15.75">
      <c r="A769" s="58" t="s">
        <v>494</v>
      </c>
      <c r="B769" s="694"/>
      <c r="C769" s="694"/>
    </row>
    <row r="770" spans="1:5">
      <c r="B770" s="702"/>
      <c r="C770" s="702"/>
      <c r="D770" s="690"/>
    </row>
    <row r="771" spans="1:5">
      <c r="A771" s="1" t="s">
        <v>157</v>
      </c>
      <c r="C771" s="696">
        <v>0</v>
      </c>
      <c r="D771" s="696"/>
      <c r="E771" s="695">
        <v>0</v>
      </c>
    </row>
    <row r="772" spans="1:5">
      <c r="A772" s="1" t="s">
        <v>158</v>
      </c>
      <c r="B772" s="696">
        <v>0</v>
      </c>
      <c r="C772" s="696"/>
      <c r="D772" s="695">
        <v>0</v>
      </c>
    </row>
    <row r="773" spans="1:5">
      <c r="A773" s="1"/>
      <c r="B773" s="696"/>
      <c r="C773" s="696"/>
      <c r="D773" s="695"/>
    </row>
    <row r="776" spans="1:5" ht="15.75" thickBot="1">
      <c r="B776" s="706">
        <f>SUM(B1:B775)</f>
        <v>0</v>
      </c>
      <c r="C776" s="706">
        <f>SUM(C1:C775)</f>
        <v>100000</v>
      </c>
      <c r="D776" s="706">
        <f>SUM(D1:D775)</f>
        <v>0</v>
      </c>
      <c r="E776" s="706">
        <f>SUM(E1:E775)</f>
        <v>100000</v>
      </c>
    </row>
    <row r="778" spans="1:5">
      <c r="A778" s="745" t="s">
        <v>1677</v>
      </c>
      <c r="B778" s="714">
        <f>B776-C776</f>
        <v>-100000</v>
      </c>
      <c r="C778" s="714"/>
      <c r="D778" s="714">
        <f>D776-E776</f>
        <v>-100000</v>
      </c>
      <c r="E778" s="714"/>
    </row>
  </sheetData>
  <mergeCells count="2">
    <mergeCell ref="B2:C2"/>
    <mergeCell ref="D2:E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sheetPr codeName="Sheet25"/>
  <dimension ref="A1:E257"/>
  <sheetViews>
    <sheetView topLeftCell="A166" workbookViewId="0">
      <selection activeCell="D170" sqref="D170"/>
    </sheetView>
  </sheetViews>
  <sheetFormatPr defaultRowHeight="12.75"/>
  <cols>
    <col min="1" max="1" width="61.42578125" style="200" customWidth="1"/>
    <col min="2" max="2" width="11.28515625" style="200" bestFit="1" customWidth="1"/>
    <col min="3" max="4" width="15" style="200" bestFit="1" customWidth="1"/>
    <col min="5" max="5" width="18.5703125" style="200" customWidth="1"/>
    <col min="6" max="7" width="9.140625" style="200"/>
    <col min="8" max="8" width="11.28515625" style="200" bestFit="1" customWidth="1"/>
    <col min="9" max="16384" width="9.140625" style="200"/>
  </cols>
  <sheetData>
    <row r="1" spans="1:4">
      <c r="A1" s="198" t="str">
        <f>master!B2</f>
        <v>ABC LTD</v>
      </c>
    </row>
    <row r="3" spans="1:4">
      <c r="A3" s="198" t="s">
        <v>1674</v>
      </c>
      <c r="C3" s="224" t="str">
        <f>master!B16</f>
        <v>31/03/2012</v>
      </c>
      <c r="D3" s="746" t="str">
        <f>master!B17</f>
        <v>31/03/2011</v>
      </c>
    </row>
    <row r="5" spans="1:4" ht="16.5" thickBot="1">
      <c r="A5" s="36" t="s">
        <v>775</v>
      </c>
    </row>
    <row r="6" spans="1:4">
      <c r="A6" s="1" t="s">
        <v>1808</v>
      </c>
    </row>
    <row r="7" spans="1:4">
      <c r="A7" s="200" t="s">
        <v>1809</v>
      </c>
      <c r="C7" s="877">
        <f>D14</f>
        <v>0</v>
      </c>
    </row>
    <row r="8" spans="1:4" ht="15.75">
      <c r="A8" s="52"/>
    </row>
    <row r="9" spans="1:4" ht="15.75">
      <c r="A9" s="52"/>
    </row>
    <row r="10" spans="1:4" ht="15.75">
      <c r="A10" s="52"/>
      <c r="C10" s="214">
        <f>SUM(C7:C9)</f>
        <v>0</v>
      </c>
      <c r="D10" s="214">
        <f>SUM(D7:D9)</f>
        <v>0</v>
      </c>
    </row>
    <row r="11" spans="1:4" ht="15.75">
      <c r="A11" s="52"/>
    </row>
    <row r="12" spans="1:4" ht="15.75">
      <c r="A12" s="52"/>
    </row>
    <row r="13" spans="1:4">
      <c r="A13" s="7" t="s">
        <v>1801</v>
      </c>
    </row>
    <row r="14" spans="1:4">
      <c r="A14" s="200" t="s">
        <v>694</v>
      </c>
      <c r="C14" s="200">
        <v>0</v>
      </c>
      <c r="D14" s="200">
        <v>0</v>
      </c>
    </row>
    <row r="15" spans="1:4">
      <c r="A15" s="200" t="s">
        <v>1802</v>
      </c>
    </row>
    <row r="18" spans="1:4">
      <c r="C18" s="214">
        <f>SUM(C14:C17)</f>
        <v>0</v>
      </c>
      <c r="D18" s="214">
        <f>SUM(D14:D17)</f>
        <v>0</v>
      </c>
    </row>
    <row r="19" spans="1:4" ht="16.5" thickBot="1">
      <c r="A19" s="36" t="s">
        <v>1678</v>
      </c>
    </row>
    <row r="21" spans="1:4">
      <c r="A21" s="67" t="s">
        <v>257</v>
      </c>
    </row>
    <row r="22" spans="1:4">
      <c r="A22" s="40" t="s">
        <v>418</v>
      </c>
    </row>
    <row r="23" spans="1:4">
      <c r="A23" s="200" t="s">
        <v>1815</v>
      </c>
    </row>
    <row r="24" spans="1:4">
      <c r="A24" s="200" t="s">
        <v>1816</v>
      </c>
    </row>
    <row r="26" spans="1:4">
      <c r="C26" s="214">
        <f>SUM(C22:C25)</f>
        <v>0</v>
      </c>
      <c r="D26" s="214">
        <f>SUM(D22:D25)</f>
        <v>0</v>
      </c>
    </row>
    <row r="28" spans="1:4">
      <c r="A28" s="67" t="s">
        <v>263</v>
      </c>
    </row>
    <row r="29" spans="1:4">
      <c r="A29" s="862"/>
      <c r="C29" s="863"/>
    </row>
    <row r="33" spans="1:5">
      <c r="C33" s="214">
        <f>SUM(C28:C32)</f>
        <v>0</v>
      </c>
      <c r="D33" s="214">
        <f>SUM(D28:D32)</f>
        <v>0</v>
      </c>
    </row>
    <row r="34" spans="1:5">
      <c r="C34" s="206"/>
      <c r="D34" s="206"/>
    </row>
    <row r="35" spans="1:5" ht="16.5" thickBot="1">
      <c r="A35" s="36" t="s">
        <v>463</v>
      </c>
      <c r="C35" s="206"/>
      <c r="D35" s="206"/>
    </row>
    <row r="36" spans="1:5">
      <c r="C36" s="206"/>
      <c r="D36" s="206"/>
    </row>
    <row r="37" spans="1:5" ht="15">
      <c r="A37" s="196"/>
      <c r="B37" s="195"/>
    </row>
    <row r="38" spans="1:5" ht="15">
      <c r="A38" s="881" t="s">
        <v>1849</v>
      </c>
      <c r="B38" s="195"/>
      <c r="E38" s="857"/>
    </row>
    <row r="39" spans="1:5">
      <c r="A39" s="881" t="s">
        <v>1040</v>
      </c>
      <c r="C39" s="863"/>
      <c r="D39" s="881"/>
    </row>
    <row r="40" spans="1:5" ht="15">
      <c r="A40" s="881" t="s">
        <v>1848</v>
      </c>
      <c r="B40" s="195"/>
      <c r="D40" s="881"/>
    </row>
    <row r="41" spans="1:5" ht="15">
      <c r="A41" s="707" t="s">
        <v>1850</v>
      </c>
      <c r="B41" s="195"/>
    </row>
    <row r="42" spans="1:5" ht="15">
      <c r="A42" s="707" t="s">
        <v>1851</v>
      </c>
      <c r="B42" s="195"/>
    </row>
    <row r="43" spans="1:5" ht="15">
      <c r="A43" s="195"/>
      <c r="B43" s="195"/>
    </row>
    <row r="44" spans="1:5" ht="15">
      <c r="A44" s="707" t="s">
        <v>464</v>
      </c>
      <c r="B44" s="195"/>
    </row>
    <row r="45" spans="1:5" ht="15">
      <c r="B45" s="195"/>
      <c r="E45" s="196"/>
    </row>
    <row r="46" spans="1:5" ht="15">
      <c r="B46" s="195"/>
      <c r="E46" s="196"/>
    </row>
    <row r="47" spans="1:5" ht="15">
      <c r="B47" s="195"/>
      <c r="E47" s="196"/>
    </row>
    <row r="48" spans="1:5" ht="15">
      <c r="B48" s="195"/>
      <c r="E48" s="196"/>
    </row>
    <row r="49" spans="1:5" ht="15">
      <c r="B49" s="195"/>
      <c r="E49" s="196"/>
    </row>
    <row r="50" spans="1:5" ht="15">
      <c r="A50" s="195"/>
      <c r="B50" s="195"/>
    </row>
    <row r="51" spans="1:5" ht="15">
      <c r="A51" s="195"/>
      <c r="B51" s="195"/>
    </row>
    <row r="52" spans="1:5" ht="15">
      <c r="A52" s="195"/>
      <c r="B52" s="195"/>
      <c r="C52" s="214">
        <f>SUM(C37:C51)</f>
        <v>0</v>
      </c>
      <c r="D52" s="214">
        <f>SUM(D37:D51)</f>
        <v>0</v>
      </c>
    </row>
    <row r="53" spans="1:5">
      <c r="C53" s="206"/>
      <c r="D53" s="206"/>
    </row>
    <row r="55" spans="1:5" ht="16.5" thickBot="1">
      <c r="A55" s="36" t="s">
        <v>1679</v>
      </c>
    </row>
    <row r="57" spans="1:5">
      <c r="A57" s="67" t="s">
        <v>274</v>
      </c>
    </row>
    <row r="59" spans="1:5">
      <c r="E59" s="857"/>
    </row>
    <row r="60" spans="1:5" ht="15">
      <c r="A60" s="200" t="s">
        <v>1852</v>
      </c>
      <c r="B60" s="195"/>
    </row>
    <row r="61" spans="1:5" ht="15">
      <c r="A61" s="881" t="s">
        <v>1833</v>
      </c>
      <c r="B61" s="195"/>
      <c r="C61" s="863">
        <v>0</v>
      </c>
      <c r="D61" s="881">
        <v>0</v>
      </c>
      <c r="E61" s="857"/>
    </row>
    <row r="62" spans="1:5" ht="15">
      <c r="A62" s="881" t="s">
        <v>1834</v>
      </c>
      <c r="B62" s="195"/>
      <c r="C62" s="200">
        <v>0</v>
      </c>
      <c r="D62" s="881">
        <v>0</v>
      </c>
    </row>
    <row r="63" spans="1:5" ht="15">
      <c r="A63" s="881" t="s">
        <v>1835</v>
      </c>
      <c r="B63" s="195"/>
      <c r="C63" s="200">
        <v>0</v>
      </c>
      <c r="D63" s="881">
        <v>0</v>
      </c>
      <c r="E63" s="196"/>
    </row>
    <row r="65" spans="1:4">
      <c r="C65" s="214">
        <f>SUM(C59:C64)</f>
        <v>0</v>
      </c>
      <c r="D65" s="214">
        <f>SUM(D59:D64)</f>
        <v>0</v>
      </c>
    </row>
    <row r="68" spans="1:4" ht="16.5" thickBot="1">
      <c r="A68" s="36" t="s">
        <v>1805</v>
      </c>
    </row>
    <row r="71" spans="1:4">
      <c r="A71" s="71" t="s">
        <v>1806</v>
      </c>
    </row>
    <row r="72" spans="1:4">
      <c r="A72" s="72" t="s">
        <v>306</v>
      </c>
    </row>
    <row r="73" spans="1:4">
      <c r="C73" s="863"/>
    </row>
    <row r="76" spans="1:4">
      <c r="C76" s="214">
        <f>SUM(C72:C75)</f>
        <v>0</v>
      </c>
      <c r="D76" s="214">
        <f>SUM(D72:D75)</f>
        <v>0</v>
      </c>
    </row>
    <row r="84" spans="1:5" ht="16.5" thickBot="1">
      <c r="A84" s="36" t="s">
        <v>1680</v>
      </c>
    </row>
    <row r="86" spans="1:5">
      <c r="A86" s="5" t="s">
        <v>330</v>
      </c>
    </row>
    <row r="88" spans="1:5">
      <c r="A88" s="891" t="s">
        <v>1836</v>
      </c>
      <c r="C88" s="200">
        <v>0</v>
      </c>
      <c r="D88" s="200">
        <v>0</v>
      </c>
    </row>
    <row r="90" spans="1:5">
      <c r="C90" s="214">
        <f>SUM(C86:C89)</f>
        <v>0</v>
      </c>
      <c r="D90" s="214">
        <f>SUM(D86:D89)</f>
        <v>0</v>
      </c>
    </row>
    <row r="91" spans="1:5">
      <c r="A91" s="5" t="s">
        <v>331</v>
      </c>
      <c r="C91" s="206"/>
      <c r="D91" s="206"/>
    </row>
    <row r="92" spans="1:5">
      <c r="C92" s="206"/>
      <c r="D92" s="206"/>
    </row>
    <row r="93" spans="1:5">
      <c r="A93" s="200" t="s">
        <v>1814</v>
      </c>
      <c r="B93" s="224"/>
      <c r="C93" s="223">
        <v>0</v>
      </c>
      <c r="D93" s="223">
        <v>0</v>
      </c>
      <c r="E93" s="196"/>
    </row>
    <row r="94" spans="1:5">
      <c r="A94" s="196"/>
      <c r="B94" s="224"/>
      <c r="C94" s="223"/>
      <c r="D94" s="223"/>
    </row>
    <row r="95" spans="1:5">
      <c r="A95" s="196"/>
      <c r="C95" s="196"/>
      <c r="D95" s="196"/>
    </row>
    <row r="96" spans="1:5">
      <c r="C96" s="206"/>
      <c r="D96" s="206"/>
    </row>
    <row r="97" spans="1:5">
      <c r="C97" s="214">
        <f>SUM(C93:C96)</f>
        <v>0</v>
      </c>
      <c r="D97" s="214">
        <f>SUM(D93:D96)</f>
        <v>0</v>
      </c>
    </row>
    <row r="98" spans="1:5">
      <c r="C98" s="206"/>
      <c r="D98" s="206"/>
    </row>
    <row r="99" spans="1:5">
      <c r="A99" s="5" t="s">
        <v>332</v>
      </c>
      <c r="C99" s="206"/>
      <c r="D99" s="206"/>
    </row>
    <row r="100" spans="1:5">
      <c r="C100" s="206"/>
      <c r="D100" s="206"/>
    </row>
    <row r="101" spans="1:5">
      <c r="A101" s="856"/>
      <c r="C101" s="863"/>
      <c r="E101" s="856"/>
    </row>
    <row r="103" spans="1:5">
      <c r="C103" s="206"/>
      <c r="D103" s="206"/>
    </row>
    <row r="104" spans="1:5">
      <c r="C104" s="206"/>
      <c r="D104" s="206"/>
    </row>
    <row r="105" spans="1:5">
      <c r="C105" s="214">
        <f>SUM(C101:C104)</f>
        <v>0</v>
      </c>
      <c r="D105" s="214">
        <f>SUM(D101:D104)</f>
        <v>0</v>
      </c>
    </row>
    <row r="106" spans="1:5">
      <c r="C106" s="206"/>
      <c r="D106" s="206"/>
    </row>
    <row r="107" spans="1:5">
      <c r="A107" s="5" t="s">
        <v>342</v>
      </c>
      <c r="C107" s="206"/>
      <c r="D107" s="206"/>
    </row>
    <row r="108" spans="1:5">
      <c r="C108" s="206"/>
      <c r="D108" s="206"/>
    </row>
    <row r="109" spans="1:5">
      <c r="A109" s="196"/>
      <c r="C109" s="196"/>
      <c r="D109" s="196"/>
    </row>
    <row r="110" spans="1:5">
      <c r="C110" s="196"/>
      <c r="D110" s="196"/>
    </row>
    <row r="111" spans="1:5">
      <c r="C111" s="196"/>
      <c r="D111" s="196"/>
      <c r="E111" s="196"/>
    </row>
    <row r="112" spans="1:5">
      <c r="C112" s="196"/>
      <c r="D112" s="196"/>
      <c r="E112" s="196"/>
    </row>
    <row r="113" spans="1:5">
      <c r="C113" s="196"/>
      <c r="D113" s="196"/>
      <c r="E113" s="196"/>
    </row>
    <row r="114" spans="1:5">
      <c r="C114" s="206"/>
      <c r="D114" s="206"/>
    </row>
    <row r="115" spans="1:5">
      <c r="C115" s="206"/>
      <c r="D115" s="206"/>
    </row>
    <row r="116" spans="1:5">
      <c r="C116" s="214">
        <f>SUM(C109:C115)</f>
        <v>0</v>
      </c>
      <c r="D116" s="214">
        <f>SUM(D109:D115)</f>
        <v>0</v>
      </c>
    </row>
    <row r="117" spans="1:5">
      <c r="C117" s="206"/>
      <c r="D117" s="206"/>
    </row>
    <row r="118" spans="1:5">
      <c r="A118" s="5" t="s">
        <v>344</v>
      </c>
      <c r="C118" s="206"/>
      <c r="D118" s="206"/>
    </row>
    <row r="119" spans="1:5">
      <c r="C119" s="206"/>
      <c r="D119" s="206"/>
    </row>
    <row r="120" spans="1:5">
      <c r="C120" s="196"/>
      <c r="D120" s="196"/>
    </row>
    <row r="121" spans="1:5">
      <c r="A121" s="196"/>
      <c r="C121" s="196"/>
      <c r="D121" s="196"/>
    </row>
    <row r="122" spans="1:5">
      <c r="A122" s="196"/>
      <c r="C122" s="196"/>
      <c r="D122" s="196"/>
    </row>
    <row r="123" spans="1:5">
      <c r="C123" s="206"/>
      <c r="D123" s="206"/>
    </row>
    <row r="124" spans="1:5">
      <c r="C124" s="214">
        <f>SUM(C119:C123)</f>
        <v>0</v>
      </c>
      <c r="D124" s="214">
        <f>SUM(D119:D123)</f>
        <v>0</v>
      </c>
    </row>
    <row r="125" spans="1:5">
      <c r="C125" s="206"/>
      <c r="D125" s="206"/>
    </row>
    <row r="126" spans="1:5">
      <c r="C126" s="206"/>
      <c r="D126" s="206"/>
    </row>
    <row r="127" spans="1:5" ht="16.5" thickBot="1">
      <c r="A127" s="36" t="s">
        <v>1681</v>
      </c>
      <c r="C127" s="206"/>
      <c r="D127" s="206"/>
    </row>
    <row r="128" spans="1:5">
      <c r="C128" s="206"/>
      <c r="D128" s="206"/>
    </row>
    <row r="129" spans="1:5">
      <c r="A129" s="5" t="s">
        <v>363</v>
      </c>
      <c r="C129" s="206"/>
      <c r="D129" s="206"/>
    </row>
    <row r="130" spans="1:5">
      <c r="A130" s="5" t="s">
        <v>361</v>
      </c>
      <c r="C130" s="206"/>
      <c r="D130" s="206"/>
    </row>
    <row r="133" spans="1:5" ht="15">
      <c r="A133" s="196"/>
      <c r="B133" s="195"/>
      <c r="C133" s="196"/>
    </row>
    <row r="134" spans="1:5" ht="15">
      <c r="A134" s="707"/>
      <c r="B134" s="195"/>
      <c r="D134" s="206"/>
    </row>
    <row r="135" spans="1:5" ht="15">
      <c r="A135" s="707"/>
      <c r="B135" s="195"/>
      <c r="D135" s="206"/>
    </row>
    <row r="136" spans="1:5" ht="15">
      <c r="A136" s="707"/>
      <c r="B136" s="195"/>
      <c r="D136" s="206"/>
    </row>
    <row r="137" spans="1:5" ht="15">
      <c r="A137" s="707"/>
      <c r="B137" s="195"/>
      <c r="C137" s="214">
        <f>SUM(C132:C136)</f>
        <v>0</v>
      </c>
      <c r="D137" s="214">
        <f>SUM(D132:D136)</f>
        <v>0</v>
      </c>
    </row>
    <row r="138" spans="1:5" ht="15">
      <c r="A138" s="707"/>
      <c r="B138" s="195"/>
      <c r="D138" s="206"/>
    </row>
    <row r="139" spans="1:5">
      <c r="A139" s="5" t="s">
        <v>1817</v>
      </c>
      <c r="C139" s="206"/>
      <c r="D139" s="206"/>
    </row>
    <row r="140" spans="1:5">
      <c r="C140" s="206"/>
      <c r="D140" s="206"/>
    </row>
    <row r="141" spans="1:5" ht="15">
      <c r="A141"/>
      <c r="B141" s="195"/>
      <c r="C141" s="863"/>
      <c r="E141"/>
    </row>
    <row r="142" spans="1:5">
      <c r="A142" s="856"/>
      <c r="C142" s="863"/>
      <c r="D142" s="855"/>
      <c r="E142" s="856"/>
    </row>
    <row r="143" spans="1:5" ht="15">
      <c r="A143" s="881" t="s">
        <v>1853</v>
      </c>
      <c r="B143" s="195"/>
      <c r="C143" s="196"/>
      <c r="D143" s="881"/>
    </row>
    <row r="144" spans="1:5" ht="15">
      <c r="A144" s="881" t="s">
        <v>1853</v>
      </c>
      <c r="B144" s="195"/>
      <c r="C144" s="196"/>
      <c r="D144" s="881"/>
    </row>
    <row r="145" spans="1:5" ht="15">
      <c r="A145" s="881" t="s">
        <v>1853</v>
      </c>
      <c r="B145" s="195"/>
      <c r="C145" s="196"/>
      <c r="D145" s="881"/>
    </row>
    <row r="146" spans="1:5" ht="15">
      <c r="A146" s="881" t="s">
        <v>1854</v>
      </c>
      <c r="B146" s="195"/>
      <c r="C146" s="196"/>
      <c r="D146" s="881"/>
    </row>
    <row r="147" spans="1:5" ht="15">
      <c r="A147" s="707" t="s">
        <v>1855</v>
      </c>
      <c r="B147" s="195"/>
      <c r="C147" s="196"/>
    </row>
    <row r="148" spans="1:5" ht="15">
      <c r="A148" s="707"/>
      <c r="B148" s="195"/>
      <c r="C148" s="196"/>
    </row>
    <row r="149" spans="1:5" ht="15">
      <c r="B149" s="195"/>
      <c r="E149" s="196"/>
    </row>
    <row r="150" spans="1:5" ht="15">
      <c r="B150" s="195"/>
      <c r="E150" s="195"/>
    </row>
    <row r="151" spans="1:5" ht="15">
      <c r="A151" s="707"/>
      <c r="B151" s="195"/>
    </row>
    <row r="152" spans="1:5" ht="15">
      <c r="A152" s="195"/>
      <c r="B152" s="195"/>
    </row>
    <row r="153" spans="1:5" ht="15">
      <c r="A153" s="195"/>
      <c r="B153" s="195"/>
      <c r="C153" s="214">
        <f>SUM(C141:C152)</f>
        <v>0</v>
      </c>
      <c r="D153" s="214">
        <f>SUM(D141:D152)</f>
        <v>0</v>
      </c>
    </row>
    <row r="154" spans="1:5">
      <c r="C154" s="206"/>
      <c r="D154" s="206"/>
    </row>
    <row r="155" spans="1:5">
      <c r="C155" s="206"/>
      <c r="D155" s="206"/>
    </row>
    <row r="156" spans="1:5" ht="16.5" thickBot="1">
      <c r="A156" s="36" t="s">
        <v>1682</v>
      </c>
      <c r="C156" s="206"/>
      <c r="D156" s="206"/>
    </row>
    <row r="157" spans="1:5">
      <c r="C157" s="206"/>
      <c r="D157" s="206"/>
    </row>
    <row r="158" spans="1:5">
      <c r="A158" s="5" t="s">
        <v>374</v>
      </c>
      <c r="B158" s="694"/>
      <c r="C158" s="694"/>
    </row>
    <row r="159" spans="1:5">
      <c r="A159" s="4" t="s">
        <v>375</v>
      </c>
      <c r="B159" s="696" t="s">
        <v>464</v>
      </c>
      <c r="C159" s="696"/>
      <c r="D159" s="695" t="s">
        <v>464</v>
      </c>
    </row>
    <row r="161" spans="1:5">
      <c r="A161" s="862"/>
      <c r="C161" s="863"/>
      <c r="E161" s="862"/>
    </row>
    <row r="162" spans="1:5">
      <c r="A162" s="881" t="s">
        <v>1856</v>
      </c>
      <c r="C162" s="863"/>
      <c r="E162" s="862"/>
    </row>
    <row r="163" spans="1:5">
      <c r="A163" s="881" t="s">
        <v>1857</v>
      </c>
      <c r="C163" s="863"/>
      <c r="E163" s="862"/>
    </row>
    <row r="164" spans="1:5">
      <c r="A164" s="862"/>
      <c r="C164" s="863"/>
      <c r="E164" s="862"/>
    </row>
    <row r="165" spans="1:5">
      <c r="A165" s="862"/>
      <c r="C165" s="863"/>
      <c r="E165" s="862"/>
    </row>
    <row r="166" spans="1:5">
      <c r="A166" s="862"/>
      <c r="C166" s="863"/>
      <c r="E166" s="862"/>
    </row>
    <row r="167" spans="1:5">
      <c r="A167" s="862"/>
      <c r="C167" s="863"/>
      <c r="E167" s="862"/>
    </row>
    <row r="168" spans="1:5">
      <c r="A168" s="196"/>
    </row>
    <row r="170" spans="1:5">
      <c r="C170" s="214">
        <f>SUM(C160:C169)</f>
        <v>0</v>
      </c>
      <c r="D170" s="214">
        <f>SUM(D160:D169)</f>
        <v>0</v>
      </c>
    </row>
    <row r="171" spans="1:5">
      <c r="C171" s="206"/>
      <c r="D171" s="206"/>
    </row>
    <row r="172" spans="1:5">
      <c r="A172" s="5" t="s">
        <v>374</v>
      </c>
      <c r="B172" s="694"/>
      <c r="C172" s="694"/>
      <c r="D172" s="691"/>
    </row>
    <row r="173" spans="1:5">
      <c r="A173" s="4" t="s">
        <v>376</v>
      </c>
      <c r="B173" s="696" t="s">
        <v>464</v>
      </c>
      <c r="C173" s="696"/>
      <c r="D173" s="695" t="s">
        <v>464</v>
      </c>
    </row>
    <row r="175" spans="1:5">
      <c r="A175" s="862"/>
      <c r="C175" s="863"/>
      <c r="E175" s="862"/>
    </row>
    <row r="176" spans="1:5" ht="15">
      <c r="D176"/>
    </row>
    <row r="177" spans="1:5" ht="15">
      <c r="D177"/>
    </row>
    <row r="178" spans="1:5" ht="15">
      <c r="A178"/>
      <c r="C178" s="863"/>
      <c r="D178"/>
      <c r="E178"/>
    </row>
    <row r="179" spans="1:5">
      <c r="A179" s="196"/>
    </row>
    <row r="181" spans="1:5">
      <c r="C181" s="214">
        <f>SUM(C174:C180)</f>
        <v>0</v>
      </c>
      <c r="D181" s="214">
        <f>SUM(D174:D180)</f>
        <v>0</v>
      </c>
    </row>
    <row r="182" spans="1:5">
      <c r="C182" s="206"/>
      <c r="D182" s="206"/>
    </row>
    <row r="183" spans="1:5">
      <c r="C183" s="206"/>
      <c r="D183" s="206"/>
    </row>
    <row r="188" spans="1:5" ht="15">
      <c r="E188"/>
    </row>
    <row r="189" spans="1:5" ht="15">
      <c r="E189"/>
    </row>
    <row r="192" spans="1:5">
      <c r="C192" s="206"/>
      <c r="D192" s="206"/>
    </row>
    <row r="193" spans="1:4">
      <c r="C193" s="206"/>
      <c r="D193" s="206"/>
    </row>
    <row r="194" spans="1:4">
      <c r="C194" s="206"/>
      <c r="D194" s="206"/>
    </row>
    <row r="195" spans="1:4">
      <c r="C195" s="206"/>
      <c r="D195" s="206"/>
    </row>
    <row r="196" spans="1:4">
      <c r="C196" s="206"/>
      <c r="D196" s="206"/>
    </row>
    <row r="197" spans="1:4">
      <c r="C197" s="206"/>
      <c r="D197" s="206"/>
    </row>
    <row r="198" spans="1:4">
      <c r="C198" s="206"/>
      <c r="D198" s="206"/>
    </row>
    <row r="199" spans="1:4" ht="16.5" thickBot="1">
      <c r="A199" s="36" t="s">
        <v>726</v>
      </c>
      <c r="C199" s="206"/>
      <c r="D199" s="206"/>
    </row>
    <row r="200" spans="1:4">
      <c r="A200" s="717" t="s">
        <v>395</v>
      </c>
      <c r="C200" s="206"/>
      <c r="D200" s="206"/>
    </row>
    <row r="201" spans="1:4">
      <c r="A201" s="200" t="s">
        <v>1837</v>
      </c>
      <c r="C201" s="196">
        <v>0</v>
      </c>
      <c r="D201" s="196"/>
    </row>
    <row r="202" spans="1:4">
      <c r="A202" s="200" t="s">
        <v>1814</v>
      </c>
      <c r="C202" s="200">
        <v>0</v>
      </c>
    </row>
    <row r="205" spans="1:4">
      <c r="C205" s="214">
        <f>SUM(C201:C204)</f>
        <v>0</v>
      </c>
      <c r="D205" s="214">
        <f>SUM(D201:D204)</f>
        <v>0</v>
      </c>
    </row>
    <row r="206" spans="1:4">
      <c r="C206" s="206"/>
      <c r="D206" s="206"/>
    </row>
    <row r="207" spans="1:4">
      <c r="C207" s="206"/>
      <c r="D207" s="206"/>
    </row>
    <row r="208" spans="1:4">
      <c r="A208" s="5" t="s">
        <v>82</v>
      </c>
      <c r="C208" s="206"/>
      <c r="D208" s="206"/>
    </row>
    <row r="209" spans="1:4">
      <c r="A209" s="40"/>
      <c r="C209" s="855"/>
      <c r="D209" s="855"/>
    </row>
    <row r="210" spans="1:4">
      <c r="A210" s="4" t="s">
        <v>1821</v>
      </c>
      <c r="C210" s="863">
        <v>0</v>
      </c>
      <c r="D210" s="855">
        <v>0</v>
      </c>
    </row>
    <row r="211" spans="1:4">
      <c r="A211" s="720" t="s">
        <v>1822</v>
      </c>
      <c r="C211" s="206"/>
      <c r="D211" s="855">
        <v>0</v>
      </c>
    </row>
    <row r="212" spans="1:4">
      <c r="A212" s="200" t="s">
        <v>1838</v>
      </c>
      <c r="C212" s="855">
        <v>0</v>
      </c>
      <c r="D212" s="206">
        <v>0</v>
      </c>
    </row>
    <row r="213" spans="1:4">
      <c r="C213" s="206"/>
      <c r="D213" s="206"/>
    </row>
    <row r="214" spans="1:4">
      <c r="C214" s="214">
        <f>SUM(C209:C213)</f>
        <v>0</v>
      </c>
      <c r="D214" s="214">
        <f>SUM(D209:D213)</f>
        <v>0</v>
      </c>
    </row>
    <row r="215" spans="1:4">
      <c r="C215" s="206"/>
      <c r="D215" s="206"/>
    </row>
    <row r="216" spans="1:4">
      <c r="C216" s="206"/>
      <c r="D216" s="206"/>
    </row>
    <row r="217" spans="1:4">
      <c r="C217" s="206"/>
      <c r="D217" s="206"/>
    </row>
    <row r="218" spans="1:4">
      <c r="C218" s="206"/>
      <c r="D218" s="206"/>
    </row>
    <row r="219" spans="1:4">
      <c r="C219" s="206"/>
      <c r="D219" s="206"/>
    </row>
    <row r="220" spans="1:4">
      <c r="C220" s="206"/>
      <c r="D220" s="206"/>
    </row>
    <row r="221" spans="1:4">
      <c r="C221" s="206"/>
      <c r="D221" s="206"/>
    </row>
    <row r="222" spans="1:4">
      <c r="C222" s="206"/>
      <c r="D222" s="206"/>
    </row>
    <row r="223" spans="1:4">
      <c r="C223" s="206"/>
      <c r="D223" s="206"/>
    </row>
    <row r="224" spans="1:4">
      <c r="C224" s="206"/>
      <c r="D224" s="206"/>
    </row>
    <row r="225" spans="1:5">
      <c r="A225" s="854" t="s">
        <v>1788</v>
      </c>
      <c r="C225" s="206"/>
      <c r="D225" s="206"/>
    </row>
    <row r="226" spans="1:5" ht="15">
      <c r="A226"/>
      <c r="C226" s="863"/>
      <c r="D226" s="855"/>
      <c r="E226"/>
    </row>
    <row r="227" spans="1:5" ht="15">
      <c r="A227"/>
      <c r="E227"/>
    </row>
    <row r="228" spans="1:5" ht="15">
      <c r="A228"/>
      <c r="C228" s="863"/>
      <c r="D228" s="855"/>
      <c r="E228"/>
    </row>
    <row r="229" spans="1:5" ht="15">
      <c r="A229"/>
      <c r="C229" s="863"/>
      <c r="D229" s="855"/>
      <c r="E229"/>
    </row>
    <row r="230" spans="1:5">
      <c r="C230" s="206"/>
      <c r="D230" s="206"/>
    </row>
    <row r="231" spans="1:5">
      <c r="C231" s="214">
        <f>SUM(C226:C230)</f>
        <v>0</v>
      </c>
      <c r="D231" s="214">
        <f>SUM(D226:D230)</f>
        <v>0</v>
      </c>
    </row>
    <row r="232" spans="1:5">
      <c r="C232" s="206"/>
      <c r="D232" s="206"/>
    </row>
    <row r="233" spans="1:5">
      <c r="C233" s="206"/>
      <c r="D233" s="206"/>
    </row>
    <row r="234" spans="1:5">
      <c r="C234" s="206"/>
      <c r="D234" s="206"/>
    </row>
    <row r="235" spans="1:5">
      <c r="A235" s="716" t="s">
        <v>391</v>
      </c>
      <c r="C235" s="206"/>
      <c r="D235" s="206"/>
    </row>
    <row r="236" spans="1:5">
      <c r="A236" s="196"/>
      <c r="C236" s="196"/>
      <c r="D236" s="196"/>
    </row>
    <row r="237" spans="1:5">
      <c r="C237" s="206"/>
      <c r="D237" s="206"/>
    </row>
    <row r="238" spans="1:5">
      <c r="C238" s="206"/>
      <c r="D238" s="206"/>
    </row>
    <row r="239" spans="1:5">
      <c r="C239" s="214">
        <f>SUM(C235:C238)</f>
        <v>0</v>
      </c>
      <c r="D239" s="214">
        <f>SUM(D235:D238)</f>
        <v>0</v>
      </c>
    </row>
    <row r="240" spans="1:5">
      <c r="C240" s="206"/>
      <c r="D240" s="206"/>
    </row>
    <row r="241" spans="1:4">
      <c r="C241" s="206"/>
      <c r="D241" s="206"/>
    </row>
    <row r="242" spans="1:4" ht="16.5" thickBot="1">
      <c r="A242" s="36" t="s">
        <v>484</v>
      </c>
    </row>
    <row r="244" spans="1:4">
      <c r="A244" s="5" t="s">
        <v>338</v>
      </c>
    </row>
    <row r="246" spans="1:4">
      <c r="A246" s="200" t="s">
        <v>1857</v>
      </c>
      <c r="C246" s="200">
        <v>0</v>
      </c>
      <c r="D246" s="200">
        <v>0</v>
      </c>
    </row>
    <row r="247" spans="1:4">
      <c r="A247" s="200" t="s">
        <v>1854</v>
      </c>
      <c r="C247" s="200">
        <v>0</v>
      </c>
      <c r="D247" s="200">
        <v>0</v>
      </c>
    </row>
    <row r="249" spans="1:4">
      <c r="C249" s="214">
        <f>SUM(C245:C248)</f>
        <v>0</v>
      </c>
      <c r="D249" s="214">
        <f>SUM(D245:D248)</f>
        <v>0</v>
      </c>
    </row>
    <row r="250" spans="1:4">
      <c r="A250" s="5" t="s">
        <v>384</v>
      </c>
      <c r="C250" s="206"/>
      <c r="D250" s="206"/>
    </row>
    <row r="251" spans="1:4">
      <c r="C251" s="206"/>
      <c r="D251" s="206"/>
    </row>
    <row r="252" spans="1:4">
      <c r="A252" s="881" t="s">
        <v>1854</v>
      </c>
      <c r="C252" s="206"/>
      <c r="D252" s="855">
        <v>0</v>
      </c>
    </row>
    <row r="253" spans="1:4">
      <c r="C253" s="206"/>
      <c r="D253" s="855"/>
    </row>
    <row r="254" spans="1:4" ht="15">
      <c r="A254"/>
      <c r="C254" s="863"/>
      <c r="D254" s="855"/>
    </row>
    <row r="255" spans="1:4" ht="15">
      <c r="A255"/>
      <c r="C255" s="863"/>
      <c r="D255" s="855"/>
    </row>
    <row r="256" spans="1:4">
      <c r="C256" s="206"/>
      <c r="D256" s="206"/>
    </row>
    <row r="257" spans="3:4">
      <c r="C257" s="214">
        <f>SUM(C251:C256)</f>
        <v>0</v>
      </c>
      <c r="D257" s="214">
        <f>SUM(D251:D256)</f>
        <v>0</v>
      </c>
    </row>
  </sheetData>
  <sortState ref="A78:D82">
    <sortCondition ref="A78:A82"/>
  </sortState>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66</vt:i4>
      </vt:variant>
      <vt:variant>
        <vt:lpstr>Named Ranges</vt:lpstr>
      </vt:variant>
      <vt:variant>
        <vt:i4>17</vt:i4>
      </vt:variant>
    </vt:vector>
  </HeadingPairs>
  <TitlesOfParts>
    <vt:vector size="83" baseType="lpstr">
      <vt:lpstr>BS (2)</vt:lpstr>
      <vt:lpstr>SCH_BS</vt:lpstr>
      <vt:lpstr>NOTES</vt:lpstr>
      <vt:lpstr>ABST</vt:lpstr>
      <vt:lpstr>PL (2)</vt:lpstr>
      <vt:lpstr>Instr</vt:lpstr>
      <vt:lpstr>master</vt:lpstr>
      <vt:lpstr>TB</vt:lpstr>
      <vt:lpstr>TB_ANNX</vt:lpstr>
      <vt:lpstr>audr</vt:lpstr>
      <vt:lpstr>audr1</vt:lpstr>
      <vt:lpstr>notice</vt:lpstr>
      <vt:lpstr>dir</vt:lpstr>
      <vt:lpstr>BS</vt:lpstr>
      <vt:lpstr>PL</vt:lpstr>
      <vt:lpstr>CF</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tax</vt:lpstr>
      <vt:lpstr>def tax</vt:lpstr>
      <vt:lpstr>3CA</vt:lpstr>
      <vt:lpstr>3CD</vt:lpstr>
      <vt:lpstr>3CD1</vt:lpstr>
      <vt:lpstr>C</vt:lpstr>
      <vt:lpstr>depit</vt:lpstr>
      <vt:lpstr>FA</vt:lpstr>
      <vt:lpstr>3cd_loans</vt:lpstr>
      <vt:lpstr>3cd_40A(2)</vt:lpstr>
      <vt:lpstr>3cd_TDS</vt:lpstr>
      <vt:lpstr>3cd_Stock</vt:lpstr>
      <vt:lpstr>ar</vt:lpstr>
      <vt:lpstr>ard</vt:lpstr>
      <vt:lpstr>ars</vt:lpstr>
      <vt:lpstr>art</vt:lpstr>
      <vt:lpstr>'11'!Print_Area</vt:lpstr>
      <vt:lpstr>'30'!Print_Area</vt:lpstr>
      <vt:lpstr>'3CD'!Print_Area</vt:lpstr>
      <vt:lpstr>'3cd_TDS'!Print_Area</vt:lpstr>
      <vt:lpstr>'3CD1'!Print_Area</vt:lpstr>
      <vt:lpstr>BS!Print_Area</vt:lpstr>
      <vt:lpstr>'C'!Print_Area</vt:lpstr>
      <vt:lpstr>CF!Print_Area</vt:lpstr>
      <vt:lpstr>depit!Print_Area</vt:lpstr>
      <vt:lpstr>FA!Print_Area</vt:lpstr>
      <vt:lpstr>Instr!Print_Area</vt:lpstr>
      <vt:lpstr>master!Print_Area</vt:lpstr>
      <vt:lpstr>PL!Print_Area</vt:lpstr>
      <vt:lpstr>'PL (2)'!Print_Area</vt:lpstr>
      <vt:lpstr>tax!Print_Area</vt:lpstr>
      <vt:lpstr>TB_ANNX!Print_Area</vt:lpstr>
      <vt:lpstr>CF!Print_Titles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2012-10-04T04:27:29Z</dcterms:modified>
</cp:coreProperties>
</file>