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18975" windowHeight="8895" activeTab="1"/>
  </bookViews>
  <sheets>
    <sheet name="Data" sheetId="2" r:id="rId1"/>
    <sheet name="GAR-7" sheetId="1" r:id="rId2"/>
  </sheets>
  <definedNames>
    <definedName name="_xlnm._FilterDatabase" localSheetId="0" hidden="1">Data!$U$61:$AB$179</definedName>
    <definedName name="_xlnm.Print_Area" localSheetId="1">'GAR-7'!$A$2:$AH$54</definedName>
  </definedNames>
  <calcPr calcId="124519"/>
</workbook>
</file>

<file path=xl/calcChain.xml><?xml version="1.0" encoding="utf-8"?>
<calcChain xmlns="http://schemas.openxmlformats.org/spreadsheetml/2006/main">
  <c r="A27" i="2"/>
  <c r="A24"/>
  <c r="A25"/>
  <c r="A26"/>
  <c r="A23"/>
  <c r="C24"/>
  <c r="C25"/>
  <c r="AH9" i="1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A9"/>
  <c r="K16" l="1"/>
  <c r="J16"/>
  <c r="U16"/>
  <c r="T16"/>
  <c r="T18"/>
  <c r="N18"/>
  <c r="C30" i="2"/>
  <c r="D34" i="1"/>
  <c r="Y31"/>
  <c r="R51"/>
  <c r="L51"/>
  <c r="R31"/>
  <c r="L31"/>
  <c r="AD16"/>
  <c r="AC16"/>
  <c r="F4" l="1"/>
  <c r="AB5"/>
  <c r="AG5"/>
  <c r="AF5"/>
  <c r="AE5"/>
  <c r="AD5"/>
  <c r="AC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AG4"/>
  <c r="AF4"/>
  <c r="AE4"/>
  <c r="AD4"/>
  <c r="AC4"/>
  <c r="X4"/>
  <c r="Y4"/>
  <c r="Z4"/>
  <c r="AA4"/>
  <c r="AB4"/>
  <c r="AH14" l="1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H88" i="2"/>
  <c r="F23" i="1" s="1"/>
  <c r="F41" s="1"/>
  <c r="J87" i="2"/>
  <c r="H22" i="1" s="1"/>
  <c r="H40" s="1"/>
  <c r="H86" i="2"/>
  <c r="F21" i="1" s="1"/>
  <c r="F39" s="1"/>
  <c r="J85" i="2"/>
  <c r="H20" i="1" s="1"/>
  <c r="H38" s="1"/>
  <c r="C26"/>
  <c r="C44" s="1"/>
  <c r="B26"/>
  <c r="B44" s="1"/>
  <c r="C25"/>
  <c r="C43" s="1"/>
  <c r="B25"/>
  <c r="B43" s="1"/>
  <c r="C24"/>
  <c r="C42" s="1"/>
  <c r="B24"/>
  <c r="B42" s="1"/>
  <c r="C23"/>
  <c r="C41" s="1"/>
  <c r="B23"/>
  <c r="B41" s="1"/>
  <c r="C22"/>
  <c r="C40" s="1"/>
  <c r="B22"/>
  <c r="B40" s="1"/>
  <c r="C21"/>
  <c r="C39" s="1"/>
  <c r="B21"/>
  <c r="B39" s="1"/>
  <c r="C20"/>
  <c r="C38" s="1"/>
  <c r="B20"/>
  <c r="B38" s="1"/>
  <c r="K90" i="2"/>
  <c r="I25" i="1" s="1"/>
  <c r="I43" s="1"/>
  <c r="J90" i="2"/>
  <c r="H25" i="1" s="1"/>
  <c r="H43" s="1"/>
  <c r="I90" i="2"/>
  <c r="G25" i="1" s="1"/>
  <c r="G43" s="1"/>
  <c r="H90" i="2"/>
  <c r="F25" i="1" s="1"/>
  <c r="F43" s="1"/>
  <c r="G90" i="2"/>
  <c r="E25" i="1" s="1"/>
  <c r="E43" s="1"/>
  <c r="F90" i="2"/>
  <c r="D25" i="1" s="1"/>
  <c r="D43" s="1"/>
  <c r="K89" i="2"/>
  <c r="I24" i="1" s="1"/>
  <c r="I42" s="1"/>
  <c r="J89" i="2"/>
  <c r="H24" i="1" s="1"/>
  <c r="H42" s="1"/>
  <c r="I89" i="2"/>
  <c r="G24" i="1" s="1"/>
  <c r="G42" s="1"/>
  <c r="H89" i="2"/>
  <c r="F24" i="1" s="1"/>
  <c r="F42" s="1"/>
  <c r="G89" i="2"/>
  <c r="E24" i="1" s="1"/>
  <c r="E42" s="1"/>
  <c r="F89" i="2"/>
  <c r="D24" i="1" s="1"/>
  <c r="D42" s="1"/>
  <c r="K91" i="2"/>
  <c r="I26" i="1" s="1"/>
  <c r="I44" s="1"/>
  <c r="J91" i="2"/>
  <c r="H26" i="1" s="1"/>
  <c r="H44" s="1"/>
  <c r="I91" i="2"/>
  <c r="G26" i="1" s="1"/>
  <c r="G44" s="1"/>
  <c r="H91" i="2"/>
  <c r="F26" i="1" s="1"/>
  <c r="F44" s="1"/>
  <c r="G91" i="2"/>
  <c r="E26" i="1" s="1"/>
  <c r="E44" s="1"/>
  <c r="F91" i="2"/>
  <c r="D26" i="1" s="1"/>
  <c r="D44" s="1"/>
  <c r="D70" i="2"/>
  <c r="I85" l="1"/>
  <c r="G20" i="1" s="1"/>
  <c r="G38" s="1"/>
  <c r="G86" i="2"/>
  <c r="E21" i="1" s="1"/>
  <c r="E39" s="1"/>
  <c r="K86" i="2"/>
  <c r="I21" i="1" s="1"/>
  <c r="I39" s="1"/>
  <c r="I87" i="2"/>
  <c r="G22" i="1" s="1"/>
  <c r="G40" s="1"/>
  <c r="G88" i="2"/>
  <c r="E23" i="1" s="1"/>
  <c r="E41" s="1"/>
  <c r="K88" i="2"/>
  <c r="I23" i="1" s="1"/>
  <c r="I41" s="1"/>
  <c r="H85" i="2"/>
  <c r="F20" i="1" s="1"/>
  <c r="F38" s="1"/>
  <c r="F86" i="2"/>
  <c r="D21" i="1" s="1"/>
  <c r="D39" s="1"/>
  <c r="J86" i="2"/>
  <c r="H21" i="1" s="1"/>
  <c r="H39" s="1"/>
  <c r="H87" i="2"/>
  <c r="F22" i="1" s="1"/>
  <c r="F40" s="1"/>
  <c r="F88" i="2"/>
  <c r="D23" i="1" s="1"/>
  <c r="D41" s="1"/>
  <c r="J88" i="2"/>
  <c r="H23" i="1" s="1"/>
  <c r="H41" s="1"/>
  <c r="G85" i="2"/>
  <c r="E20" i="1" s="1"/>
  <c r="E38" s="1"/>
  <c r="K85" i="2"/>
  <c r="I20" i="1" s="1"/>
  <c r="I38" s="1"/>
  <c r="I86" i="2"/>
  <c r="G21" i="1" s="1"/>
  <c r="G39" s="1"/>
  <c r="G87" i="2"/>
  <c r="E22" i="1" s="1"/>
  <c r="E40" s="1"/>
  <c r="K87" i="2"/>
  <c r="I22" i="1" s="1"/>
  <c r="I40" s="1"/>
  <c r="I88" i="2"/>
  <c r="G23" i="1" s="1"/>
  <c r="G41" s="1"/>
  <c r="F85" i="2"/>
  <c r="D20" i="1" s="1"/>
  <c r="D38" s="1"/>
  <c r="F87" i="2"/>
  <c r="D22" i="1" s="1"/>
  <c r="D40" s="1"/>
  <c r="U54"/>
  <c r="F54"/>
  <c r="AA47"/>
  <c r="Z47"/>
  <c r="Y47"/>
  <c r="X47"/>
  <c r="W47"/>
  <c r="V47"/>
  <c r="U47"/>
  <c r="T47"/>
  <c r="S47"/>
  <c r="R47"/>
  <c r="Q47"/>
  <c r="P47"/>
  <c r="O47"/>
  <c r="N47"/>
  <c r="M47"/>
  <c r="V12"/>
  <c r="U12"/>
  <c r="T12"/>
  <c r="S12"/>
  <c r="R12"/>
  <c r="Q12"/>
  <c r="P12"/>
  <c r="O12"/>
  <c r="N12"/>
  <c r="M12"/>
  <c r="L12"/>
  <c r="K12"/>
  <c r="J12"/>
  <c r="I12"/>
  <c r="H12"/>
  <c r="Y51"/>
  <c r="G74" i="2"/>
  <c r="O24" i="1" s="1"/>
  <c r="O42" s="1"/>
  <c r="G73" i="2"/>
  <c r="O23" i="1" s="1"/>
  <c r="O41" s="1"/>
  <c r="F73" i="2"/>
  <c r="N23" i="1" s="1"/>
  <c r="N41" s="1"/>
  <c r="F70" i="2"/>
  <c r="N20" i="1" s="1"/>
  <c r="N38" s="1"/>
  <c r="K70" i="2"/>
  <c r="S20" i="1" s="1"/>
  <c r="S38" s="1"/>
  <c r="J70" i="2"/>
  <c r="I70"/>
  <c r="Q20" i="1" s="1"/>
  <c r="Q38" s="1"/>
  <c r="H70" i="2"/>
  <c r="P20" i="1" s="1"/>
  <c r="P38" s="1"/>
  <c r="G70" i="2"/>
  <c r="O20" i="1" s="1"/>
  <c r="O38" s="1"/>
  <c r="E70" i="2"/>
  <c r="M20" i="1" s="1"/>
  <c r="M38" s="1"/>
  <c r="K76" i="2"/>
  <c r="S26" i="1" s="1"/>
  <c r="S44" s="1"/>
  <c r="J76" i="2"/>
  <c r="R26" i="1" s="1"/>
  <c r="R44" s="1"/>
  <c r="I76" i="2"/>
  <c r="Q26" i="1" s="1"/>
  <c r="Q44" s="1"/>
  <c r="H76" i="2"/>
  <c r="P26" i="1" s="1"/>
  <c r="P44" s="1"/>
  <c r="G76" i="2"/>
  <c r="O26" i="1" s="1"/>
  <c r="O44" s="1"/>
  <c r="F76" i="2"/>
  <c r="N26" i="1" s="1"/>
  <c r="N44" s="1"/>
  <c r="E76" i="2"/>
  <c r="M26" i="1" s="1"/>
  <c r="M44" s="1"/>
  <c r="D76" i="2"/>
  <c r="L26" i="1" s="1"/>
  <c r="L44" s="1"/>
  <c r="K75" i="2"/>
  <c r="S25" i="1" s="1"/>
  <c r="S43" s="1"/>
  <c r="J75" i="2"/>
  <c r="R25" i="1" s="1"/>
  <c r="R43" s="1"/>
  <c r="I75" i="2"/>
  <c r="Q25" i="1" s="1"/>
  <c r="Q43" s="1"/>
  <c r="H75" i="2"/>
  <c r="P25" i="1" s="1"/>
  <c r="P43" s="1"/>
  <c r="G75" i="2"/>
  <c r="O25" i="1" s="1"/>
  <c r="O43" s="1"/>
  <c r="F75" i="2"/>
  <c r="N25" i="1" s="1"/>
  <c r="N43" s="1"/>
  <c r="E75" i="2"/>
  <c r="M25" i="1" s="1"/>
  <c r="M43" s="1"/>
  <c r="D75" i="2"/>
  <c r="L25" i="1" s="1"/>
  <c r="L43" s="1"/>
  <c r="K74" i="2"/>
  <c r="S24" i="1" s="1"/>
  <c r="S42" s="1"/>
  <c r="J74" i="2"/>
  <c r="R24" i="1" s="1"/>
  <c r="R42" s="1"/>
  <c r="I74" i="2"/>
  <c r="Q24" i="1" s="1"/>
  <c r="Q42" s="1"/>
  <c r="H74" i="2"/>
  <c r="P24" i="1" s="1"/>
  <c r="P42" s="1"/>
  <c r="F74" i="2"/>
  <c r="N24" i="1" s="1"/>
  <c r="N42" s="1"/>
  <c r="E74" i="2"/>
  <c r="M24" i="1" s="1"/>
  <c r="M42" s="1"/>
  <c r="D74" i="2"/>
  <c r="L24" i="1" s="1"/>
  <c r="L42" s="1"/>
  <c r="K73" i="2"/>
  <c r="S23" i="1" s="1"/>
  <c r="S41" s="1"/>
  <c r="J73" i="2"/>
  <c r="R23" i="1" s="1"/>
  <c r="R41" s="1"/>
  <c r="I73" i="2"/>
  <c r="Q23" i="1" s="1"/>
  <c r="Q41" s="1"/>
  <c r="H73" i="2"/>
  <c r="P23" i="1" s="1"/>
  <c r="P41" s="1"/>
  <c r="E73" i="2"/>
  <c r="M23" i="1" s="1"/>
  <c r="M41" s="1"/>
  <c r="D73" i="2"/>
  <c r="L23" i="1" s="1"/>
  <c r="L41" s="1"/>
  <c r="L20"/>
  <c r="L38" s="1"/>
  <c r="R20" l="1"/>
  <c r="R38" s="1"/>
  <c r="D54"/>
  <c r="A54"/>
  <c r="AG10" l="1"/>
  <c r="AF10"/>
  <c r="AE10"/>
  <c r="AD10"/>
  <c r="AC10"/>
  <c r="AB10"/>
  <c r="Q10"/>
  <c r="P10"/>
  <c r="O10"/>
  <c r="N10"/>
  <c r="M10"/>
  <c r="L10"/>
  <c r="K10"/>
  <c r="J10"/>
  <c r="I10"/>
  <c r="H10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A8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W4"/>
  <c r="V4"/>
  <c r="U4"/>
  <c r="T4"/>
  <c r="S4"/>
  <c r="R4"/>
  <c r="Q4"/>
  <c r="P4"/>
  <c r="O4"/>
  <c r="N4"/>
  <c r="M4"/>
  <c r="L4"/>
  <c r="K4"/>
  <c r="J4"/>
  <c r="I4"/>
  <c r="H4"/>
  <c r="G4"/>
  <c r="E4"/>
  <c r="H72" i="2"/>
  <c r="H71" l="1"/>
  <c r="P21" i="1" s="1"/>
  <c r="P39" s="1"/>
  <c r="I71" i="2"/>
  <c r="Q21" i="1" s="1"/>
  <c r="Q39" s="1"/>
  <c r="J71" i="2"/>
  <c r="R21" i="1" s="1"/>
  <c r="R39" s="1"/>
  <c r="E71" i="2"/>
  <c r="M21" i="1" s="1"/>
  <c r="M39" s="1"/>
  <c r="K71" i="2"/>
  <c r="S21" i="1" s="1"/>
  <c r="S39" s="1"/>
  <c r="G71" i="2"/>
  <c r="O21" i="1" s="1"/>
  <c r="O39" s="1"/>
  <c r="F71" i="2"/>
  <c r="N21" i="1" s="1"/>
  <c r="N39" s="1"/>
  <c r="D71" i="2"/>
  <c r="L21" i="1" s="1"/>
  <c r="L39" s="1"/>
  <c r="K72" i="2"/>
  <c r="S22" i="1" s="1"/>
  <c r="S40" s="1"/>
  <c r="G72" i="2"/>
  <c r="O22" i="1" s="1"/>
  <c r="O40" s="1"/>
  <c r="F72" i="2"/>
  <c r="N22" i="1" s="1"/>
  <c r="N40" s="1"/>
  <c r="P22"/>
  <c r="P40" s="1"/>
  <c r="I72" i="2"/>
  <c r="Q22" i="1" s="1"/>
  <c r="Q40" s="1"/>
  <c r="D72" i="2"/>
  <c r="L22" i="1" s="1"/>
  <c r="L40" s="1"/>
  <c r="J72" i="2"/>
  <c r="R22" i="1" s="1"/>
  <c r="R40" s="1"/>
  <c r="E72" i="2"/>
  <c r="M22" i="1" s="1"/>
  <c r="M40" s="1"/>
  <c r="G29" l="1"/>
  <c r="G49" s="1"/>
  <c r="K77" i="2"/>
  <c r="S27" i="1" s="1"/>
  <c r="S45" s="1"/>
  <c r="G77" i="2"/>
  <c r="O27" i="1" s="1"/>
  <c r="O45" s="1"/>
  <c r="H77" i="2"/>
  <c r="P27" i="1" s="1"/>
  <c r="P45" s="1"/>
  <c r="I77" i="2"/>
  <c r="Q27" i="1" s="1"/>
  <c r="Q45" s="1"/>
  <c r="D77" i="2"/>
  <c r="L27" i="1" s="1"/>
  <c r="L45" s="1"/>
  <c r="J77" i="2"/>
  <c r="R27" i="1" s="1"/>
  <c r="R45" s="1"/>
  <c r="E77" i="2"/>
  <c r="M27" i="1" s="1"/>
  <c r="M45" s="1"/>
  <c r="F77" i="2"/>
  <c r="N27" i="1" s="1"/>
  <c r="N45" s="1"/>
</calcChain>
</file>

<file path=xl/sharedStrings.xml><?xml version="1.0" encoding="utf-8"?>
<sst xmlns="http://schemas.openxmlformats.org/spreadsheetml/2006/main" count="556" uniqueCount="333">
  <si>
    <t>Full  Name</t>
  </si>
  <si>
    <t>Telephone No.</t>
  </si>
  <si>
    <t>Pin Code :</t>
  </si>
  <si>
    <t>Assessee Code No.</t>
  </si>
  <si>
    <t>Commissionerate Name</t>
  </si>
  <si>
    <t>Commissionerate Code</t>
  </si>
  <si>
    <t>Division Code</t>
  </si>
  <si>
    <t>Range Code</t>
  </si>
  <si>
    <t>Tax Paid for the Period / Month :</t>
  </si>
  <si>
    <t>Accounting Code of Service</t>
  </si>
  <si>
    <t>Amount Tendered in Rupees</t>
  </si>
  <si>
    <t xml:space="preserve">Receiving Bank Branch </t>
  </si>
  <si>
    <t>Stamp</t>
  </si>
  <si>
    <t>Total</t>
  </si>
  <si>
    <t>(In words) Rs.</t>
  </si>
  <si>
    <t>tendered by</t>
  </si>
  <si>
    <t>Dated</t>
  </si>
  <si>
    <t>Drawn on</t>
  </si>
  <si>
    <t>Date :</t>
  </si>
  <si>
    <t>Signature of the Tenderer</t>
  </si>
  <si>
    <t xml:space="preserve">Performa for Service Tax Payment </t>
  </si>
  <si>
    <t>(Receipt &amp; Payment Rules 26)</t>
  </si>
  <si>
    <t>Complete Address</t>
  </si>
  <si>
    <t>Cash/Cheque/Draft/Pay Order No.</t>
  </si>
  <si>
    <t xml:space="preserve">Prepared &amp; Uploaded by </t>
  </si>
  <si>
    <t>Himanshu Patel</t>
  </si>
  <si>
    <t>Name of the declarant</t>
  </si>
  <si>
    <t>:</t>
  </si>
  <si>
    <t>Address</t>
  </si>
  <si>
    <t>Telephone Number</t>
  </si>
  <si>
    <t>Total Tax dues</t>
  </si>
  <si>
    <t>Pin code</t>
  </si>
  <si>
    <t>Month</t>
  </si>
  <si>
    <t>Quarter</t>
  </si>
  <si>
    <t>Quarter-1</t>
  </si>
  <si>
    <t>Quarter-2</t>
  </si>
  <si>
    <t>Quarter-3</t>
  </si>
  <si>
    <t>Quarter-4</t>
  </si>
  <si>
    <t>Year</t>
  </si>
  <si>
    <t>2008-09</t>
  </si>
  <si>
    <t>2009-10</t>
  </si>
  <si>
    <t>2010-11</t>
  </si>
  <si>
    <t>2011-12</t>
  </si>
  <si>
    <t>2012-13</t>
  </si>
  <si>
    <t>2013-14</t>
  </si>
  <si>
    <t>Assessee Code No (Service Tax No.)</t>
  </si>
  <si>
    <t>to</t>
  </si>
  <si>
    <t>2014-15</t>
  </si>
  <si>
    <t>2015-16</t>
  </si>
  <si>
    <t>Accounting Code</t>
  </si>
  <si>
    <t>Amount (Rs.)</t>
  </si>
  <si>
    <t>In Words</t>
  </si>
  <si>
    <t>Date of Cheque / Draft / PO No</t>
  </si>
  <si>
    <t>on account of Union service Tax as detailed in this taxpayer's counterfoil and on stamp affixed and signed therein</t>
  </si>
  <si>
    <t xml:space="preserve">Type of Services </t>
  </si>
  <si>
    <t>S.No</t>
  </si>
  <si>
    <t>Descriptions of Taxable Services</t>
  </si>
  <si>
    <t>Tax Collection</t>
  </si>
  <si>
    <t>Other Receipts (interest)</t>
  </si>
  <si>
    <t>Penalties</t>
  </si>
  <si>
    <t>Deduct Refunds</t>
  </si>
  <si>
    <t>(a)</t>
  </si>
  <si>
    <t>Stockbroker service</t>
  </si>
  <si>
    <t>(d)</t>
  </si>
  <si>
    <t>General insurance service</t>
  </si>
  <si>
    <t>(e)</t>
  </si>
  <si>
    <t>Advertising agency services</t>
  </si>
  <si>
    <t>(f)</t>
  </si>
  <si>
    <t>Courier agency service</t>
  </si>
  <si>
    <t>(g)</t>
  </si>
  <si>
    <t>Consulting engineer services</t>
  </si>
  <si>
    <t>(h)</t>
  </si>
  <si>
    <t>Custom House Agent service</t>
  </si>
  <si>
    <t>(i)</t>
  </si>
  <si>
    <t>Steamer agent services</t>
  </si>
  <si>
    <t>(j)</t>
  </si>
  <si>
    <t>Clearing and forwarding agent services</t>
  </si>
  <si>
    <t>(k)</t>
  </si>
  <si>
    <t>Manpower recruitment/supply agency service</t>
  </si>
  <si>
    <t>(l)</t>
  </si>
  <si>
    <t>Air travel agent services</t>
  </si>
  <si>
    <t>(m)</t>
  </si>
  <si>
    <t>Mandap keeper service</t>
  </si>
  <si>
    <t>(n)</t>
  </si>
  <si>
    <t>Tour operator services</t>
  </si>
  <si>
    <t>(o)</t>
  </si>
  <si>
    <t>Rent-a-cab scheme operator services</t>
  </si>
  <si>
    <t>(p)</t>
  </si>
  <si>
    <t>Architect services</t>
  </si>
  <si>
    <t>(q)</t>
  </si>
  <si>
    <t>Interior decoration/ Designer services</t>
  </si>
  <si>
    <t>( r)</t>
  </si>
  <si>
    <t>Management or business consultant service</t>
  </si>
  <si>
    <t>(s)</t>
  </si>
  <si>
    <t>Chartered accountant services</t>
  </si>
  <si>
    <t>(t)</t>
  </si>
  <si>
    <t>Cost accountant service</t>
  </si>
  <si>
    <t>(u)</t>
  </si>
  <si>
    <t>Company secretary service</t>
  </si>
  <si>
    <t>(v)</t>
  </si>
  <si>
    <t>Real estate agent service</t>
  </si>
  <si>
    <t>(w)</t>
  </si>
  <si>
    <t>Security/ detective agency service</t>
  </si>
  <si>
    <t>(x)</t>
  </si>
  <si>
    <t>Credit rating agency service</t>
  </si>
  <si>
    <t>(y)</t>
  </si>
  <si>
    <t>Market research agency service</t>
  </si>
  <si>
    <t>(z)</t>
  </si>
  <si>
    <t>Underwriter service</t>
  </si>
  <si>
    <t>(za)</t>
  </si>
  <si>
    <t>Scientific &amp; technical consultancy services</t>
  </si>
  <si>
    <t>(zb)</t>
  </si>
  <si>
    <t>Photography service</t>
  </si>
  <si>
    <t>(zc)</t>
  </si>
  <si>
    <t>Convention service</t>
  </si>
  <si>
    <t>(zh)</t>
  </si>
  <si>
    <t>Online information &amp; database access service</t>
  </si>
  <si>
    <t>(zi)</t>
  </si>
  <si>
    <t>Video / Tape production Agency Services</t>
  </si>
  <si>
    <t>(zj)</t>
  </si>
  <si>
    <t>Sound recording studio or agency services</t>
  </si>
  <si>
    <t>(zk)</t>
  </si>
  <si>
    <t>Broadcasting service</t>
  </si>
  <si>
    <t>(zl)</t>
  </si>
  <si>
    <t>Insurance auxiliary service in relation to general insurance</t>
  </si>
  <si>
    <t>(zm)</t>
  </si>
  <si>
    <t>Banking and other Financial services</t>
  </si>
  <si>
    <t>(zn)</t>
  </si>
  <si>
    <t>Port service (major ports)</t>
  </si>
  <si>
    <t>(zo)</t>
  </si>
  <si>
    <t>Service for repair, reconditioning, restoration, or decoration of motor vehicle</t>
  </si>
  <si>
    <t>(zq)</t>
  </si>
  <si>
    <t>Beauty Parlours / Beauty Treatment</t>
  </si>
  <si>
    <t>(zr)</t>
  </si>
  <si>
    <t>Cargo handling service</t>
  </si>
  <si>
    <t>(zs)</t>
  </si>
  <si>
    <t>Cable operators</t>
  </si>
  <si>
    <t>(zt)</t>
  </si>
  <si>
    <t>Dry cleaning service</t>
  </si>
  <si>
    <t>(zu)</t>
  </si>
  <si>
    <t>Event management</t>
  </si>
  <si>
    <t>(zv)</t>
  </si>
  <si>
    <t>Fashion design</t>
  </si>
  <si>
    <t>(zw)</t>
  </si>
  <si>
    <t>Health club and fitness centre service</t>
  </si>
  <si>
    <t>(zx)</t>
  </si>
  <si>
    <t>Life insurance service</t>
  </si>
  <si>
    <t>(zy)</t>
  </si>
  <si>
    <t>Insurance auxiliary concerning life insurance services</t>
  </si>
  <si>
    <t>(zz)</t>
  </si>
  <si>
    <t>Rail travel agent’s service</t>
  </si>
  <si>
    <t>(zza)</t>
  </si>
  <si>
    <t>Storage and warehousing services</t>
  </si>
  <si>
    <t>(zzb)</t>
  </si>
  <si>
    <t>Business auxiliary service</t>
  </si>
  <si>
    <t>(zzc)</t>
  </si>
  <si>
    <t>Commercial training or coaching</t>
  </si>
  <si>
    <t>(zzd)</t>
  </si>
  <si>
    <t>Erection, commissioning and installation</t>
  </si>
  <si>
    <t>(zze)</t>
  </si>
  <si>
    <t>Franchise service</t>
  </si>
  <si>
    <t>(zzf)</t>
  </si>
  <si>
    <t>Internet café</t>
  </si>
  <si>
    <t>(zzg)</t>
  </si>
  <si>
    <t>Maintenance or repair service</t>
  </si>
  <si>
    <t>(zzh)</t>
  </si>
  <si>
    <t>Technical testing and analysis service</t>
  </si>
  <si>
    <t>(zzi)</t>
  </si>
  <si>
    <t xml:space="preserve">Technical inspection and certification agency </t>
  </si>
  <si>
    <t>(zzk)</t>
  </si>
  <si>
    <t>Foreign exchange broker service</t>
  </si>
  <si>
    <t>(zzl)</t>
  </si>
  <si>
    <t>Other port (minor port) service</t>
  </si>
  <si>
    <t>(zzm)</t>
  </si>
  <si>
    <t>Airport services by airport authority</t>
  </si>
  <si>
    <t>(zzn)</t>
  </si>
  <si>
    <t>Transport of goods by air</t>
  </si>
  <si>
    <t>(zzo)</t>
  </si>
  <si>
    <t>Business exhibition service</t>
  </si>
  <si>
    <t>(zzp)</t>
  </si>
  <si>
    <t>Transport of goods by road / GTA</t>
  </si>
  <si>
    <t>(zzq)</t>
  </si>
  <si>
    <t>Construction - Commercial, industrial or civil structures</t>
  </si>
  <si>
    <t>(zzr)</t>
  </si>
  <si>
    <t>Intellectual property services other than copyright</t>
  </si>
  <si>
    <t>(zzs)</t>
  </si>
  <si>
    <t>Opinion poll agency service</t>
  </si>
  <si>
    <t>(zzt)</t>
  </si>
  <si>
    <t>Outdoor catering</t>
  </si>
  <si>
    <t>(zzu)</t>
  </si>
  <si>
    <t>Services by a programme producer</t>
  </si>
  <si>
    <t>(zzv)</t>
  </si>
  <si>
    <t>Survey and exploration of mineral</t>
  </si>
  <si>
    <t>(zzw)</t>
  </si>
  <si>
    <t>Pandal or shamiana service</t>
  </si>
  <si>
    <t>(zzx)</t>
  </si>
  <si>
    <t>Travel agent for booking of passage (other than air/rail travel agents)</t>
  </si>
  <si>
    <t>(zzy)</t>
  </si>
  <si>
    <t>Services provided by recognised/registered associations in relation to forward contracts</t>
  </si>
  <si>
    <t>(zzz)</t>
  </si>
  <si>
    <t>Transport of goods through pipeline or other conduit</t>
  </si>
  <si>
    <t>(zzza)</t>
  </si>
  <si>
    <t>Site formation and clearance, excavation, earth moving and demolition services</t>
  </si>
  <si>
    <t>(zzzb)</t>
  </si>
  <si>
    <t>Dredging of rivers, ports harbours, backwaters, estuaries, etc.</t>
  </si>
  <si>
    <t>(zzzc)</t>
  </si>
  <si>
    <t>Survey and map making service</t>
  </si>
  <si>
    <t>(zzzd)</t>
  </si>
  <si>
    <t>Cleaning services</t>
  </si>
  <si>
    <t>(zzze)</t>
  </si>
  <si>
    <t>Club or association service</t>
  </si>
  <si>
    <t>(zzzf)</t>
  </si>
  <si>
    <t>Packaging service</t>
  </si>
  <si>
    <t>(zzzg)</t>
  </si>
  <si>
    <t>Mailing list compilation and mailing service</t>
  </si>
  <si>
    <t>(zzzh)</t>
  </si>
  <si>
    <t xml:space="preserve">Construction of residential Complex </t>
  </si>
  <si>
    <t>(zzzi)</t>
  </si>
  <si>
    <t>Service provided by a registrar to an issue</t>
  </si>
  <si>
    <t>(zzzj)</t>
  </si>
  <si>
    <t>Service provided by a share transfer agent</t>
  </si>
  <si>
    <t>(zzzk)</t>
  </si>
  <si>
    <t>Automated Teller Machine operations, maintenance or management service</t>
  </si>
  <si>
    <t>(zzzl)</t>
  </si>
  <si>
    <t>Service provided by a recovery agent</t>
  </si>
  <si>
    <t>(zzzm)</t>
  </si>
  <si>
    <t>Selling of space or time slots for advertisements</t>
  </si>
  <si>
    <t>(zzzn)</t>
  </si>
  <si>
    <t>Sponsorship service provided to body-corporate or firm including sports sponsorships</t>
  </si>
  <si>
    <t>(zzzo)</t>
  </si>
  <si>
    <t>Transport of passengers embarking on domestic/international journey by air</t>
  </si>
  <si>
    <t>(zzzp)</t>
  </si>
  <si>
    <t xml:space="preserve">Transport of goods by rail including transport of goods in containers by rail </t>
  </si>
  <si>
    <t>(zzzq)</t>
  </si>
  <si>
    <t>Business support service</t>
  </si>
  <si>
    <t>(zzzr)</t>
  </si>
  <si>
    <t>Auction service</t>
  </si>
  <si>
    <t>(zzzs)</t>
  </si>
  <si>
    <t>Public relation management service</t>
  </si>
  <si>
    <t>(zzzt)</t>
  </si>
  <si>
    <t>Ship management service</t>
  </si>
  <si>
    <t>(zzzu)</t>
  </si>
  <si>
    <t xml:space="preserve">Internet telecommunication services </t>
  </si>
  <si>
    <t>(zzzv)</t>
  </si>
  <si>
    <t>Transport of persons by cruise ship</t>
  </si>
  <si>
    <t>(zzzw)</t>
  </si>
  <si>
    <t>Credit card, debit card, charge card or other payment card related services</t>
  </si>
  <si>
    <t>(zzzx)</t>
  </si>
  <si>
    <t>Services of telegraph authority in relation to telecommunication service</t>
  </si>
  <si>
    <t>(zzzy)</t>
  </si>
  <si>
    <t>Mining of mineral, oil or gas service</t>
  </si>
  <si>
    <t>(zzzz)</t>
  </si>
  <si>
    <t>Renting of immovable property services</t>
  </si>
  <si>
    <t>(zzzza)</t>
  </si>
  <si>
    <t>Works contract service</t>
  </si>
  <si>
    <t>(zzzzb)</t>
  </si>
  <si>
    <t>Development and supply of telecom services, advertising agency, etc.</t>
  </si>
  <si>
    <t>(zzzzc)</t>
  </si>
  <si>
    <t>Asset management including portfolio management and fund management</t>
  </si>
  <si>
    <t>(zzzzd)</t>
  </si>
  <si>
    <t>Design service other than interior decoration and fashion designing</t>
  </si>
  <si>
    <t>(zzzze)</t>
  </si>
  <si>
    <t>Information technology software service</t>
  </si>
  <si>
    <t>(zzzzf)</t>
  </si>
  <si>
    <t xml:space="preserve">ULIP Services provided by an insurer of life insurance </t>
  </si>
  <si>
    <t>(zzzzg)</t>
  </si>
  <si>
    <t>Services provided by a recognized stock exchange in relation to transaction in securities</t>
  </si>
  <si>
    <t>(zzzzh)</t>
  </si>
  <si>
    <t>Services provided by recognised/registered associations in relation to clearance or settlement of transactions in goods or forward contracts</t>
  </si>
  <si>
    <t>(zzzzi)</t>
  </si>
  <si>
    <t>Services provided by a processing and clearinghouse in relation to securities, goods and forward contracts</t>
  </si>
  <si>
    <t>(zzzzj)</t>
  </si>
  <si>
    <t>Services provided by any person in relation to supply of tangible goods</t>
  </si>
  <si>
    <t>(zzzzk)</t>
  </si>
  <si>
    <t>Cosmetic and plastic surgery service</t>
  </si>
  <si>
    <t>(zzzzl)</t>
  </si>
  <si>
    <t xml:space="preserve">Transport of goods by coastal shipping </t>
  </si>
  <si>
    <t>(zzzzm)</t>
  </si>
  <si>
    <t>Legal consultancy service</t>
  </si>
  <si>
    <t>(zzzzn)</t>
  </si>
  <si>
    <t>Promotion, marketing , organizing or assisting in organizing games of chance including lottery, etc.</t>
  </si>
  <si>
    <t>(zzzzo)</t>
  </si>
  <si>
    <t>Health services by a clinical establishment, health check-up/diagnosis , etc.</t>
  </si>
  <si>
    <t>(zzzzp)</t>
  </si>
  <si>
    <t>Maintenance of medical records</t>
  </si>
  <si>
    <t>(zzzzq)</t>
  </si>
  <si>
    <t>Service of promotion or marketing of brand of goods/services/events</t>
  </si>
  <si>
    <t>(zzzzr)</t>
  </si>
  <si>
    <t>Service of permitting commercial use or exploitation of events</t>
  </si>
  <si>
    <t>(zzzzs)</t>
  </si>
  <si>
    <t>Electricity exchange service</t>
  </si>
  <si>
    <t>(zzzzt)</t>
  </si>
  <si>
    <t>Copyright service – transfer temporarily/ permit use or enjoyment</t>
  </si>
  <si>
    <t>(zzzzu)</t>
  </si>
  <si>
    <t>Special services provided by builders</t>
  </si>
  <si>
    <t>(zzzzv)</t>
  </si>
  <si>
    <t>Restaurant service</t>
  </si>
  <si>
    <t>(zzzzw)</t>
  </si>
  <si>
    <t>Other taxable services [ services other than the 119 listed above]</t>
  </si>
  <si>
    <t>Service Tax Accounting Codes for Education Cess</t>
  </si>
  <si>
    <t>Tax collection</t>
  </si>
  <si>
    <t>Deduct refunds</t>
  </si>
  <si>
    <t>Primary Education Cess</t>
  </si>
  <si>
    <t>Secondary and Higher Education Cess</t>
  </si>
  <si>
    <t>All Taxable Services (registrations obtained under this description should be amended online by selecting appropriate description/s from the list of 120 descriptions given in this Annexure)</t>
  </si>
  <si>
    <t>Other receipts (interest)</t>
  </si>
  <si>
    <t>Service of providing accommodation in hotels, inn, guest house, club or campsite whatever name called</t>
  </si>
  <si>
    <t>Sec &amp; HE Cess</t>
  </si>
  <si>
    <t>Drawn on (Bank)</t>
  </si>
  <si>
    <t>Date of Challan</t>
  </si>
  <si>
    <t>Received from Assessee Code No.</t>
  </si>
  <si>
    <t>G.A.R.-7</t>
  </si>
  <si>
    <t>ABCDE1234FSD001</t>
  </si>
  <si>
    <t>WORLD BANK</t>
  </si>
  <si>
    <t>V</t>
  </si>
  <si>
    <t>S-D</t>
  </si>
  <si>
    <t>write in words  (Rupees    ------------ only)</t>
  </si>
  <si>
    <t>0-1</t>
  </si>
  <si>
    <t>0-2</t>
  </si>
  <si>
    <r>
      <t xml:space="preserve">Commissionerate Code </t>
    </r>
    <r>
      <rPr>
        <b/>
        <sz val="11"/>
        <color rgb="FFFF0000"/>
        <rFont val="Calibri"/>
        <family val="2"/>
        <scheme val="minor"/>
      </rPr>
      <t>(Format A-B,0-1)</t>
    </r>
  </si>
  <si>
    <r>
      <t xml:space="preserve">Division Code </t>
    </r>
    <r>
      <rPr>
        <b/>
        <sz val="11"/>
        <color rgb="FFFF0000"/>
        <rFont val="Calibri"/>
        <family val="2"/>
        <scheme val="minor"/>
      </rPr>
      <t>(Format A-B, 1-2, etc)</t>
    </r>
  </si>
  <si>
    <r>
      <t xml:space="preserve">Range Code </t>
    </r>
    <r>
      <rPr>
        <b/>
        <sz val="11"/>
        <color rgb="FFFF0000"/>
        <rFont val="Calibri"/>
        <family val="2"/>
        <scheme val="minor"/>
      </rPr>
      <t>(Format A-B, 1-2, etc)</t>
    </r>
  </si>
  <si>
    <t>Write Code in above Format (eg. SD = S-D, 12 = 1-2,  05 = 0-5)</t>
  </si>
  <si>
    <t xml:space="preserve">Service Code </t>
  </si>
  <si>
    <t>Edu Cess Code</t>
  </si>
  <si>
    <t>SHEdu Cess Code</t>
  </si>
  <si>
    <t>Penalty Code</t>
  </si>
  <si>
    <t>ABC INDUSTRIES LIMITED</t>
  </si>
  <si>
    <t>SERVICE TAX - AHMEDABAD</t>
  </si>
  <si>
    <t xml:space="preserve">1001, ABCDEFG BUILDING, ABCDEFG STREET, ABCDEFG CITY, ABCDEFG DISTRICT, ABCDEFG STATE </t>
  </si>
  <si>
    <t>Interest on Service Tax</t>
  </si>
  <si>
    <t xml:space="preserve">Interset on Edu Cess </t>
  </si>
  <si>
    <t xml:space="preserve">Interest on SHEdu Cess </t>
  </si>
</sst>
</file>

<file path=xl/styles.xml><?xml version="1.0" encoding="utf-8"?>
<styleSheet xmlns="http://schemas.openxmlformats.org/spreadsheetml/2006/main">
  <numFmts count="8">
    <numFmt numFmtId="41" formatCode="_(* #,##0_);_(* \(#,##0\);_(* &quot;-&quot;_);_(@_)"/>
    <numFmt numFmtId="43" formatCode="_(* #,##0.00_);_(* \(#,##0.00\);_(* &quot;-&quot;??_);_(@_)"/>
    <numFmt numFmtId="164" formatCode="[$-409]mmmm\-yy;@"/>
    <numFmt numFmtId="165" formatCode="[$-409]d\-mmm\-yyyy;@"/>
    <numFmt numFmtId="166" formatCode="[$-409]mmm\-yy;@"/>
    <numFmt numFmtId="167" formatCode="00000000"/>
    <numFmt numFmtId="168" formatCode="0_);\(0\)"/>
    <numFmt numFmtId="169" formatCode="00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5.95"/>
      <color theme="10"/>
      <name val="Calibri"/>
      <family val="2"/>
    </font>
    <font>
      <b/>
      <sz val="11"/>
      <color rgb="FF00206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44444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1"/>
      <color rgb="FF0066FF"/>
      <name val="Calibri"/>
      <family val="2"/>
      <scheme val="minor"/>
    </font>
    <font>
      <b/>
      <sz val="15"/>
      <color theme="1"/>
      <name val="Wingdings 2"/>
      <family val="1"/>
      <charset val="2"/>
    </font>
    <font>
      <sz val="8"/>
      <name val="Calibri"/>
      <family val="2"/>
      <scheme val="minor"/>
    </font>
    <font>
      <u/>
      <sz val="5"/>
      <color theme="10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Fill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11" fillId="0" borderId="10" xfId="0" applyFont="1" applyBorder="1" applyAlignment="1" applyProtection="1">
      <protection locked="0"/>
    </xf>
    <xf numFmtId="0" fontId="11" fillId="0" borderId="11" xfId="0" applyFont="1" applyBorder="1" applyAlignment="1" applyProtection="1">
      <protection locked="0"/>
    </xf>
    <xf numFmtId="0" fontId="11" fillId="0" borderId="12" xfId="0" applyFont="1" applyBorder="1" applyAlignment="1" applyProtection="1">
      <alignment horizontal="right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1" fontId="1" fillId="0" borderId="0" xfId="0" applyNumberFormat="1" applyFont="1" applyBorder="1" applyProtection="1">
      <protection locked="0"/>
    </xf>
    <xf numFmtId="2" fontId="0" fillId="0" borderId="0" xfId="0" applyNumberForma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167" fontId="0" fillId="0" borderId="13" xfId="0" applyNumberFormat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0" borderId="0" xfId="0" applyProtection="1">
      <protection hidden="1"/>
    </xf>
    <xf numFmtId="2" fontId="0" fillId="0" borderId="2" xfId="0" applyNumberFormat="1" applyBorder="1" applyAlignment="1" applyProtection="1">
      <alignment horizontal="center"/>
      <protection hidden="1"/>
    </xf>
    <xf numFmtId="1" fontId="0" fillId="0" borderId="2" xfId="0" applyNumberFormat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left" vertical="center"/>
    </xf>
    <xf numFmtId="164" fontId="0" fillId="0" borderId="2" xfId="0" applyNumberFormat="1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15" fillId="2" borderId="2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Alignment="1" applyProtection="1">
      <alignment vertical="top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vertical="top" wrapText="1"/>
    </xf>
    <xf numFmtId="167" fontId="16" fillId="2" borderId="2" xfId="0" applyNumberFormat="1" applyFont="1" applyFill="1" applyBorder="1" applyAlignment="1" applyProtection="1">
      <alignment vertical="top" wrapText="1"/>
    </xf>
    <xf numFmtId="0" fontId="0" fillId="0" borderId="0" xfId="0" applyFont="1" applyProtection="1"/>
    <xf numFmtId="0" fontId="0" fillId="2" borderId="2" xfId="0" applyFont="1" applyFill="1" applyBorder="1" applyAlignment="1" applyProtection="1">
      <alignment wrapText="1"/>
    </xf>
    <xf numFmtId="167" fontId="0" fillId="0" borderId="2" xfId="0" applyNumberFormat="1" applyFont="1" applyBorder="1" applyProtection="1"/>
    <xf numFmtId="0" fontId="17" fillId="0" borderId="0" xfId="0" applyFont="1" applyProtection="1"/>
    <xf numFmtId="0" fontId="0" fillId="0" borderId="2" xfId="0" applyFont="1" applyBorder="1" applyProtection="1"/>
    <xf numFmtId="0" fontId="7" fillId="0" borderId="2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left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left" vertical="top"/>
      <protection hidden="1"/>
    </xf>
    <xf numFmtId="0" fontId="0" fillId="0" borderId="0" xfId="0" applyFont="1" applyProtection="1"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5" xfId="0" applyFont="1" applyBorder="1" applyProtection="1"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Font="1" applyFill="1" applyBorder="1" applyAlignment="1" applyProtection="1">
      <alignment horizontal="center" vertical="top" wrapText="1"/>
      <protection hidden="1"/>
    </xf>
    <xf numFmtId="0" fontId="0" fillId="0" borderId="2" xfId="0" applyFont="1" applyFill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" fillId="0" borderId="0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2" xfId="0" applyFill="1" applyBorder="1" applyAlignment="1" applyProtection="1">
      <alignment horizont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13" fillId="0" borderId="0" xfId="0" applyFont="1" applyBorder="1" applyAlignment="1" applyProtection="1">
      <alignment horizontal="left"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horizontal="left" vertical="center"/>
      <protection hidden="1"/>
    </xf>
    <xf numFmtId="0" fontId="0" fillId="0" borderId="1" xfId="0" applyFont="1" applyBorder="1" applyProtection="1">
      <protection hidden="1"/>
    </xf>
    <xf numFmtId="0" fontId="0" fillId="0" borderId="0" xfId="0" applyFont="1" applyBorder="1" applyProtection="1">
      <protection hidden="1"/>
    </xf>
    <xf numFmtId="0" fontId="0" fillId="0" borderId="5" xfId="0" applyFont="1" applyBorder="1" applyProtection="1">
      <protection hidden="1"/>
    </xf>
    <xf numFmtId="0" fontId="0" fillId="0" borderId="8" xfId="0" applyFont="1" applyBorder="1" applyProtection="1">
      <protection hidden="1"/>
    </xf>
    <xf numFmtId="0" fontId="0" fillId="0" borderId="3" xfId="0" applyFont="1" applyBorder="1" applyProtection="1">
      <protection hidden="1"/>
    </xf>
    <xf numFmtId="0" fontId="0" fillId="0" borderId="4" xfId="0" applyFont="1" applyBorder="1" applyProtection="1">
      <protection hidden="1"/>
    </xf>
    <xf numFmtId="168" fontId="3" fillId="0" borderId="2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0" fillId="0" borderId="9" xfId="0" applyFont="1" applyBorder="1" applyProtection="1">
      <protection hidden="1"/>
    </xf>
    <xf numFmtId="0" fontId="0" fillId="0" borderId="6" xfId="0" applyFont="1" applyBorder="1" applyProtection="1">
      <protection hidden="1"/>
    </xf>
    <xf numFmtId="0" fontId="0" fillId="0" borderId="7" xfId="0" applyFont="1" applyBorder="1" applyProtection="1"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vertical="center"/>
      <protection hidden="1"/>
    </xf>
    <xf numFmtId="0" fontId="13" fillId="0" borderId="1" xfId="0" applyFont="1" applyBorder="1" applyAlignment="1" applyProtection="1">
      <alignment horizontal="left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43" fontId="13" fillId="0" borderId="5" xfId="0" applyNumberFormat="1" applyFont="1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1" fontId="21" fillId="0" borderId="2" xfId="0" applyNumberFormat="1" applyFont="1" applyBorder="1" applyAlignment="1" applyProtection="1">
      <alignment horizontal="center" vertical="center"/>
      <protection hidden="1"/>
    </xf>
    <xf numFmtId="2" fontId="5" fillId="0" borderId="2" xfId="0" applyNumberFormat="1" applyFont="1" applyBorder="1" applyAlignment="1" applyProtection="1">
      <alignment horizontal="center" vertic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25" fillId="0" borderId="2" xfId="0" applyFont="1" applyBorder="1" applyProtection="1"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0" borderId="2" xfId="0" applyFont="1" applyBorder="1" applyAlignment="1" applyProtection="1">
      <alignment horizontal="left" wrapText="1"/>
      <protection locked="0"/>
    </xf>
    <xf numFmtId="0" fontId="25" fillId="0" borderId="2" xfId="0" applyFont="1" applyBorder="1" applyAlignment="1" applyProtection="1">
      <alignment horizontal="left"/>
      <protection locked="0"/>
    </xf>
    <xf numFmtId="164" fontId="26" fillId="0" borderId="14" xfId="1" applyNumberFormat="1" applyFont="1" applyBorder="1" applyAlignment="1" applyProtection="1">
      <alignment horizontal="center"/>
      <protection locked="0"/>
    </xf>
    <xf numFmtId="0" fontId="26" fillId="0" borderId="13" xfId="1" applyFont="1" applyBorder="1" applyAlignment="1" applyProtection="1">
      <alignment horizontal="center"/>
      <protection locked="0"/>
    </xf>
    <xf numFmtId="164" fontId="26" fillId="0" borderId="15" xfId="1" applyNumberFormat="1" applyFont="1" applyBorder="1" applyAlignment="1" applyProtection="1">
      <alignment horizontal="center"/>
      <protection locked="0"/>
    </xf>
    <xf numFmtId="0" fontId="25" fillId="0" borderId="14" xfId="0" applyFont="1" applyBorder="1" applyProtection="1">
      <protection locked="0"/>
    </xf>
    <xf numFmtId="0" fontId="25" fillId="0" borderId="13" xfId="0" applyFont="1" applyBorder="1" applyProtection="1">
      <protection locked="0"/>
    </xf>
    <xf numFmtId="169" fontId="25" fillId="0" borderId="13" xfId="0" applyNumberFormat="1" applyFont="1" applyBorder="1" applyAlignment="1" applyProtection="1">
      <alignment horizontal="left"/>
      <protection locked="0"/>
    </xf>
    <xf numFmtId="169" fontId="25" fillId="0" borderId="15" xfId="0" applyNumberFormat="1" applyFont="1" applyBorder="1" applyAlignment="1" applyProtection="1">
      <alignment horizontal="left"/>
      <protection locked="0"/>
    </xf>
    <xf numFmtId="1" fontId="25" fillId="0" borderId="13" xfId="0" applyNumberFormat="1" applyFont="1" applyBorder="1" applyProtection="1">
      <protection locked="0"/>
    </xf>
    <xf numFmtId="1" fontId="25" fillId="0" borderId="2" xfId="0" applyNumberFormat="1" applyFont="1" applyBorder="1" applyProtection="1">
      <protection locked="0"/>
    </xf>
    <xf numFmtId="165" fontId="25" fillId="0" borderId="2" xfId="0" applyNumberFormat="1" applyFont="1" applyBorder="1" applyAlignment="1" applyProtection="1">
      <alignment horizontal="left"/>
      <protection locked="0"/>
    </xf>
    <xf numFmtId="0" fontId="28" fillId="0" borderId="6" xfId="0" applyFont="1" applyBorder="1" applyAlignment="1" applyProtection="1">
      <alignment horizontal="left" vertical="center"/>
      <protection hidden="1"/>
    </xf>
    <xf numFmtId="166" fontId="14" fillId="0" borderId="3" xfId="0" applyNumberFormat="1" applyFont="1" applyBorder="1" applyAlignment="1" applyProtection="1">
      <alignment horizontal="center" vertical="top" wrapText="1" shrinkToFit="1"/>
      <protection hidden="1"/>
    </xf>
    <xf numFmtId="0" fontId="29" fillId="0" borderId="0" xfId="1" applyFont="1" applyAlignment="1" applyProtection="1">
      <protection hidden="1"/>
    </xf>
    <xf numFmtId="0" fontId="30" fillId="0" borderId="0" xfId="0" applyFont="1" applyBorder="1" applyProtection="1"/>
    <xf numFmtId="0" fontId="3" fillId="0" borderId="14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30" fillId="0" borderId="0" xfId="0" applyFont="1" applyProtection="1">
      <protection locked="0"/>
    </xf>
    <xf numFmtId="167" fontId="0" fillId="0" borderId="13" xfId="0" applyNumberFormat="1" applyFont="1" applyBorder="1" applyProtection="1"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43" fontId="23" fillId="0" borderId="10" xfId="0" applyNumberFormat="1" applyFont="1" applyBorder="1" applyAlignment="1" applyProtection="1">
      <alignment horizontal="center" vertical="center" shrinkToFit="1"/>
      <protection hidden="1"/>
    </xf>
    <xf numFmtId="43" fontId="23" fillId="0" borderId="11" xfId="0" applyNumberFormat="1" applyFont="1" applyBorder="1" applyAlignment="1" applyProtection="1">
      <alignment horizontal="center" vertical="center" shrinkToFit="1"/>
      <protection hidden="1"/>
    </xf>
    <xf numFmtId="43" fontId="23" fillId="0" borderId="12" xfId="0" applyNumberFormat="1" applyFont="1" applyBorder="1" applyAlignment="1" applyProtection="1">
      <alignment horizontal="center" vertical="center" shrinkToFit="1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0" fontId="24" fillId="0" borderId="10" xfId="0" applyFont="1" applyBorder="1" applyAlignment="1" applyProtection="1">
      <alignment horizontal="center" vertical="center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164" fontId="3" fillId="0" borderId="10" xfId="0" applyNumberFormat="1" applyFont="1" applyBorder="1" applyAlignment="1" applyProtection="1">
      <alignment horizontal="center" vertical="center"/>
      <protection hidden="1"/>
    </xf>
    <xf numFmtId="164" fontId="3" fillId="0" borderId="11" xfId="0" applyNumberFormat="1" applyFont="1" applyBorder="1" applyAlignment="1" applyProtection="1">
      <alignment horizontal="center" vertical="center"/>
      <protection hidden="1"/>
    </xf>
    <xf numFmtId="164" fontId="3" fillId="0" borderId="12" xfId="0" applyNumberFormat="1" applyFont="1" applyBorder="1" applyAlignment="1" applyProtection="1">
      <alignment horizontal="center" vertical="center"/>
      <protection hidden="1"/>
    </xf>
    <xf numFmtId="43" fontId="22" fillId="0" borderId="10" xfId="0" applyNumberFormat="1" applyFont="1" applyBorder="1" applyAlignment="1" applyProtection="1">
      <alignment horizontal="center" vertical="center" shrinkToFit="1"/>
      <protection hidden="1"/>
    </xf>
    <xf numFmtId="43" fontId="22" fillId="0" borderId="11" xfId="0" applyNumberFormat="1" applyFont="1" applyBorder="1" applyAlignment="1" applyProtection="1">
      <alignment horizontal="center" vertical="center" shrinkToFit="1"/>
      <protection hidden="1"/>
    </xf>
    <xf numFmtId="43" fontId="22" fillId="0" borderId="12" xfId="0" applyNumberFormat="1" applyFont="1" applyBorder="1" applyAlignment="1" applyProtection="1">
      <alignment horizontal="center" vertical="center" shrinkToFit="1"/>
      <protection hidden="1"/>
    </xf>
    <xf numFmtId="168" fontId="23" fillId="0" borderId="10" xfId="0" applyNumberFormat="1" applyFont="1" applyBorder="1" applyAlignment="1" applyProtection="1">
      <alignment horizontal="center" vertical="center"/>
      <protection hidden="1"/>
    </xf>
    <xf numFmtId="168" fontId="23" fillId="0" borderId="11" xfId="0" applyNumberFormat="1" applyFont="1" applyBorder="1" applyAlignment="1" applyProtection="1">
      <alignment horizontal="center" vertical="center"/>
      <protection hidden="1"/>
    </xf>
    <xf numFmtId="168" fontId="23" fillId="0" borderId="12" xfId="0" applyNumberFormat="1" applyFont="1" applyBorder="1" applyAlignment="1" applyProtection="1">
      <alignment horizontal="center" vertical="center"/>
      <protection hidden="1"/>
    </xf>
    <xf numFmtId="165" fontId="23" fillId="0" borderId="10" xfId="0" applyNumberFormat="1" applyFont="1" applyBorder="1" applyAlignment="1" applyProtection="1">
      <alignment horizontal="center" vertical="center" shrinkToFit="1"/>
      <protection hidden="1"/>
    </xf>
    <xf numFmtId="165" fontId="23" fillId="0" borderId="11" xfId="0" applyNumberFormat="1" applyFont="1" applyBorder="1" applyAlignment="1" applyProtection="1">
      <alignment horizontal="center" vertical="center" shrinkToFit="1"/>
      <protection hidden="1"/>
    </xf>
    <xf numFmtId="165" fontId="23" fillId="0" borderId="12" xfId="0" applyNumberFormat="1" applyFont="1" applyBorder="1" applyAlignment="1" applyProtection="1">
      <alignment horizontal="center" vertical="center" shrinkToFit="1"/>
      <protection hidden="1"/>
    </xf>
    <xf numFmtId="0" fontId="27" fillId="0" borderId="0" xfId="0" applyFont="1" applyAlignment="1" applyProtection="1">
      <alignment horizontal="center" vertical="top"/>
      <protection hidden="1"/>
    </xf>
    <xf numFmtId="0" fontId="27" fillId="0" borderId="6" xfId="0" applyFont="1" applyBorder="1" applyAlignment="1" applyProtection="1">
      <alignment horizontal="center" vertical="top"/>
      <protection hidden="1"/>
    </xf>
    <xf numFmtId="0" fontId="18" fillId="0" borderId="3" xfId="0" applyFont="1" applyBorder="1" applyAlignment="1" applyProtection="1">
      <alignment horizontal="justify" vertical="top" wrapText="1"/>
      <protection hidden="1"/>
    </xf>
    <xf numFmtId="165" fontId="4" fillId="0" borderId="6" xfId="0" applyNumberFormat="1" applyFont="1" applyBorder="1" applyAlignment="1" applyProtection="1">
      <alignment horizontal="center" vertical="center"/>
      <protection hidden="1"/>
    </xf>
    <xf numFmtId="166" fontId="14" fillId="0" borderId="3" xfId="0" applyNumberFormat="1" applyFont="1" applyBorder="1" applyAlignment="1" applyProtection="1">
      <alignment horizontal="center" vertical="top"/>
      <protection hidden="1"/>
    </xf>
    <xf numFmtId="166" fontId="14" fillId="0" borderId="3" xfId="0" applyNumberFormat="1" applyFont="1" applyBorder="1" applyAlignment="1" applyProtection="1">
      <alignment horizontal="center" vertical="top" shrinkToFit="1"/>
      <protection hidden="1"/>
    </xf>
    <xf numFmtId="164" fontId="14" fillId="0" borderId="3" xfId="0" applyNumberFormat="1" applyFont="1" applyBorder="1" applyAlignment="1" applyProtection="1">
      <alignment horizontal="center" vertical="top" shrinkToFit="1"/>
      <protection hidden="1"/>
    </xf>
    <xf numFmtId="41" fontId="22" fillId="0" borderId="10" xfId="0" applyNumberFormat="1" applyFont="1" applyBorder="1" applyAlignment="1" applyProtection="1">
      <alignment horizontal="center" vertical="center" shrinkToFit="1"/>
      <protection hidden="1"/>
    </xf>
    <xf numFmtId="41" fontId="22" fillId="0" borderId="11" xfId="0" applyNumberFormat="1" applyFont="1" applyBorder="1" applyAlignment="1" applyProtection="1">
      <alignment horizontal="center" vertical="center" shrinkToFit="1"/>
      <protection hidden="1"/>
    </xf>
    <xf numFmtId="41" fontId="22" fillId="0" borderId="12" xfId="0" applyNumberFormat="1" applyFont="1" applyBorder="1" applyAlignment="1" applyProtection="1">
      <alignment horizontal="center" vertical="center" shrinkToFi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H187"/>
  <sheetViews>
    <sheetView view="pageBreakPreview" topLeftCell="A23" zoomScale="130" zoomScaleNormal="55" zoomScaleSheetLayoutView="130" workbookViewId="0">
      <selection activeCell="A43" sqref="A43"/>
    </sheetView>
  </sheetViews>
  <sheetFormatPr defaultRowHeight="15"/>
  <cols>
    <col min="1" max="1" width="37.42578125" style="2" bestFit="1" customWidth="1"/>
    <col min="2" max="2" width="3.85546875" style="16" customWidth="1"/>
    <col min="3" max="3" width="49.7109375" style="2" customWidth="1"/>
    <col min="4" max="11" width="3.85546875" style="3" hidden="1" customWidth="1"/>
    <col min="12" max="12" width="22" style="2" bestFit="1" customWidth="1"/>
    <col min="13" max="14" width="3.85546875" style="2" customWidth="1"/>
    <col min="15" max="15" width="9.140625" style="2"/>
    <col min="16" max="16" width="15.140625" style="2" hidden="1" customWidth="1"/>
    <col min="17" max="17" width="10.28515625" style="2" hidden="1" customWidth="1"/>
    <col min="18" max="18" width="10.42578125" style="2" hidden="1" customWidth="1"/>
    <col min="19" max="19" width="9.140625" style="2" hidden="1" customWidth="1"/>
    <col min="20" max="20" width="6.7109375" style="2" hidden="1" customWidth="1"/>
    <col min="21" max="21" width="8" style="2" hidden="1" customWidth="1"/>
    <col min="22" max="22" width="58.140625" style="2" hidden="1" customWidth="1"/>
    <col min="23" max="25" width="12.5703125" style="2" hidden="1" customWidth="1"/>
    <col min="26" max="26" width="14.140625" style="2" hidden="1" customWidth="1"/>
    <col min="27" max="27" width="16.28515625" style="2" hidden="1" customWidth="1"/>
    <col min="28" max="28" width="15.140625" style="2" hidden="1" customWidth="1"/>
    <col min="29" max="29" width="9.140625" style="2"/>
    <col min="30" max="31" width="9.140625" style="31"/>
    <col min="32" max="32" width="9.140625" style="32"/>
    <col min="33" max="34" width="9.140625" style="31"/>
    <col min="35" max="16384" width="9.140625" style="2"/>
  </cols>
  <sheetData>
    <row r="1" spans="1:7">
      <c r="A1" s="52" t="s">
        <v>24</v>
      </c>
      <c r="B1" s="2"/>
    </row>
    <row r="2" spans="1:7" ht="17.25">
      <c r="A2" s="53" t="s">
        <v>25</v>
      </c>
      <c r="B2" s="2"/>
      <c r="C2" s="4"/>
    </row>
    <row r="3" spans="1:7">
      <c r="B3" s="5"/>
    </row>
    <row r="5" spans="1:7">
      <c r="A5" s="149"/>
      <c r="B5" s="149"/>
      <c r="C5" s="149"/>
    </row>
    <row r="6" spans="1:7">
      <c r="A6" s="6" t="s">
        <v>26</v>
      </c>
      <c r="B6" s="7" t="s">
        <v>27</v>
      </c>
      <c r="C6" s="123" t="s">
        <v>327</v>
      </c>
    </row>
    <row r="7" spans="1:7" ht="30">
      <c r="A7" s="8" t="s">
        <v>28</v>
      </c>
      <c r="B7" s="9" t="s">
        <v>27</v>
      </c>
      <c r="C7" s="124" t="s">
        <v>329</v>
      </c>
    </row>
    <row r="8" spans="1:7">
      <c r="A8" s="24" t="s">
        <v>31</v>
      </c>
      <c r="B8" s="25" t="s">
        <v>27</v>
      </c>
      <c r="C8" s="125">
        <v>400001</v>
      </c>
    </row>
    <row r="9" spans="1:7">
      <c r="A9" s="6" t="s">
        <v>29</v>
      </c>
      <c r="B9" s="7" t="s">
        <v>27</v>
      </c>
      <c r="C9" s="126">
        <v>9876543210</v>
      </c>
    </row>
    <row r="10" spans="1:7">
      <c r="A10" s="6" t="s">
        <v>45</v>
      </c>
      <c r="B10" s="7" t="s">
        <v>27</v>
      </c>
      <c r="C10" s="126" t="s">
        <v>312</v>
      </c>
    </row>
    <row r="11" spans="1:7">
      <c r="A11" s="146" t="s">
        <v>8</v>
      </c>
      <c r="B11" s="18" t="s">
        <v>27</v>
      </c>
      <c r="C11" s="127">
        <v>41275</v>
      </c>
    </row>
    <row r="12" spans="1:7">
      <c r="A12" s="147"/>
      <c r="B12" s="10" t="s">
        <v>27</v>
      </c>
      <c r="C12" s="128" t="s">
        <v>46</v>
      </c>
      <c r="G12" s="20"/>
    </row>
    <row r="13" spans="1:7">
      <c r="A13" s="148"/>
      <c r="B13" s="19" t="s">
        <v>27</v>
      </c>
      <c r="C13" s="129">
        <v>41334</v>
      </c>
      <c r="G13" s="20"/>
    </row>
    <row r="14" spans="1:7">
      <c r="A14" s="1"/>
      <c r="B14" s="12"/>
      <c r="C14" s="11"/>
      <c r="G14" s="20"/>
    </row>
    <row r="15" spans="1:7">
      <c r="A15" s="141" t="s">
        <v>4</v>
      </c>
      <c r="B15" s="18" t="s">
        <v>27</v>
      </c>
      <c r="C15" s="130" t="s">
        <v>328</v>
      </c>
      <c r="G15" s="20"/>
    </row>
    <row r="16" spans="1:7">
      <c r="A16" s="142" t="s">
        <v>319</v>
      </c>
      <c r="B16" s="10" t="s">
        <v>27</v>
      </c>
      <c r="C16" s="131" t="s">
        <v>315</v>
      </c>
      <c r="G16" s="20"/>
    </row>
    <row r="17" spans="1:12">
      <c r="A17" s="142" t="s">
        <v>320</v>
      </c>
      <c r="B17" s="10" t="s">
        <v>27</v>
      </c>
      <c r="C17" s="132" t="s">
        <v>317</v>
      </c>
      <c r="G17" s="20"/>
    </row>
    <row r="18" spans="1:12">
      <c r="A18" s="143" t="s">
        <v>321</v>
      </c>
      <c r="B18" s="19" t="s">
        <v>27</v>
      </c>
      <c r="C18" s="133" t="s">
        <v>318</v>
      </c>
      <c r="G18" s="20"/>
    </row>
    <row r="19" spans="1:12">
      <c r="A19" s="140" t="s">
        <v>322</v>
      </c>
      <c r="B19" s="12"/>
      <c r="C19" s="11"/>
    </row>
    <row r="21" spans="1:12">
      <c r="A21" s="30" t="s">
        <v>54</v>
      </c>
      <c r="B21" s="29"/>
      <c r="C21" s="38" t="s">
        <v>216</v>
      </c>
    </row>
    <row r="22" spans="1:12">
      <c r="A22" s="21" t="s">
        <v>49</v>
      </c>
      <c r="B22" s="22"/>
      <c r="C22" s="23" t="s">
        <v>50</v>
      </c>
    </row>
    <row r="23" spans="1:12">
      <c r="A23" s="33">
        <f>VLOOKUP(C$21,$V$61:$AB$180,2)</f>
        <v>440334</v>
      </c>
      <c r="B23" s="10" t="s">
        <v>27</v>
      </c>
      <c r="C23" s="134">
        <v>1000000</v>
      </c>
      <c r="L23" s="144" t="s">
        <v>323</v>
      </c>
    </row>
    <row r="24" spans="1:12">
      <c r="A24" s="33">
        <f>VLOOKUP(C$21,$V$61:$AB$180,6)</f>
        <v>440298</v>
      </c>
      <c r="B24" s="10" t="s">
        <v>27</v>
      </c>
      <c r="C24" s="134">
        <f>ROUNDUP(C23*2%,0)</f>
        <v>20000</v>
      </c>
      <c r="L24" s="144" t="s">
        <v>324</v>
      </c>
    </row>
    <row r="25" spans="1:12">
      <c r="A25" s="33">
        <f>VLOOKUP(C$21,$V$61:$AB$180,7)</f>
        <v>440426</v>
      </c>
      <c r="B25" s="10" t="s">
        <v>27</v>
      </c>
      <c r="C25" s="134">
        <f>ROUNDUP(C23*1%,0)</f>
        <v>10000</v>
      </c>
      <c r="L25" s="144" t="s">
        <v>325</v>
      </c>
    </row>
    <row r="26" spans="1:12">
      <c r="A26" s="33">
        <f>VLOOKUP(C$21,$V$61:$AB$180,3)</f>
        <v>440335</v>
      </c>
      <c r="B26" s="10" t="s">
        <v>27</v>
      </c>
      <c r="C26" s="134">
        <v>123450</v>
      </c>
      <c r="L26" s="144" t="s">
        <v>330</v>
      </c>
    </row>
    <row r="27" spans="1:12">
      <c r="A27" s="145">
        <f>VLOOKUP(C$21,$V$61:$AB$180,4)</f>
        <v>441438</v>
      </c>
      <c r="B27" s="10"/>
      <c r="C27" s="134">
        <v>0</v>
      </c>
      <c r="L27" s="144" t="s">
        <v>326</v>
      </c>
    </row>
    <row r="28" spans="1:12">
      <c r="A28" s="145">
        <v>440299</v>
      </c>
      <c r="B28" s="10"/>
      <c r="C28" s="134">
        <v>0</v>
      </c>
      <c r="L28" s="144" t="s">
        <v>331</v>
      </c>
    </row>
    <row r="29" spans="1:12">
      <c r="A29" s="145">
        <v>440427</v>
      </c>
      <c r="B29" s="10"/>
      <c r="C29" s="134">
        <v>0</v>
      </c>
      <c r="L29" s="144" t="s">
        <v>332</v>
      </c>
    </row>
    <row r="30" spans="1:12">
      <c r="A30" s="6" t="s">
        <v>30</v>
      </c>
      <c r="B30" s="7"/>
      <c r="C30" s="135">
        <f>SUM(C23:C29)</f>
        <v>1153450</v>
      </c>
      <c r="D30" s="27"/>
      <c r="E30" s="27"/>
      <c r="F30" s="27"/>
      <c r="G30" s="27"/>
      <c r="H30" s="27"/>
      <c r="I30" s="27"/>
      <c r="J30" s="27"/>
      <c r="K30" s="27"/>
      <c r="L30" s="144"/>
    </row>
    <row r="31" spans="1:12">
      <c r="A31" s="11"/>
      <c r="B31" s="12"/>
      <c r="C31" s="26"/>
      <c r="D31" s="27"/>
      <c r="E31" s="27"/>
      <c r="F31" s="27"/>
      <c r="G31" s="27"/>
      <c r="H31" s="27"/>
      <c r="I31" s="27"/>
      <c r="J31" s="27"/>
      <c r="K31" s="27"/>
      <c r="L31" s="144"/>
    </row>
    <row r="32" spans="1:12">
      <c r="A32" s="150"/>
      <c r="B32" s="150"/>
      <c r="C32" s="150"/>
    </row>
    <row r="33" spans="1:14">
      <c r="A33" s="6" t="s">
        <v>51</v>
      </c>
      <c r="B33" s="7"/>
      <c r="C33" s="123" t="s">
        <v>316</v>
      </c>
    </row>
    <row r="34" spans="1:14">
      <c r="A34" s="28" t="s">
        <v>23</v>
      </c>
      <c r="B34" s="7" t="s">
        <v>27</v>
      </c>
      <c r="C34" s="126">
        <v>123456</v>
      </c>
    </row>
    <row r="35" spans="1:14">
      <c r="A35" s="28" t="s">
        <v>52</v>
      </c>
      <c r="B35" s="7" t="s">
        <v>27</v>
      </c>
      <c r="C35" s="136">
        <v>41501</v>
      </c>
    </row>
    <row r="36" spans="1:14">
      <c r="A36" s="28" t="s">
        <v>308</v>
      </c>
      <c r="B36" s="7" t="s">
        <v>27</v>
      </c>
      <c r="C36" s="123" t="s">
        <v>313</v>
      </c>
    </row>
    <row r="37" spans="1:14">
      <c r="A37" s="6" t="s">
        <v>309</v>
      </c>
      <c r="B37" s="7" t="s">
        <v>27</v>
      </c>
      <c r="C37" s="136">
        <v>41501</v>
      </c>
      <c r="D37" s="13"/>
      <c r="E37" s="13"/>
      <c r="F37" s="13"/>
      <c r="G37" s="13"/>
      <c r="H37" s="13"/>
      <c r="I37" s="13"/>
      <c r="J37" s="13"/>
      <c r="K37" s="13"/>
      <c r="L37" s="14"/>
      <c r="M37" s="14"/>
      <c r="N37" s="14"/>
    </row>
    <row r="38" spans="1:14">
      <c r="A38" s="15"/>
      <c r="B38" s="14"/>
      <c r="C38" s="14"/>
      <c r="D38" s="13"/>
      <c r="E38" s="13"/>
      <c r="F38" s="13"/>
      <c r="G38" s="13"/>
      <c r="H38" s="13"/>
      <c r="I38" s="13"/>
      <c r="J38" s="13"/>
      <c r="K38" s="13"/>
      <c r="L38" s="14"/>
      <c r="M38" s="14"/>
      <c r="N38" s="14"/>
    </row>
    <row r="39" spans="1:14">
      <c r="A39" s="15"/>
    </row>
    <row r="40" spans="1:14">
      <c r="A40" s="15"/>
    </row>
    <row r="60" spans="16:28" ht="45">
      <c r="T60" s="42" t="s">
        <v>55</v>
      </c>
      <c r="U60" s="43"/>
      <c r="V60" s="43" t="s">
        <v>56</v>
      </c>
      <c r="W60" s="44" t="s">
        <v>57</v>
      </c>
      <c r="X60" s="44" t="s">
        <v>58</v>
      </c>
      <c r="Y60" s="44" t="s">
        <v>59</v>
      </c>
      <c r="Z60" s="44" t="s">
        <v>60</v>
      </c>
      <c r="AA60" s="44" t="s">
        <v>302</v>
      </c>
      <c r="AB60" s="44" t="s">
        <v>307</v>
      </c>
    </row>
    <row r="61" spans="16:28">
      <c r="P61" s="39" t="s">
        <v>32</v>
      </c>
      <c r="Q61" s="17" t="s">
        <v>33</v>
      </c>
      <c r="R61" s="17" t="s">
        <v>38</v>
      </c>
      <c r="T61" s="45">
        <v>1</v>
      </c>
      <c r="U61" s="45" t="s">
        <v>65</v>
      </c>
      <c r="V61" s="45" t="s">
        <v>66</v>
      </c>
      <c r="W61" s="46">
        <v>440013</v>
      </c>
      <c r="X61" s="46">
        <v>440016</v>
      </c>
      <c r="Y61" s="46">
        <v>441299</v>
      </c>
      <c r="Z61" s="46">
        <v>440017</v>
      </c>
      <c r="AA61" s="46">
        <v>440298</v>
      </c>
      <c r="AB61" s="46">
        <v>440426</v>
      </c>
    </row>
    <row r="62" spans="16:28">
      <c r="P62" s="40">
        <v>39539</v>
      </c>
      <c r="Q62" s="41" t="s">
        <v>34</v>
      </c>
      <c r="R62" s="41" t="s">
        <v>39</v>
      </c>
      <c r="T62" s="45">
        <v>2</v>
      </c>
      <c r="U62" s="45" t="s">
        <v>79</v>
      </c>
      <c r="V62" s="45" t="s">
        <v>80</v>
      </c>
      <c r="W62" s="46">
        <v>440032</v>
      </c>
      <c r="X62" s="46">
        <v>440033</v>
      </c>
      <c r="Y62" s="46">
        <v>441304</v>
      </c>
      <c r="Z62" s="46">
        <v>440034</v>
      </c>
      <c r="AA62" s="46">
        <v>440298</v>
      </c>
      <c r="AB62" s="46">
        <v>440426</v>
      </c>
    </row>
    <row r="63" spans="16:28">
      <c r="P63" s="40">
        <v>39569</v>
      </c>
      <c r="Q63" s="41" t="s">
        <v>34</v>
      </c>
      <c r="R63" s="41" t="s">
        <v>39</v>
      </c>
      <c r="T63" s="45">
        <v>3</v>
      </c>
      <c r="U63" s="45" t="s">
        <v>173</v>
      </c>
      <c r="V63" s="45" t="s">
        <v>174</v>
      </c>
      <c r="W63" s="46">
        <v>440258</v>
      </c>
      <c r="X63" s="46">
        <v>440259</v>
      </c>
      <c r="Y63" s="46">
        <v>441391</v>
      </c>
      <c r="Z63" s="46">
        <v>440260</v>
      </c>
      <c r="AA63" s="46">
        <v>440298</v>
      </c>
      <c r="AB63" s="46">
        <v>440426</v>
      </c>
    </row>
    <row r="64" spans="16:28">
      <c r="P64" s="40">
        <v>39600</v>
      </c>
      <c r="Q64" s="41" t="s">
        <v>34</v>
      </c>
      <c r="R64" s="41" t="s">
        <v>39</v>
      </c>
      <c r="T64" s="45">
        <v>4</v>
      </c>
      <c r="U64" s="45" t="s">
        <v>87</v>
      </c>
      <c r="V64" s="45" t="s">
        <v>88</v>
      </c>
      <c r="W64" s="46">
        <v>440072</v>
      </c>
      <c r="X64" s="46">
        <v>440073</v>
      </c>
      <c r="Y64" s="46">
        <v>441314</v>
      </c>
      <c r="Z64" s="46">
        <v>440074</v>
      </c>
      <c r="AA64" s="46">
        <v>440298</v>
      </c>
      <c r="AB64" s="46">
        <v>440426</v>
      </c>
    </row>
    <row r="65" spans="4:28" ht="30">
      <c r="P65" s="40">
        <v>39630</v>
      </c>
      <c r="Q65" s="41" t="s">
        <v>35</v>
      </c>
      <c r="R65" s="41" t="s">
        <v>39</v>
      </c>
      <c r="T65" s="45">
        <v>5</v>
      </c>
      <c r="U65" s="45" t="s">
        <v>257</v>
      </c>
      <c r="V65" s="45" t="s">
        <v>258</v>
      </c>
      <c r="W65" s="46">
        <v>440418</v>
      </c>
      <c r="X65" s="46">
        <v>440419</v>
      </c>
      <c r="Y65" s="46">
        <v>441459</v>
      </c>
      <c r="Z65" s="46">
        <v>440420</v>
      </c>
      <c r="AA65" s="46">
        <v>440298</v>
      </c>
      <c r="AB65" s="46">
        <v>440426</v>
      </c>
    </row>
    <row r="66" spans="4:28">
      <c r="P66" s="40">
        <v>39661</v>
      </c>
      <c r="Q66" s="41" t="s">
        <v>35</v>
      </c>
      <c r="R66" s="41" t="s">
        <v>39</v>
      </c>
      <c r="T66" s="45">
        <v>6</v>
      </c>
      <c r="U66" s="45" t="s">
        <v>235</v>
      </c>
      <c r="V66" s="45" t="s">
        <v>236</v>
      </c>
      <c r="W66" s="46">
        <v>440370</v>
      </c>
      <c r="X66" s="46">
        <v>440371</v>
      </c>
      <c r="Y66" s="46">
        <v>441448</v>
      </c>
      <c r="Z66" s="46">
        <v>440372</v>
      </c>
      <c r="AA66" s="46">
        <v>440298</v>
      </c>
      <c r="AB66" s="46">
        <v>440426</v>
      </c>
    </row>
    <row r="67" spans="4:28" ht="30">
      <c r="P67" s="40">
        <v>39692</v>
      </c>
      <c r="Q67" s="41" t="s">
        <v>35</v>
      </c>
      <c r="R67" s="41" t="s">
        <v>39</v>
      </c>
      <c r="T67" s="45">
        <v>7</v>
      </c>
      <c r="U67" s="45" t="s">
        <v>221</v>
      </c>
      <c r="V67" s="45" t="s">
        <v>222</v>
      </c>
      <c r="W67" s="46">
        <v>440346</v>
      </c>
      <c r="X67" s="46">
        <v>440347</v>
      </c>
      <c r="Y67" s="46">
        <v>441441</v>
      </c>
      <c r="Z67" s="46">
        <v>440348</v>
      </c>
      <c r="AA67" s="46">
        <v>440298</v>
      </c>
      <c r="AB67" s="46">
        <v>440426</v>
      </c>
    </row>
    <row r="68" spans="4:28">
      <c r="D68" s="34">
        <v>8</v>
      </c>
      <c r="E68" s="35"/>
      <c r="F68" s="35"/>
      <c r="G68" s="34"/>
      <c r="H68" s="35"/>
      <c r="I68" s="35"/>
      <c r="J68" s="35"/>
      <c r="K68" s="35"/>
      <c r="P68" s="40">
        <v>39722</v>
      </c>
      <c r="Q68" s="41" t="s">
        <v>36</v>
      </c>
      <c r="R68" s="41" t="s">
        <v>39</v>
      </c>
      <c r="T68" s="45">
        <v>8</v>
      </c>
      <c r="U68" s="45" t="s">
        <v>125</v>
      </c>
      <c r="V68" s="45" t="s">
        <v>126</v>
      </c>
      <c r="W68" s="46">
        <v>440173</v>
      </c>
      <c r="X68" s="46">
        <v>440174</v>
      </c>
      <c r="Y68" s="46">
        <v>441339</v>
      </c>
      <c r="Z68" s="46">
        <v>440175</v>
      </c>
      <c r="AA68" s="46">
        <v>440298</v>
      </c>
      <c r="AB68" s="46">
        <v>440426</v>
      </c>
    </row>
    <row r="69" spans="4:28">
      <c r="D69" s="34"/>
      <c r="E69" s="35"/>
      <c r="F69" s="35"/>
      <c r="G69" s="34"/>
      <c r="H69" s="35"/>
      <c r="I69" s="35"/>
      <c r="J69" s="35"/>
      <c r="K69" s="35"/>
      <c r="P69" s="40">
        <v>39753</v>
      </c>
      <c r="Q69" s="41" t="s">
        <v>36</v>
      </c>
      <c r="R69" s="41" t="s">
        <v>39</v>
      </c>
      <c r="T69" s="45">
        <v>9</v>
      </c>
      <c r="U69" s="45" t="s">
        <v>131</v>
      </c>
      <c r="V69" s="45" t="s">
        <v>132</v>
      </c>
      <c r="W69" s="46">
        <v>440209</v>
      </c>
      <c r="X69" s="46">
        <v>440210</v>
      </c>
      <c r="Y69" s="46">
        <v>441361</v>
      </c>
      <c r="Z69" s="46">
        <v>440211</v>
      </c>
      <c r="AA69" s="46">
        <v>440298</v>
      </c>
      <c r="AB69" s="46">
        <v>440426</v>
      </c>
    </row>
    <row r="70" spans="4:28">
      <c r="D70" s="36" t="str">
        <f>IF(ISERROR(MID($C23,LEN($C23)-(D68+1-COLUMN()+2),1)),"",MID($C23,LEN($C23)-(D68+1-COLUMN()+2),1))</f>
        <v/>
      </c>
      <c r="E70" s="36" t="str">
        <f>IF(ISERROR(MID($C23,LEN($C23)-(D68+1-COLUMN()+2),1)),"",MID($C23,LEN($C23)-(D68+1-COLUMN()+2),1))</f>
        <v>1</v>
      </c>
      <c r="F70" s="36" t="str">
        <f>IF(ISERROR(MID($C23,LEN($C23)-(D68+1-COLUMN()+2),1)),"",MID($C23,LEN($C23)-(D68+1-COLUMN()+2),1))</f>
        <v>0</v>
      </c>
      <c r="G70" s="36" t="str">
        <f>IF(ISERROR(MID($C23,LEN($C23)-(D68+1-COLUMN()+2),1)),"",MID($C23,LEN($C23)-(D68+1-COLUMN()+2),1))</f>
        <v>0</v>
      </c>
      <c r="H70" s="36" t="str">
        <f>IF(ISERROR(MID($C23,LEN($C23)-(D68+1-COLUMN()+2),1)),"",MID($C23,LEN($C23)-(D68+1-COLUMN()+2),1))</f>
        <v>0</v>
      </c>
      <c r="I70" s="36" t="str">
        <f>IF(ISERROR(MID($C23,LEN($C23)-(D68+1-COLUMN()+2),1)),"",MID($C23,LEN($C23)-(D68+1-COLUMN()+2),1))</f>
        <v>0</v>
      </c>
      <c r="J70" s="36" t="str">
        <f>IF(ISERROR(MID($C23,LEN($C23)-(D68+1-COLUMN()+2),1)),"",MID($C23,LEN($C23)-(D68+1-COLUMN()+2),1))</f>
        <v>0</v>
      </c>
      <c r="K70" s="36" t="str">
        <f>IF(ISERROR(MID($C23,LEN($C23)-(D68+1-COLUMN()+2),1)),"",MID($C23,LEN($C23)-(D68+1-COLUMN()+2),1))</f>
        <v>0</v>
      </c>
      <c r="P70" s="40">
        <v>39783</v>
      </c>
      <c r="Q70" s="41" t="s">
        <v>36</v>
      </c>
      <c r="R70" s="41" t="s">
        <v>39</v>
      </c>
      <c r="T70" s="45">
        <v>10</v>
      </c>
      <c r="U70" s="45" t="s">
        <v>121</v>
      </c>
      <c r="V70" s="45" t="s">
        <v>122</v>
      </c>
      <c r="W70" s="46">
        <v>440165</v>
      </c>
      <c r="X70" s="46">
        <v>440166</v>
      </c>
      <c r="Y70" s="46">
        <v>441336</v>
      </c>
      <c r="Z70" s="46">
        <v>440167</v>
      </c>
      <c r="AA70" s="46">
        <v>440298</v>
      </c>
      <c r="AB70" s="46">
        <v>440426</v>
      </c>
    </row>
    <row r="71" spans="4:28">
      <c r="D71" s="36" t="str">
        <f>IF(ISERROR(MID($C24,LEN($C24)-(D68+1-COLUMN()+2),1)),"",MID($C24,LEN($C24)-(D68+1-COLUMN()+2),1))</f>
        <v/>
      </c>
      <c r="E71" s="36" t="str">
        <f>IF(ISERROR(MID($C24,LEN($C24)-(D68+1-COLUMN()+2),1)),"",MID($C24,LEN($C24)-(D68+1-COLUMN()+2),1))</f>
        <v/>
      </c>
      <c r="F71" s="36" t="str">
        <f>IF(ISERROR(MID($C24,LEN($C24)-(D68+1-COLUMN()+2),1)),"",MID($C24,LEN($C24)-(D68+1-COLUMN()+2),1))</f>
        <v/>
      </c>
      <c r="G71" s="36" t="str">
        <f>IF(ISERROR(MID($C24,LEN($C24)-(D68+1-COLUMN()+2),1)),"",MID($C24,LEN($C24)-(D68+1-COLUMN()+2),1))</f>
        <v>2</v>
      </c>
      <c r="H71" s="36" t="str">
        <f>IF(ISERROR(MID($C24,LEN($C24)-(D68+1-COLUMN()+2),1)),"",MID($C24,LEN($C24)-(D68+1-COLUMN()+2),1))</f>
        <v>0</v>
      </c>
      <c r="I71" s="36" t="str">
        <f>IF(ISERROR(MID($C24,LEN($C24)-(D68+1-COLUMN()+2),1)),"",MID($C24,LEN($C24)-(D68+1-COLUMN()+2),1))</f>
        <v>0</v>
      </c>
      <c r="J71" s="36" t="str">
        <f>IF(ISERROR(MID($C24,LEN($C24)-(D68+1-COLUMN()+2),1)),"",MID($C24,LEN($C24)-(D68+1-COLUMN()+2),1))</f>
        <v>0</v>
      </c>
      <c r="K71" s="36" t="str">
        <f>IF(ISERROR(MID($C24,LEN($C24)-(D68+1-COLUMN()+2),1)),"",MID($C24,LEN($C24)-(D68+1-COLUMN()+2),1))</f>
        <v>0</v>
      </c>
      <c r="P71" s="40">
        <v>39814</v>
      </c>
      <c r="Q71" s="41" t="s">
        <v>37</v>
      </c>
      <c r="R71" s="41" t="s">
        <v>39</v>
      </c>
      <c r="T71" s="45">
        <v>11</v>
      </c>
      <c r="U71" s="45" t="s">
        <v>153</v>
      </c>
      <c r="V71" s="45" t="s">
        <v>154</v>
      </c>
      <c r="W71" s="46">
        <v>440225</v>
      </c>
      <c r="X71" s="46">
        <v>440226</v>
      </c>
      <c r="Y71" s="46">
        <v>441371</v>
      </c>
      <c r="Z71" s="46">
        <v>440227</v>
      </c>
      <c r="AA71" s="46">
        <v>440298</v>
      </c>
      <c r="AB71" s="46">
        <v>440426</v>
      </c>
    </row>
    <row r="72" spans="4:28">
      <c r="D72" s="36" t="str">
        <f t="shared" ref="D72:K77" si="0">IF(ISERROR(MID($C25,LEN($C25)-(8+1-COLUMN()+2),1)),"",MID($C25,LEN($C25)-(8+1-COLUMN()+2),1))</f>
        <v/>
      </c>
      <c r="E72" s="36" t="str">
        <f t="shared" si="0"/>
        <v/>
      </c>
      <c r="F72" s="36" t="str">
        <f t="shared" si="0"/>
        <v/>
      </c>
      <c r="G72" s="36" t="str">
        <f t="shared" si="0"/>
        <v>1</v>
      </c>
      <c r="H72" s="36" t="str">
        <f t="shared" si="0"/>
        <v>0</v>
      </c>
      <c r="I72" s="36" t="str">
        <f t="shared" si="0"/>
        <v>0</v>
      </c>
      <c r="J72" s="36" t="str">
        <f t="shared" si="0"/>
        <v>0</v>
      </c>
      <c r="K72" s="36" t="str">
        <f t="shared" si="0"/>
        <v>0</v>
      </c>
      <c r="P72" s="40">
        <v>39845</v>
      </c>
      <c r="Q72" s="41" t="s">
        <v>37</v>
      </c>
      <c r="R72" s="41" t="s">
        <v>39</v>
      </c>
      <c r="T72" s="45">
        <v>12</v>
      </c>
      <c r="U72" s="45" t="s">
        <v>177</v>
      </c>
      <c r="V72" s="45" t="s">
        <v>178</v>
      </c>
      <c r="W72" s="46">
        <v>440254</v>
      </c>
      <c r="X72" s="46">
        <v>440255</v>
      </c>
      <c r="Y72" s="46">
        <v>441390</v>
      </c>
      <c r="Z72" s="46">
        <v>440256</v>
      </c>
      <c r="AA72" s="46">
        <v>440298</v>
      </c>
      <c r="AB72" s="46">
        <v>440426</v>
      </c>
    </row>
    <row r="73" spans="4:28">
      <c r="D73" s="36" t="str">
        <f t="shared" si="0"/>
        <v/>
      </c>
      <c r="E73" s="36" t="str">
        <f t="shared" si="0"/>
        <v/>
      </c>
      <c r="F73" s="36" t="str">
        <f t="shared" si="0"/>
        <v>1</v>
      </c>
      <c r="G73" s="36" t="str">
        <f t="shared" si="0"/>
        <v>2</v>
      </c>
      <c r="H73" s="36" t="str">
        <f t="shared" si="0"/>
        <v>3</v>
      </c>
      <c r="I73" s="36" t="str">
        <f t="shared" si="0"/>
        <v>4</v>
      </c>
      <c r="J73" s="36" t="str">
        <f t="shared" si="0"/>
        <v>5</v>
      </c>
      <c r="K73" s="36" t="str">
        <f t="shared" si="0"/>
        <v>0</v>
      </c>
      <c r="P73" s="40">
        <v>39873</v>
      </c>
      <c r="Q73" s="41" t="s">
        <v>37</v>
      </c>
      <c r="R73" s="41" t="s">
        <v>39</v>
      </c>
      <c r="T73" s="45">
        <v>13</v>
      </c>
      <c r="U73" s="45" t="s">
        <v>233</v>
      </c>
      <c r="V73" s="45" t="s">
        <v>234</v>
      </c>
      <c r="W73" s="46">
        <v>440366</v>
      </c>
      <c r="X73" s="46">
        <v>440367</v>
      </c>
      <c r="Y73" s="46">
        <v>441447</v>
      </c>
      <c r="Z73" s="46">
        <v>440368</v>
      </c>
      <c r="AA73" s="46">
        <v>440298</v>
      </c>
      <c r="AB73" s="46">
        <v>440426</v>
      </c>
    </row>
    <row r="74" spans="4:28">
      <c r="D74" s="36" t="str">
        <f t="shared" ref="D74:K74" si="1">IF(ISERROR(MID($C27,LEN($C27)-(8+1-COLUMN()+2),1)),"",MID($C27,LEN($C27)-(8+1-COLUMN()+2),1))</f>
        <v/>
      </c>
      <c r="E74" s="36" t="str">
        <f t="shared" si="1"/>
        <v/>
      </c>
      <c r="F74" s="36" t="str">
        <f t="shared" si="1"/>
        <v/>
      </c>
      <c r="G74" s="36" t="str">
        <f t="shared" si="1"/>
        <v/>
      </c>
      <c r="H74" s="36" t="str">
        <f t="shared" si="1"/>
        <v/>
      </c>
      <c r="I74" s="36" t="str">
        <f t="shared" si="1"/>
        <v/>
      </c>
      <c r="J74" s="36" t="str">
        <f t="shared" si="1"/>
        <v/>
      </c>
      <c r="K74" s="36" t="str">
        <f t="shared" si="1"/>
        <v>0</v>
      </c>
      <c r="P74" s="40">
        <v>39904</v>
      </c>
      <c r="Q74" s="41" t="s">
        <v>34</v>
      </c>
      <c r="R74" s="41" t="s">
        <v>40</v>
      </c>
      <c r="T74" s="45">
        <v>14</v>
      </c>
      <c r="U74" s="45" t="s">
        <v>135</v>
      </c>
      <c r="V74" s="45" t="s">
        <v>136</v>
      </c>
      <c r="W74" s="46">
        <v>440217</v>
      </c>
      <c r="X74" s="46">
        <v>440218</v>
      </c>
      <c r="Y74" s="46">
        <v>441366</v>
      </c>
      <c r="Z74" s="46">
        <v>440219</v>
      </c>
      <c r="AA74" s="46">
        <v>440298</v>
      </c>
      <c r="AB74" s="46">
        <v>440426</v>
      </c>
    </row>
    <row r="75" spans="4:28">
      <c r="D75" s="36" t="str">
        <f t="shared" si="0"/>
        <v/>
      </c>
      <c r="E75" s="36" t="str">
        <f t="shared" si="0"/>
        <v/>
      </c>
      <c r="F75" s="36" t="str">
        <f t="shared" si="0"/>
        <v/>
      </c>
      <c r="G75" s="36" t="str">
        <f t="shared" si="0"/>
        <v/>
      </c>
      <c r="H75" s="36" t="str">
        <f t="shared" si="0"/>
        <v/>
      </c>
      <c r="I75" s="36" t="str">
        <f t="shared" si="0"/>
        <v/>
      </c>
      <c r="J75" s="36" t="str">
        <f t="shared" si="0"/>
        <v/>
      </c>
      <c r="K75" s="36" t="str">
        <f t="shared" si="0"/>
        <v>0</v>
      </c>
      <c r="P75" s="40">
        <v>39934</v>
      </c>
      <c r="Q75" s="41" t="s">
        <v>34</v>
      </c>
      <c r="R75" s="41" t="s">
        <v>40</v>
      </c>
      <c r="T75" s="45">
        <v>15</v>
      </c>
      <c r="U75" s="45" t="s">
        <v>133</v>
      </c>
      <c r="V75" s="45" t="s">
        <v>134</v>
      </c>
      <c r="W75" s="46">
        <v>440189</v>
      </c>
      <c r="X75" s="46">
        <v>440190</v>
      </c>
      <c r="Y75" s="46">
        <v>441348</v>
      </c>
      <c r="Z75" s="46">
        <v>440191</v>
      </c>
      <c r="AA75" s="46">
        <v>440298</v>
      </c>
      <c r="AB75" s="46">
        <v>440426</v>
      </c>
    </row>
    <row r="76" spans="4:28">
      <c r="D76" s="36" t="str">
        <f t="shared" ref="D76:K76" si="2">IF(ISERROR(MID($C29,LEN($C29)-(8+1-COLUMN()+2),1)),"",MID($C29,LEN($C29)-(8+1-COLUMN()+2),1))</f>
        <v/>
      </c>
      <c r="E76" s="36" t="str">
        <f t="shared" si="2"/>
        <v/>
      </c>
      <c r="F76" s="36" t="str">
        <f t="shared" si="2"/>
        <v/>
      </c>
      <c r="G76" s="36" t="str">
        <f t="shared" si="2"/>
        <v/>
      </c>
      <c r="H76" s="36" t="str">
        <f t="shared" si="2"/>
        <v/>
      </c>
      <c r="I76" s="36" t="str">
        <f t="shared" si="2"/>
        <v/>
      </c>
      <c r="J76" s="36" t="str">
        <f t="shared" si="2"/>
        <v/>
      </c>
      <c r="K76" s="36" t="str">
        <f t="shared" si="2"/>
        <v>0</v>
      </c>
      <c r="P76" s="40">
        <v>39965</v>
      </c>
      <c r="Q76" s="41" t="s">
        <v>34</v>
      </c>
      <c r="R76" s="41" t="s">
        <v>40</v>
      </c>
      <c r="T76" s="45">
        <v>16</v>
      </c>
      <c r="U76" s="45" t="s">
        <v>93</v>
      </c>
      <c r="V76" s="45" t="s">
        <v>94</v>
      </c>
      <c r="W76" s="46">
        <v>440092</v>
      </c>
      <c r="X76" s="46">
        <v>440093</v>
      </c>
      <c r="Y76" s="46">
        <v>441319</v>
      </c>
      <c r="Z76" s="46">
        <v>440094</v>
      </c>
      <c r="AA76" s="46">
        <v>440298</v>
      </c>
      <c r="AB76" s="46">
        <v>440426</v>
      </c>
    </row>
    <row r="77" spans="4:28">
      <c r="D77" s="36" t="str">
        <f t="shared" si="0"/>
        <v/>
      </c>
      <c r="E77" s="36" t="str">
        <f t="shared" si="0"/>
        <v>1</v>
      </c>
      <c r="F77" s="36" t="str">
        <f t="shared" si="0"/>
        <v>1</v>
      </c>
      <c r="G77" s="36" t="str">
        <f t="shared" si="0"/>
        <v>5</v>
      </c>
      <c r="H77" s="36" t="str">
        <f t="shared" si="0"/>
        <v>3</v>
      </c>
      <c r="I77" s="36" t="str">
        <f t="shared" si="0"/>
        <v>4</v>
      </c>
      <c r="J77" s="36" t="str">
        <f t="shared" si="0"/>
        <v>5</v>
      </c>
      <c r="K77" s="36" t="str">
        <f t="shared" si="0"/>
        <v>0</v>
      </c>
      <c r="P77" s="40">
        <v>39995</v>
      </c>
      <c r="Q77" s="41" t="s">
        <v>35</v>
      </c>
      <c r="R77" s="41" t="s">
        <v>40</v>
      </c>
      <c r="T77" s="45">
        <v>17</v>
      </c>
      <c r="U77" s="45" t="s">
        <v>207</v>
      </c>
      <c r="V77" s="45" t="s">
        <v>208</v>
      </c>
      <c r="W77" s="46">
        <v>440318</v>
      </c>
      <c r="X77" s="46">
        <v>440319</v>
      </c>
      <c r="Y77" s="46">
        <v>441434</v>
      </c>
      <c r="Z77" s="46">
        <v>440320</v>
      </c>
      <c r="AA77" s="46">
        <v>440298</v>
      </c>
      <c r="AB77" s="46">
        <v>440426</v>
      </c>
    </row>
    <row r="78" spans="4:28">
      <c r="P78" s="40">
        <v>40026</v>
      </c>
      <c r="Q78" s="41" t="s">
        <v>35</v>
      </c>
      <c r="R78" s="41" t="s">
        <v>40</v>
      </c>
      <c r="T78" s="45">
        <v>18</v>
      </c>
      <c r="U78" s="45" t="s">
        <v>75</v>
      </c>
      <c r="V78" s="45" t="s">
        <v>76</v>
      </c>
      <c r="W78" s="46">
        <v>440045</v>
      </c>
      <c r="X78" s="46">
        <v>440046</v>
      </c>
      <c r="Y78" s="46">
        <v>441306</v>
      </c>
      <c r="Z78" s="46">
        <v>440047</v>
      </c>
      <c r="AA78" s="46">
        <v>440298</v>
      </c>
      <c r="AB78" s="46">
        <v>440426</v>
      </c>
    </row>
    <row r="79" spans="4:28">
      <c r="P79" s="40">
        <v>40057</v>
      </c>
      <c r="Q79" s="41" t="s">
        <v>35</v>
      </c>
      <c r="R79" s="41" t="s">
        <v>40</v>
      </c>
      <c r="T79" s="45">
        <v>19</v>
      </c>
      <c r="U79" s="45" t="s">
        <v>209</v>
      </c>
      <c r="V79" s="45" t="s">
        <v>210</v>
      </c>
      <c r="W79" s="46">
        <v>440322</v>
      </c>
      <c r="X79" s="46">
        <v>440323</v>
      </c>
      <c r="Y79" s="46">
        <v>441435</v>
      </c>
      <c r="Z79" s="46">
        <v>440324</v>
      </c>
      <c r="AA79" s="46">
        <v>440298</v>
      </c>
      <c r="AB79" s="46">
        <v>440426</v>
      </c>
    </row>
    <row r="80" spans="4:28">
      <c r="P80" s="40">
        <v>40087</v>
      </c>
      <c r="Q80" s="41" t="s">
        <v>36</v>
      </c>
      <c r="R80" s="41" t="s">
        <v>40</v>
      </c>
      <c r="T80" s="45">
        <v>20</v>
      </c>
      <c r="U80" s="45" t="s">
        <v>155</v>
      </c>
      <c r="V80" s="45" t="s">
        <v>156</v>
      </c>
      <c r="W80" s="46">
        <v>440229</v>
      </c>
      <c r="X80" s="46">
        <v>440230</v>
      </c>
      <c r="Y80" s="46">
        <v>441374</v>
      </c>
      <c r="Z80" s="46">
        <v>440231</v>
      </c>
      <c r="AA80" s="46">
        <v>440298</v>
      </c>
      <c r="AB80" s="46">
        <v>440426</v>
      </c>
    </row>
    <row r="81" spans="4:28">
      <c r="P81" s="40">
        <v>40118</v>
      </c>
      <c r="Q81" s="41" t="s">
        <v>36</v>
      </c>
      <c r="R81" s="41" t="s">
        <v>40</v>
      </c>
      <c r="T81" s="45">
        <v>21</v>
      </c>
      <c r="U81" s="45" t="s">
        <v>97</v>
      </c>
      <c r="V81" s="45" t="s">
        <v>98</v>
      </c>
      <c r="W81" s="46">
        <v>440100</v>
      </c>
      <c r="X81" s="46">
        <v>440101</v>
      </c>
      <c r="Y81" s="46">
        <v>441321</v>
      </c>
      <c r="Z81" s="46">
        <v>440102</v>
      </c>
      <c r="AA81" s="46">
        <v>440298</v>
      </c>
      <c r="AB81" s="46">
        <v>440426</v>
      </c>
    </row>
    <row r="82" spans="4:28">
      <c r="P82" s="40">
        <v>40148</v>
      </c>
      <c r="Q82" s="41" t="s">
        <v>36</v>
      </c>
      <c r="R82" s="41" t="s">
        <v>40</v>
      </c>
      <c r="T82" s="45">
        <v>22</v>
      </c>
      <c r="U82" s="45" t="s">
        <v>181</v>
      </c>
      <c r="V82" s="45" t="s">
        <v>182</v>
      </c>
      <c r="W82" s="46">
        <v>440290</v>
      </c>
      <c r="X82" s="46">
        <v>440291</v>
      </c>
      <c r="Y82" s="46">
        <v>441399</v>
      </c>
      <c r="Z82" s="46">
        <v>440292</v>
      </c>
      <c r="AA82" s="46">
        <v>440298</v>
      </c>
      <c r="AB82" s="46">
        <v>440426</v>
      </c>
    </row>
    <row r="83" spans="4:28">
      <c r="D83" s="34">
        <v>8</v>
      </c>
      <c r="E83" s="35"/>
      <c r="F83" s="35"/>
      <c r="G83" s="34"/>
      <c r="H83" s="35"/>
      <c r="I83" s="35"/>
      <c r="J83" s="35"/>
      <c r="K83" s="35"/>
      <c r="P83" s="40">
        <v>40179</v>
      </c>
      <c r="Q83" s="41" t="s">
        <v>37</v>
      </c>
      <c r="R83" s="41" t="s">
        <v>40</v>
      </c>
      <c r="T83" s="45">
        <v>23</v>
      </c>
      <c r="U83" s="45" t="s">
        <v>215</v>
      </c>
      <c r="V83" s="45" t="s">
        <v>216</v>
      </c>
      <c r="W83" s="46">
        <v>440334</v>
      </c>
      <c r="X83" s="46">
        <v>440335</v>
      </c>
      <c r="Y83" s="46">
        <v>441438</v>
      </c>
      <c r="Z83" s="46">
        <v>440336</v>
      </c>
      <c r="AA83" s="46">
        <v>440298</v>
      </c>
      <c r="AB83" s="46">
        <v>440426</v>
      </c>
    </row>
    <row r="84" spans="4:28">
      <c r="D84" s="34"/>
      <c r="E84" s="35"/>
      <c r="F84" s="35"/>
      <c r="G84" s="34"/>
      <c r="H84" s="35"/>
      <c r="I84" s="35"/>
      <c r="J84" s="35"/>
      <c r="K84" s="35"/>
      <c r="P84" s="40">
        <v>40210</v>
      </c>
      <c r="Q84" s="41" t="s">
        <v>37</v>
      </c>
      <c r="R84" s="41" t="s">
        <v>40</v>
      </c>
      <c r="T84" s="45">
        <v>24</v>
      </c>
      <c r="U84" s="45" t="s">
        <v>69</v>
      </c>
      <c r="V84" s="45" t="s">
        <v>70</v>
      </c>
      <c r="W84" s="46">
        <v>440057</v>
      </c>
      <c r="X84" s="46">
        <v>440058</v>
      </c>
      <c r="Y84" s="46">
        <v>441310</v>
      </c>
      <c r="Z84" s="46">
        <v>440059</v>
      </c>
      <c r="AA84" s="46">
        <v>440298</v>
      </c>
      <c r="AB84" s="46">
        <v>440426</v>
      </c>
    </row>
    <row r="85" spans="4:28">
      <c r="D85" s="37">
        <v>0</v>
      </c>
      <c r="E85" s="37">
        <v>0</v>
      </c>
      <c r="F85" s="37" t="str">
        <f t="shared" ref="F85:K90" si="3">IF(ISERROR(MID($A23,LEN($A23)-($D$83+1-COLUMN()+2),1)),"",MID($A23,LEN($A23)-($D$83+1-COLUMN()+2),1))</f>
        <v>4</v>
      </c>
      <c r="G85" s="37" t="str">
        <f t="shared" si="3"/>
        <v>4</v>
      </c>
      <c r="H85" s="37" t="str">
        <f t="shared" si="3"/>
        <v>0</v>
      </c>
      <c r="I85" s="37" t="str">
        <f t="shared" si="3"/>
        <v>3</v>
      </c>
      <c r="J85" s="37" t="str">
        <f t="shared" si="3"/>
        <v>3</v>
      </c>
      <c r="K85" s="37" t="str">
        <f t="shared" si="3"/>
        <v>4</v>
      </c>
      <c r="P85" s="40">
        <v>40238</v>
      </c>
      <c r="Q85" s="41" t="s">
        <v>37</v>
      </c>
      <c r="R85" s="41" t="s">
        <v>40</v>
      </c>
      <c r="T85" s="45">
        <v>25</v>
      </c>
      <c r="U85" s="45" t="s">
        <v>113</v>
      </c>
      <c r="V85" s="45" t="s">
        <v>114</v>
      </c>
      <c r="W85" s="46">
        <v>440133</v>
      </c>
      <c r="X85" s="46">
        <v>440134</v>
      </c>
      <c r="Y85" s="46">
        <v>441328</v>
      </c>
      <c r="Z85" s="46">
        <v>440135</v>
      </c>
      <c r="AA85" s="46">
        <v>440298</v>
      </c>
      <c r="AB85" s="46">
        <v>440426</v>
      </c>
    </row>
    <row r="86" spans="4:28" ht="30">
      <c r="D86" s="37">
        <v>0</v>
      </c>
      <c r="E86" s="37">
        <v>0</v>
      </c>
      <c r="F86" s="37" t="str">
        <f t="shared" si="3"/>
        <v>4</v>
      </c>
      <c r="G86" s="37" t="str">
        <f t="shared" si="3"/>
        <v>4</v>
      </c>
      <c r="H86" s="37" t="str">
        <f t="shared" si="3"/>
        <v>0</v>
      </c>
      <c r="I86" s="37" t="str">
        <f t="shared" si="3"/>
        <v>2</v>
      </c>
      <c r="J86" s="37" t="str">
        <f t="shared" si="3"/>
        <v>9</v>
      </c>
      <c r="K86" s="37" t="str">
        <f t="shared" si="3"/>
        <v>8</v>
      </c>
      <c r="P86" s="40">
        <v>40269</v>
      </c>
      <c r="Q86" s="41" t="s">
        <v>34</v>
      </c>
      <c r="R86" s="41" t="s">
        <v>41</v>
      </c>
      <c r="T86" s="45">
        <v>26</v>
      </c>
      <c r="U86" s="45" t="s">
        <v>291</v>
      </c>
      <c r="V86" s="45" t="s">
        <v>292</v>
      </c>
      <c r="W86" s="46">
        <v>440613</v>
      </c>
      <c r="X86" s="46">
        <v>440614</v>
      </c>
      <c r="Y86" s="46">
        <v>441476</v>
      </c>
      <c r="Z86" s="46">
        <v>440615</v>
      </c>
      <c r="AA86" s="46">
        <v>440298</v>
      </c>
      <c r="AB86" s="46">
        <v>440426</v>
      </c>
    </row>
    <row r="87" spans="4:28">
      <c r="D87" s="37">
        <v>0</v>
      </c>
      <c r="E87" s="37">
        <v>0</v>
      </c>
      <c r="F87" s="37" t="str">
        <f t="shared" si="3"/>
        <v>4</v>
      </c>
      <c r="G87" s="37" t="str">
        <f t="shared" si="3"/>
        <v>4</v>
      </c>
      <c r="H87" s="37" t="str">
        <f t="shared" si="3"/>
        <v>0</v>
      </c>
      <c r="I87" s="37" t="str">
        <f t="shared" si="3"/>
        <v>4</v>
      </c>
      <c r="J87" s="37" t="str">
        <f t="shared" si="3"/>
        <v>2</v>
      </c>
      <c r="K87" s="37" t="str">
        <f t="shared" si="3"/>
        <v>6</v>
      </c>
      <c r="P87" s="40">
        <v>40299</v>
      </c>
      <c r="Q87" s="41" t="s">
        <v>34</v>
      </c>
      <c r="R87" s="41" t="s">
        <v>41</v>
      </c>
      <c r="T87" s="45">
        <v>27</v>
      </c>
      <c r="U87" s="45" t="s">
        <v>273</v>
      </c>
      <c r="V87" s="45" t="s">
        <v>274</v>
      </c>
      <c r="W87" s="46">
        <v>440460</v>
      </c>
      <c r="X87" s="46">
        <v>440463</v>
      </c>
      <c r="Y87" s="46">
        <v>441467</v>
      </c>
      <c r="Z87" s="46">
        <v>440466</v>
      </c>
      <c r="AA87" s="46">
        <v>440298</v>
      </c>
      <c r="AB87" s="46">
        <v>440426</v>
      </c>
    </row>
    <row r="88" spans="4:28">
      <c r="D88" s="37">
        <v>0</v>
      </c>
      <c r="E88" s="37">
        <v>0</v>
      </c>
      <c r="F88" s="37" t="str">
        <f t="shared" si="3"/>
        <v>4</v>
      </c>
      <c r="G88" s="37" t="str">
        <f t="shared" si="3"/>
        <v>4</v>
      </c>
      <c r="H88" s="37" t="str">
        <f t="shared" si="3"/>
        <v>0</v>
      </c>
      <c r="I88" s="37" t="str">
        <f t="shared" si="3"/>
        <v>3</v>
      </c>
      <c r="J88" s="37" t="str">
        <f t="shared" si="3"/>
        <v>3</v>
      </c>
      <c r="K88" s="37" t="str">
        <f t="shared" si="3"/>
        <v>5</v>
      </c>
      <c r="P88" s="40">
        <v>40330</v>
      </c>
      <c r="Q88" s="41" t="s">
        <v>34</v>
      </c>
      <c r="R88" s="41" t="s">
        <v>41</v>
      </c>
      <c r="T88" s="45">
        <v>28</v>
      </c>
      <c r="U88" s="45" t="s">
        <v>95</v>
      </c>
      <c r="V88" s="45" t="s">
        <v>96</v>
      </c>
      <c r="W88" s="46">
        <v>440096</v>
      </c>
      <c r="X88" s="46">
        <v>440097</v>
      </c>
      <c r="Y88" s="46">
        <v>441320</v>
      </c>
      <c r="Z88" s="46">
        <v>440098</v>
      </c>
      <c r="AA88" s="46">
        <v>440298</v>
      </c>
      <c r="AB88" s="46">
        <v>440426</v>
      </c>
    </row>
    <row r="89" spans="4:28">
      <c r="D89" s="37">
        <v>0</v>
      </c>
      <c r="E89" s="37">
        <v>0</v>
      </c>
      <c r="F89" s="37" t="str">
        <f t="shared" ref="F89:K89" si="4">IF(ISERROR(MID($A27,LEN($A27)-($D$83+1-COLUMN()+2),1)),"",MID($A27,LEN($A27)-($D$83+1-COLUMN()+2),1))</f>
        <v>4</v>
      </c>
      <c r="G89" s="37" t="str">
        <f t="shared" si="4"/>
        <v>4</v>
      </c>
      <c r="H89" s="37" t="str">
        <f t="shared" si="4"/>
        <v>1</v>
      </c>
      <c r="I89" s="37" t="str">
        <f t="shared" si="4"/>
        <v>4</v>
      </c>
      <c r="J89" s="37" t="str">
        <f t="shared" si="4"/>
        <v>3</v>
      </c>
      <c r="K89" s="37" t="str">
        <f t="shared" si="4"/>
        <v>8</v>
      </c>
      <c r="P89" s="40">
        <v>40360</v>
      </c>
      <c r="Q89" s="41" t="s">
        <v>35</v>
      </c>
      <c r="R89" s="41" t="s">
        <v>41</v>
      </c>
      <c r="T89" s="45">
        <v>29</v>
      </c>
      <c r="U89" s="45" t="s">
        <v>67</v>
      </c>
      <c r="V89" s="45" t="s">
        <v>68</v>
      </c>
      <c r="W89" s="46">
        <v>440014</v>
      </c>
      <c r="X89" s="46">
        <v>440018</v>
      </c>
      <c r="Y89" s="46">
        <v>441300</v>
      </c>
      <c r="Z89" s="46">
        <v>440019</v>
      </c>
      <c r="AA89" s="46">
        <v>440298</v>
      </c>
      <c r="AB89" s="46">
        <v>440426</v>
      </c>
    </row>
    <row r="90" spans="4:28" ht="30">
      <c r="D90" s="37">
        <v>0</v>
      </c>
      <c r="E90" s="37">
        <v>0</v>
      </c>
      <c r="F90" s="37" t="str">
        <f t="shared" si="3"/>
        <v>4</v>
      </c>
      <c r="G90" s="37" t="str">
        <f t="shared" si="3"/>
        <v>4</v>
      </c>
      <c r="H90" s="37" t="str">
        <f t="shared" si="3"/>
        <v>0</v>
      </c>
      <c r="I90" s="37" t="str">
        <f t="shared" si="3"/>
        <v>2</v>
      </c>
      <c r="J90" s="37" t="str">
        <f t="shared" si="3"/>
        <v>9</v>
      </c>
      <c r="K90" s="37" t="str">
        <f t="shared" si="3"/>
        <v>9</v>
      </c>
      <c r="P90" s="40">
        <v>40391</v>
      </c>
      <c r="Q90" s="41" t="s">
        <v>35</v>
      </c>
      <c r="R90" s="41" t="s">
        <v>41</v>
      </c>
      <c r="T90" s="45">
        <v>30</v>
      </c>
      <c r="U90" s="45" t="s">
        <v>245</v>
      </c>
      <c r="V90" s="45" t="s">
        <v>246</v>
      </c>
      <c r="W90" s="46">
        <v>440394</v>
      </c>
      <c r="X90" s="46">
        <v>440395</v>
      </c>
      <c r="Y90" s="46">
        <v>441453</v>
      </c>
      <c r="Z90" s="46">
        <v>440396</v>
      </c>
      <c r="AA90" s="46">
        <v>440298</v>
      </c>
      <c r="AB90" s="46">
        <v>440426</v>
      </c>
    </row>
    <row r="91" spans="4:28">
      <c r="D91" s="37">
        <v>0</v>
      </c>
      <c r="E91" s="37">
        <v>0</v>
      </c>
      <c r="F91" s="37" t="str">
        <f t="shared" ref="F91:K91" si="5">IF(ISERROR(MID($A29,LEN($A29)-($D$83+1-COLUMN()+2),1)),"",MID($A29,LEN($A29)-($D$83+1-COLUMN()+2),1))</f>
        <v>4</v>
      </c>
      <c r="G91" s="37" t="str">
        <f t="shared" si="5"/>
        <v>4</v>
      </c>
      <c r="H91" s="37" t="str">
        <f t="shared" si="5"/>
        <v>0</v>
      </c>
      <c r="I91" s="37" t="str">
        <f t="shared" si="5"/>
        <v>4</v>
      </c>
      <c r="J91" s="37" t="str">
        <f t="shared" si="5"/>
        <v>2</v>
      </c>
      <c r="K91" s="37" t="str">
        <f t="shared" si="5"/>
        <v>7</v>
      </c>
      <c r="P91" s="40">
        <v>40422</v>
      </c>
      <c r="Q91" s="41" t="s">
        <v>35</v>
      </c>
      <c r="R91" s="41" t="s">
        <v>41</v>
      </c>
      <c r="T91" s="45">
        <v>31</v>
      </c>
      <c r="U91" s="45" t="s">
        <v>103</v>
      </c>
      <c r="V91" s="45" t="s">
        <v>104</v>
      </c>
      <c r="W91" s="46">
        <v>440088</v>
      </c>
      <c r="X91" s="46">
        <v>440089</v>
      </c>
      <c r="Y91" s="46">
        <v>441318</v>
      </c>
      <c r="Z91" s="46">
        <v>440090</v>
      </c>
      <c r="AA91" s="46">
        <v>440298</v>
      </c>
      <c r="AB91" s="46">
        <v>440426</v>
      </c>
    </row>
    <row r="92" spans="4:28">
      <c r="P92" s="40">
        <v>40452</v>
      </c>
      <c r="Q92" s="41" t="s">
        <v>36</v>
      </c>
      <c r="R92" s="41" t="s">
        <v>41</v>
      </c>
      <c r="T92" s="45">
        <v>32</v>
      </c>
      <c r="U92" s="45" t="s">
        <v>71</v>
      </c>
      <c r="V92" s="45" t="s">
        <v>72</v>
      </c>
      <c r="W92" s="46">
        <v>440026</v>
      </c>
      <c r="X92" s="46">
        <v>440027</v>
      </c>
      <c r="Y92" s="46">
        <v>441302</v>
      </c>
      <c r="Z92" s="46">
        <v>440028</v>
      </c>
      <c r="AA92" s="46">
        <v>440298</v>
      </c>
      <c r="AB92" s="46">
        <v>440426</v>
      </c>
    </row>
    <row r="93" spans="4:28" ht="30">
      <c r="P93" s="40">
        <v>40483</v>
      </c>
      <c r="Q93" s="41" t="s">
        <v>36</v>
      </c>
      <c r="R93" s="41" t="s">
        <v>41</v>
      </c>
      <c r="T93" s="45">
        <v>33</v>
      </c>
      <c r="U93" s="45" t="s">
        <v>259</v>
      </c>
      <c r="V93" s="45" t="s">
        <v>260</v>
      </c>
      <c r="W93" s="46">
        <v>440422</v>
      </c>
      <c r="X93" s="46">
        <v>440423</v>
      </c>
      <c r="Y93" s="46">
        <v>441460</v>
      </c>
      <c r="Z93" s="46">
        <v>440424</v>
      </c>
      <c r="AA93" s="46">
        <v>440298</v>
      </c>
      <c r="AB93" s="46">
        <v>440426</v>
      </c>
    </row>
    <row r="94" spans="4:28" ht="30">
      <c r="P94" s="40">
        <v>40513</v>
      </c>
      <c r="Q94" s="41" t="s">
        <v>36</v>
      </c>
      <c r="R94" s="41" t="s">
        <v>41</v>
      </c>
      <c r="T94" s="45">
        <v>34</v>
      </c>
      <c r="U94" s="45" t="s">
        <v>255</v>
      </c>
      <c r="V94" s="45" t="s">
        <v>256</v>
      </c>
      <c r="W94" s="46">
        <v>440414</v>
      </c>
      <c r="X94" s="46">
        <v>440415</v>
      </c>
      <c r="Y94" s="46">
        <v>441458</v>
      </c>
      <c r="Z94" s="46">
        <v>440416</v>
      </c>
      <c r="AA94" s="46">
        <v>440298</v>
      </c>
      <c r="AB94" s="46">
        <v>440426</v>
      </c>
    </row>
    <row r="95" spans="4:28">
      <c r="P95" s="40">
        <v>40544</v>
      </c>
      <c r="Q95" s="41" t="s">
        <v>37</v>
      </c>
      <c r="R95" s="41" t="s">
        <v>41</v>
      </c>
      <c r="T95" s="45">
        <v>35</v>
      </c>
      <c r="U95" s="45" t="s">
        <v>203</v>
      </c>
      <c r="V95" s="45" t="s">
        <v>204</v>
      </c>
      <c r="W95" s="46">
        <v>440310</v>
      </c>
      <c r="X95" s="46">
        <v>440311</v>
      </c>
      <c r="Y95" s="46">
        <v>441432</v>
      </c>
      <c r="Z95" s="46">
        <v>440312</v>
      </c>
      <c r="AA95" s="46">
        <v>440298</v>
      </c>
      <c r="AB95" s="46">
        <v>440426</v>
      </c>
    </row>
    <row r="96" spans="4:28">
      <c r="P96" s="40">
        <v>40575</v>
      </c>
      <c r="Q96" s="41" t="s">
        <v>37</v>
      </c>
      <c r="R96" s="41" t="s">
        <v>41</v>
      </c>
      <c r="T96" s="45">
        <v>36</v>
      </c>
      <c r="U96" s="45" t="s">
        <v>137</v>
      </c>
      <c r="V96" s="45" t="s">
        <v>138</v>
      </c>
      <c r="W96" s="46">
        <v>440221</v>
      </c>
      <c r="X96" s="46">
        <v>440222</v>
      </c>
      <c r="Y96" s="46">
        <v>441369</v>
      </c>
      <c r="Z96" s="46">
        <v>440223</v>
      </c>
      <c r="AA96" s="46">
        <v>440298</v>
      </c>
      <c r="AB96" s="46">
        <v>440426</v>
      </c>
    </row>
    <row r="97" spans="16:28">
      <c r="P97" s="40">
        <v>40603</v>
      </c>
      <c r="Q97" s="41" t="s">
        <v>37</v>
      </c>
      <c r="R97" s="41" t="s">
        <v>41</v>
      </c>
      <c r="T97" s="45">
        <v>37</v>
      </c>
      <c r="U97" s="45" t="s">
        <v>289</v>
      </c>
      <c r="V97" s="45" t="s">
        <v>290</v>
      </c>
      <c r="W97" s="46">
        <v>440610</v>
      </c>
      <c r="X97" s="46">
        <v>440611</v>
      </c>
      <c r="Y97" s="46">
        <v>441475</v>
      </c>
      <c r="Z97" s="46">
        <v>440612</v>
      </c>
      <c r="AA97" s="46">
        <v>440298</v>
      </c>
      <c r="AB97" s="46">
        <v>440426</v>
      </c>
    </row>
    <row r="98" spans="16:28">
      <c r="P98" s="40">
        <v>40634</v>
      </c>
      <c r="Q98" s="41" t="s">
        <v>34</v>
      </c>
      <c r="R98" s="41" t="s">
        <v>42</v>
      </c>
      <c r="T98" s="45">
        <v>38</v>
      </c>
      <c r="U98" s="45" t="s">
        <v>157</v>
      </c>
      <c r="V98" s="45" t="s">
        <v>158</v>
      </c>
      <c r="W98" s="46">
        <v>440233</v>
      </c>
      <c r="X98" s="46">
        <v>440234</v>
      </c>
      <c r="Y98" s="46">
        <v>441376</v>
      </c>
      <c r="Z98" s="46">
        <v>440235</v>
      </c>
      <c r="AA98" s="46">
        <v>440298</v>
      </c>
      <c r="AB98" s="46">
        <v>440426</v>
      </c>
    </row>
    <row r="99" spans="16:28">
      <c r="P99" s="40">
        <v>40664</v>
      </c>
      <c r="Q99" s="41" t="s">
        <v>34</v>
      </c>
      <c r="R99" s="41" t="s">
        <v>42</v>
      </c>
      <c r="T99" s="45">
        <v>39</v>
      </c>
      <c r="U99" s="45" t="s">
        <v>139</v>
      </c>
      <c r="V99" s="45" t="s">
        <v>140</v>
      </c>
      <c r="W99" s="46">
        <v>440197</v>
      </c>
      <c r="X99" s="46">
        <v>440198</v>
      </c>
      <c r="Y99" s="46">
        <v>441353</v>
      </c>
      <c r="Z99" s="46">
        <v>440199</v>
      </c>
      <c r="AA99" s="46">
        <v>440298</v>
      </c>
      <c r="AB99" s="46">
        <v>440426</v>
      </c>
    </row>
    <row r="100" spans="16:28">
      <c r="P100" s="40">
        <v>40695</v>
      </c>
      <c r="Q100" s="41" t="s">
        <v>34</v>
      </c>
      <c r="R100" s="41" t="s">
        <v>42</v>
      </c>
      <c r="T100" s="45">
        <v>40</v>
      </c>
      <c r="U100" s="45" t="s">
        <v>141</v>
      </c>
      <c r="V100" s="45" t="s">
        <v>142</v>
      </c>
      <c r="W100" s="46">
        <v>440213</v>
      </c>
      <c r="X100" s="46">
        <v>440214</v>
      </c>
      <c r="Y100" s="46">
        <v>441363</v>
      </c>
      <c r="Z100" s="46">
        <v>440215</v>
      </c>
      <c r="AA100" s="46">
        <v>440298</v>
      </c>
      <c r="AB100" s="46">
        <v>440426</v>
      </c>
    </row>
    <row r="101" spans="16:28">
      <c r="P101" s="40">
        <v>40725</v>
      </c>
      <c r="Q101" s="41" t="s">
        <v>35</v>
      </c>
      <c r="R101" s="41" t="s">
        <v>42</v>
      </c>
      <c r="T101" s="45">
        <v>41</v>
      </c>
      <c r="U101" s="45" t="s">
        <v>169</v>
      </c>
      <c r="V101" s="45" t="s">
        <v>170</v>
      </c>
      <c r="W101" s="46">
        <v>440173</v>
      </c>
      <c r="X101" s="46">
        <v>440174</v>
      </c>
      <c r="Y101" s="46">
        <v>441339</v>
      </c>
      <c r="Z101" s="46">
        <v>440175</v>
      </c>
      <c r="AA101" s="46">
        <v>440298</v>
      </c>
      <c r="AB101" s="46">
        <v>440426</v>
      </c>
    </row>
    <row r="102" spans="16:28">
      <c r="P102" s="40">
        <v>40756</v>
      </c>
      <c r="Q102" s="41" t="s">
        <v>35</v>
      </c>
      <c r="R102" s="41" t="s">
        <v>42</v>
      </c>
      <c r="T102" s="45">
        <v>42</v>
      </c>
      <c r="U102" s="45" t="s">
        <v>159</v>
      </c>
      <c r="V102" s="45" t="s">
        <v>160</v>
      </c>
      <c r="W102" s="46">
        <v>440237</v>
      </c>
      <c r="X102" s="46">
        <v>440238</v>
      </c>
      <c r="Y102" s="46">
        <v>441384</v>
      </c>
      <c r="Z102" s="46">
        <v>440239</v>
      </c>
      <c r="AA102" s="46">
        <v>440298</v>
      </c>
      <c r="AB102" s="46">
        <v>440426</v>
      </c>
    </row>
    <row r="103" spans="16:28">
      <c r="P103" s="40">
        <v>40787</v>
      </c>
      <c r="Q103" s="41" t="s">
        <v>35</v>
      </c>
      <c r="R103" s="41" t="s">
        <v>42</v>
      </c>
      <c r="T103" s="45">
        <v>43</v>
      </c>
      <c r="U103" s="45" t="s">
        <v>63</v>
      </c>
      <c r="V103" s="45" t="s">
        <v>64</v>
      </c>
      <c r="W103" s="46">
        <v>440005</v>
      </c>
      <c r="X103" s="46">
        <v>440006</v>
      </c>
      <c r="Y103" s="46">
        <v>441297</v>
      </c>
      <c r="Z103" s="46">
        <v>440120</v>
      </c>
      <c r="AA103" s="46">
        <v>440298</v>
      </c>
      <c r="AB103" s="46">
        <v>440426</v>
      </c>
    </row>
    <row r="104" spans="16:28">
      <c r="P104" s="40">
        <v>40817</v>
      </c>
      <c r="Q104" s="41" t="s">
        <v>36</v>
      </c>
      <c r="R104" s="41" t="s">
        <v>42</v>
      </c>
      <c r="T104" s="45">
        <v>44</v>
      </c>
      <c r="U104" s="45" t="s">
        <v>143</v>
      </c>
      <c r="V104" s="45" t="s">
        <v>144</v>
      </c>
      <c r="W104" s="46">
        <v>440205</v>
      </c>
      <c r="X104" s="46">
        <v>440206</v>
      </c>
      <c r="Y104" s="46">
        <v>441358</v>
      </c>
      <c r="Z104" s="46">
        <v>440207</v>
      </c>
      <c r="AA104" s="46">
        <v>440298</v>
      </c>
      <c r="AB104" s="46">
        <v>440426</v>
      </c>
    </row>
    <row r="105" spans="16:28" ht="30">
      <c r="P105" s="40">
        <v>40848</v>
      </c>
      <c r="Q105" s="41" t="s">
        <v>36</v>
      </c>
      <c r="R105" s="41" t="s">
        <v>42</v>
      </c>
      <c r="T105" s="45">
        <v>45</v>
      </c>
      <c r="U105" s="45" t="s">
        <v>281</v>
      </c>
      <c r="V105" s="45" t="s">
        <v>282</v>
      </c>
      <c r="W105" s="46">
        <v>440598</v>
      </c>
      <c r="X105" s="46">
        <v>440599</v>
      </c>
      <c r="Y105" s="46">
        <v>441471</v>
      </c>
      <c r="Z105" s="46">
        <v>440600</v>
      </c>
      <c r="AA105" s="46">
        <v>440298</v>
      </c>
      <c r="AB105" s="46">
        <v>440426</v>
      </c>
    </row>
    <row r="106" spans="16:28">
      <c r="P106" s="40">
        <v>40878</v>
      </c>
      <c r="Q106" s="41" t="s">
        <v>36</v>
      </c>
      <c r="R106" s="41" t="s">
        <v>42</v>
      </c>
      <c r="T106" s="45">
        <v>46</v>
      </c>
      <c r="U106" s="45" t="s">
        <v>261</v>
      </c>
      <c r="V106" s="45" t="s">
        <v>262</v>
      </c>
      <c r="W106" s="46">
        <v>440452</v>
      </c>
      <c r="X106" s="46">
        <v>440450</v>
      </c>
      <c r="Y106" s="46">
        <v>441461</v>
      </c>
      <c r="Z106" s="46">
        <v>440451</v>
      </c>
      <c r="AA106" s="46">
        <v>440298</v>
      </c>
      <c r="AB106" s="46">
        <v>440426</v>
      </c>
    </row>
    <row r="107" spans="16:28">
      <c r="P107" s="40">
        <v>40909</v>
      </c>
      <c r="Q107" s="41" t="s">
        <v>37</v>
      </c>
      <c r="R107" s="41" t="s">
        <v>42</v>
      </c>
      <c r="T107" s="45">
        <v>47</v>
      </c>
      <c r="U107" s="45" t="s">
        <v>147</v>
      </c>
      <c r="V107" s="45" t="s">
        <v>148</v>
      </c>
      <c r="W107" s="46">
        <v>440185</v>
      </c>
      <c r="X107" s="46">
        <v>440186</v>
      </c>
      <c r="Y107" s="46">
        <v>441346</v>
      </c>
      <c r="Z107" s="46">
        <v>440187</v>
      </c>
      <c r="AA107" s="46">
        <v>440298</v>
      </c>
      <c r="AB107" s="46">
        <v>440426</v>
      </c>
    </row>
    <row r="108" spans="16:28">
      <c r="P108" s="40">
        <v>40940</v>
      </c>
      <c r="Q108" s="41" t="s">
        <v>37</v>
      </c>
      <c r="R108" s="41" t="s">
        <v>42</v>
      </c>
      <c r="T108" s="45">
        <v>48</v>
      </c>
      <c r="U108" s="45" t="s">
        <v>123</v>
      </c>
      <c r="V108" s="45" t="s">
        <v>124</v>
      </c>
      <c r="W108" s="46">
        <v>440169</v>
      </c>
      <c r="X108" s="46">
        <v>440170</v>
      </c>
      <c r="Y108" s="46">
        <v>441338</v>
      </c>
      <c r="Z108" s="46">
        <v>440171</v>
      </c>
      <c r="AA108" s="46">
        <v>440298</v>
      </c>
      <c r="AB108" s="46">
        <v>440426</v>
      </c>
    </row>
    <row r="109" spans="16:28">
      <c r="P109" s="40">
        <v>40969</v>
      </c>
      <c r="Q109" s="41" t="s">
        <v>37</v>
      </c>
      <c r="R109" s="41" t="s">
        <v>42</v>
      </c>
      <c r="T109" s="45">
        <v>49</v>
      </c>
      <c r="U109" s="45" t="s">
        <v>183</v>
      </c>
      <c r="V109" s="45" t="s">
        <v>184</v>
      </c>
      <c r="W109" s="46">
        <v>440278</v>
      </c>
      <c r="X109" s="46">
        <v>440279</v>
      </c>
      <c r="Y109" s="46">
        <v>441396</v>
      </c>
      <c r="Z109" s="46">
        <v>440280</v>
      </c>
      <c r="AA109" s="46">
        <v>440298</v>
      </c>
      <c r="AB109" s="46">
        <v>440426</v>
      </c>
    </row>
    <row r="110" spans="16:28">
      <c r="P110" s="40">
        <v>41000</v>
      </c>
      <c r="Q110" s="41" t="s">
        <v>34</v>
      </c>
      <c r="R110" s="41" t="s">
        <v>43</v>
      </c>
      <c r="T110" s="45">
        <v>50</v>
      </c>
      <c r="U110" s="45" t="s">
        <v>89</v>
      </c>
      <c r="V110" s="45" t="s">
        <v>90</v>
      </c>
      <c r="W110" s="46">
        <v>440076</v>
      </c>
      <c r="X110" s="46">
        <v>440077</v>
      </c>
      <c r="Y110" s="46">
        <v>441315</v>
      </c>
      <c r="Z110" s="46">
        <v>440078</v>
      </c>
      <c r="AA110" s="46">
        <v>440298</v>
      </c>
      <c r="AB110" s="46">
        <v>440426</v>
      </c>
    </row>
    <row r="111" spans="16:28">
      <c r="P111" s="40">
        <v>41030</v>
      </c>
      <c r="Q111" s="41" t="s">
        <v>34</v>
      </c>
      <c r="R111" s="41" t="s">
        <v>43</v>
      </c>
      <c r="T111" s="45">
        <v>51</v>
      </c>
      <c r="U111" s="45" t="s">
        <v>161</v>
      </c>
      <c r="V111" s="45" t="s">
        <v>162</v>
      </c>
      <c r="W111" s="46">
        <v>440241</v>
      </c>
      <c r="X111" s="46">
        <v>440242</v>
      </c>
      <c r="Y111" s="46">
        <v>441386</v>
      </c>
      <c r="Z111" s="46">
        <v>440243</v>
      </c>
      <c r="AA111" s="46">
        <v>440298</v>
      </c>
      <c r="AB111" s="46">
        <v>440426</v>
      </c>
    </row>
    <row r="112" spans="16:28">
      <c r="P112" s="40">
        <v>41061</v>
      </c>
      <c r="Q112" s="41" t="s">
        <v>34</v>
      </c>
      <c r="R112" s="41" t="s">
        <v>43</v>
      </c>
      <c r="T112" s="45">
        <v>52</v>
      </c>
      <c r="U112" s="45" t="s">
        <v>241</v>
      </c>
      <c r="V112" s="45" t="s">
        <v>242</v>
      </c>
      <c r="W112" s="46">
        <v>440382</v>
      </c>
      <c r="X112" s="46">
        <v>440383</v>
      </c>
      <c r="Y112" s="46">
        <v>441451</v>
      </c>
      <c r="Z112" s="46">
        <v>440384</v>
      </c>
      <c r="AA112" s="46">
        <v>440298</v>
      </c>
      <c r="AB112" s="46">
        <v>440426</v>
      </c>
    </row>
    <row r="113" spans="16:28">
      <c r="P113" s="40">
        <v>41091</v>
      </c>
      <c r="Q113" s="41" t="s">
        <v>35</v>
      </c>
      <c r="R113" s="41" t="s">
        <v>43</v>
      </c>
      <c r="T113" s="45">
        <v>53</v>
      </c>
      <c r="U113" s="45" t="s">
        <v>277</v>
      </c>
      <c r="V113" s="45" t="s">
        <v>278</v>
      </c>
      <c r="W113" s="46">
        <v>440480</v>
      </c>
      <c r="X113" s="46">
        <v>440483</v>
      </c>
      <c r="Y113" s="46">
        <v>441469</v>
      </c>
      <c r="Z113" s="46">
        <v>440486</v>
      </c>
      <c r="AA113" s="46">
        <v>440298</v>
      </c>
      <c r="AB113" s="46">
        <v>440426</v>
      </c>
    </row>
    <row r="114" spans="16:28">
      <c r="P114" s="40">
        <v>41122</v>
      </c>
      <c r="Q114" s="41" t="s">
        <v>35</v>
      </c>
      <c r="R114" s="41" t="s">
        <v>43</v>
      </c>
      <c r="T114" s="45">
        <v>54</v>
      </c>
      <c r="U114" s="45" t="s">
        <v>145</v>
      </c>
      <c r="V114" s="45" t="s">
        <v>146</v>
      </c>
      <c r="W114" s="46">
        <v>440185</v>
      </c>
      <c r="X114" s="46">
        <v>440186</v>
      </c>
      <c r="Y114" s="46">
        <v>441346</v>
      </c>
      <c r="Z114" s="46">
        <v>440187</v>
      </c>
      <c r="AA114" s="46">
        <v>440298</v>
      </c>
      <c r="AB114" s="46">
        <v>440426</v>
      </c>
    </row>
    <row r="115" spans="16:28">
      <c r="P115" s="40">
        <v>41153</v>
      </c>
      <c r="Q115" s="41" t="s">
        <v>35</v>
      </c>
      <c r="R115" s="41" t="s">
        <v>43</v>
      </c>
      <c r="T115" s="45">
        <v>55</v>
      </c>
      <c r="U115" s="45" t="s">
        <v>213</v>
      </c>
      <c r="V115" s="45" t="s">
        <v>214</v>
      </c>
      <c r="W115" s="46">
        <v>440330</v>
      </c>
      <c r="X115" s="46">
        <v>440331</v>
      </c>
      <c r="Y115" s="46">
        <v>441437</v>
      </c>
      <c r="Z115" s="46">
        <v>440332</v>
      </c>
      <c r="AA115" s="46">
        <v>440298</v>
      </c>
      <c r="AB115" s="46">
        <v>440426</v>
      </c>
    </row>
    <row r="116" spans="16:28">
      <c r="P116" s="40">
        <v>41183</v>
      </c>
      <c r="Q116" s="41" t="s">
        <v>36</v>
      </c>
      <c r="R116" s="41" t="s">
        <v>43</v>
      </c>
      <c r="T116" s="45">
        <v>56</v>
      </c>
      <c r="U116" s="45" t="s">
        <v>283</v>
      </c>
      <c r="V116" s="45" t="s">
        <v>284</v>
      </c>
      <c r="W116" s="46">
        <v>440601</v>
      </c>
      <c r="X116" s="46">
        <v>440602</v>
      </c>
      <c r="Y116" s="46">
        <v>441472</v>
      </c>
      <c r="Z116" s="46">
        <v>440603</v>
      </c>
      <c r="AA116" s="46">
        <v>440298</v>
      </c>
      <c r="AB116" s="46">
        <v>440426</v>
      </c>
    </row>
    <row r="117" spans="16:28">
      <c r="P117" s="40">
        <v>41214</v>
      </c>
      <c r="Q117" s="41" t="s">
        <v>36</v>
      </c>
      <c r="R117" s="41" t="s">
        <v>43</v>
      </c>
      <c r="T117" s="45">
        <v>57</v>
      </c>
      <c r="U117" s="45" t="s">
        <v>163</v>
      </c>
      <c r="V117" s="45" t="s">
        <v>164</v>
      </c>
      <c r="W117" s="46">
        <v>440245</v>
      </c>
      <c r="X117" s="46">
        <v>440246</v>
      </c>
      <c r="Y117" s="46">
        <v>441388</v>
      </c>
      <c r="Z117" s="46">
        <v>440247</v>
      </c>
      <c r="AA117" s="46">
        <v>440298</v>
      </c>
      <c r="AB117" s="46">
        <v>440426</v>
      </c>
    </row>
    <row r="118" spans="16:28">
      <c r="P118" s="40">
        <v>41244</v>
      </c>
      <c r="Q118" s="41" t="s">
        <v>36</v>
      </c>
      <c r="R118" s="41" t="s">
        <v>43</v>
      </c>
      <c r="T118" s="45">
        <v>58</v>
      </c>
      <c r="U118" s="45" t="s">
        <v>91</v>
      </c>
      <c r="V118" s="45" t="s">
        <v>92</v>
      </c>
      <c r="W118" s="46">
        <v>440116</v>
      </c>
      <c r="X118" s="46">
        <v>440117</v>
      </c>
      <c r="Y118" s="46">
        <v>441325</v>
      </c>
      <c r="Z118" s="46">
        <v>440118</v>
      </c>
      <c r="AA118" s="46">
        <v>440298</v>
      </c>
      <c r="AB118" s="46">
        <v>440426</v>
      </c>
    </row>
    <row r="119" spans="16:28">
      <c r="P119" s="40">
        <v>41275</v>
      </c>
      <c r="Q119" s="41" t="s">
        <v>37</v>
      </c>
      <c r="R119" s="41" t="s">
        <v>43</v>
      </c>
      <c r="T119" s="45">
        <v>59</v>
      </c>
      <c r="U119" s="45" t="s">
        <v>81</v>
      </c>
      <c r="V119" s="45" t="s">
        <v>82</v>
      </c>
      <c r="W119" s="46">
        <v>440035</v>
      </c>
      <c r="X119" s="46">
        <v>440036</v>
      </c>
      <c r="Y119" s="46">
        <v>441305</v>
      </c>
      <c r="Z119" s="46">
        <v>440037</v>
      </c>
      <c r="AA119" s="46">
        <v>440298</v>
      </c>
      <c r="AB119" s="46">
        <v>440426</v>
      </c>
    </row>
    <row r="120" spans="16:28">
      <c r="P120" s="40">
        <v>41306</v>
      </c>
      <c r="Q120" s="41" t="s">
        <v>37</v>
      </c>
      <c r="R120" s="41" t="s">
        <v>43</v>
      </c>
      <c r="T120" s="45">
        <v>60</v>
      </c>
      <c r="U120" s="45" t="s">
        <v>77</v>
      </c>
      <c r="V120" s="45" t="s">
        <v>78</v>
      </c>
      <c r="W120" s="46">
        <v>440060</v>
      </c>
      <c r="X120" s="46">
        <v>440061</v>
      </c>
      <c r="Y120" s="46">
        <v>441311</v>
      </c>
      <c r="Z120" s="46">
        <v>440062</v>
      </c>
      <c r="AA120" s="46">
        <v>440298</v>
      </c>
      <c r="AB120" s="46">
        <v>440426</v>
      </c>
    </row>
    <row r="121" spans="16:28">
      <c r="P121" s="40">
        <v>41334</v>
      </c>
      <c r="Q121" s="41" t="s">
        <v>37</v>
      </c>
      <c r="R121" s="41" t="s">
        <v>43</v>
      </c>
      <c r="T121" s="45">
        <v>61</v>
      </c>
      <c r="U121" s="45" t="s">
        <v>105</v>
      </c>
      <c r="V121" s="45" t="s">
        <v>106</v>
      </c>
      <c r="W121" s="46">
        <v>440112</v>
      </c>
      <c r="X121" s="46">
        <v>440113</v>
      </c>
      <c r="Y121" s="46">
        <v>441324</v>
      </c>
      <c r="Z121" s="46">
        <v>440114</v>
      </c>
      <c r="AA121" s="46">
        <v>440298</v>
      </c>
      <c r="AB121" s="46">
        <v>440426</v>
      </c>
    </row>
    <row r="122" spans="16:28">
      <c r="P122" s="40">
        <v>41365</v>
      </c>
      <c r="Q122" s="41" t="s">
        <v>34</v>
      </c>
      <c r="R122" s="41" t="s">
        <v>44</v>
      </c>
      <c r="T122" s="45">
        <v>62</v>
      </c>
      <c r="U122" s="45" t="s">
        <v>249</v>
      </c>
      <c r="V122" s="45" t="s">
        <v>250</v>
      </c>
      <c r="W122" s="46">
        <v>440402</v>
      </c>
      <c r="X122" s="46">
        <v>440403</v>
      </c>
      <c r="Y122" s="46">
        <v>441455</v>
      </c>
      <c r="Z122" s="46">
        <v>440404</v>
      </c>
      <c r="AA122" s="46">
        <v>440298</v>
      </c>
      <c r="AB122" s="46">
        <v>440426</v>
      </c>
    </row>
    <row r="123" spans="16:28">
      <c r="P123" s="40">
        <v>41395</v>
      </c>
      <c r="Q123" s="41" t="s">
        <v>34</v>
      </c>
      <c r="R123" s="41" t="s">
        <v>44</v>
      </c>
      <c r="T123" s="45">
        <v>63</v>
      </c>
      <c r="U123" s="45" t="s">
        <v>115</v>
      </c>
      <c r="V123" s="45" t="s">
        <v>116</v>
      </c>
      <c r="W123" s="46">
        <v>440153</v>
      </c>
      <c r="X123" s="46">
        <v>440154</v>
      </c>
      <c r="Y123" s="46">
        <v>441333</v>
      </c>
      <c r="Z123" s="46">
        <v>440155</v>
      </c>
      <c r="AA123" s="46">
        <v>440298</v>
      </c>
      <c r="AB123" s="46">
        <v>440426</v>
      </c>
    </row>
    <row r="124" spans="16:28">
      <c r="P124" s="40">
        <v>41426</v>
      </c>
      <c r="Q124" s="41" t="s">
        <v>34</v>
      </c>
      <c r="R124" s="41" t="s">
        <v>44</v>
      </c>
      <c r="T124" s="45">
        <v>64</v>
      </c>
      <c r="U124" s="45" t="s">
        <v>185</v>
      </c>
      <c r="V124" s="45" t="s">
        <v>186</v>
      </c>
      <c r="W124" s="46">
        <v>440274</v>
      </c>
      <c r="X124" s="46">
        <v>440275</v>
      </c>
      <c r="Y124" s="46">
        <v>441395</v>
      </c>
      <c r="Z124" s="46">
        <v>440276</v>
      </c>
      <c r="AA124" s="46">
        <v>440298</v>
      </c>
      <c r="AB124" s="46">
        <v>440426</v>
      </c>
    </row>
    <row r="125" spans="16:28">
      <c r="P125" s="40">
        <v>41456</v>
      </c>
      <c r="Q125" s="41" t="s">
        <v>35</v>
      </c>
      <c r="R125" s="41" t="s">
        <v>44</v>
      </c>
      <c r="T125" s="45">
        <v>65</v>
      </c>
      <c r="U125" s="45" t="s">
        <v>171</v>
      </c>
      <c r="V125" s="45" t="s">
        <v>172</v>
      </c>
      <c r="W125" s="46">
        <v>440177</v>
      </c>
      <c r="X125" s="46">
        <v>440178</v>
      </c>
      <c r="Y125" s="46">
        <v>441341</v>
      </c>
      <c r="Z125" s="46">
        <v>440179</v>
      </c>
      <c r="AA125" s="46">
        <v>440298</v>
      </c>
      <c r="AB125" s="46">
        <v>440426</v>
      </c>
    </row>
    <row r="126" spans="16:28">
      <c r="P126" s="40">
        <v>41487</v>
      </c>
      <c r="Q126" s="41" t="s">
        <v>35</v>
      </c>
      <c r="R126" s="41" t="s">
        <v>44</v>
      </c>
      <c r="T126" s="45">
        <v>66</v>
      </c>
      <c r="U126" s="45" t="s">
        <v>187</v>
      </c>
      <c r="V126" s="45" t="s">
        <v>188</v>
      </c>
      <c r="W126" s="46">
        <v>440051</v>
      </c>
      <c r="X126" s="46">
        <v>440052</v>
      </c>
      <c r="Y126" s="46">
        <v>441308</v>
      </c>
      <c r="Z126" s="46">
        <v>440053</v>
      </c>
      <c r="AA126" s="46">
        <v>440298</v>
      </c>
      <c r="AB126" s="46">
        <v>440426</v>
      </c>
    </row>
    <row r="127" spans="16:28">
      <c r="P127" s="40">
        <v>41518</v>
      </c>
      <c r="Q127" s="41" t="s">
        <v>35</v>
      </c>
      <c r="R127" s="41" t="s">
        <v>44</v>
      </c>
      <c r="T127" s="45">
        <v>67</v>
      </c>
      <c r="U127" s="45" t="s">
        <v>211</v>
      </c>
      <c r="V127" s="45" t="s">
        <v>212</v>
      </c>
      <c r="W127" s="46">
        <v>440326</v>
      </c>
      <c r="X127" s="46">
        <v>440327</v>
      </c>
      <c r="Y127" s="46">
        <v>441436</v>
      </c>
      <c r="Z127" s="46">
        <v>440328</v>
      </c>
      <c r="AA127" s="46">
        <v>440298</v>
      </c>
      <c r="AB127" s="46">
        <v>440426</v>
      </c>
    </row>
    <row r="128" spans="16:28">
      <c r="P128" s="40">
        <v>41548</v>
      </c>
      <c r="Q128" s="41" t="s">
        <v>36</v>
      </c>
      <c r="R128" s="41" t="s">
        <v>44</v>
      </c>
      <c r="T128" s="45">
        <v>68</v>
      </c>
      <c r="U128" s="45" t="s">
        <v>193</v>
      </c>
      <c r="V128" s="45" t="s">
        <v>194</v>
      </c>
      <c r="W128" s="46">
        <v>440054</v>
      </c>
      <c r="X128" s="46">
        <v>440055</v>
      </c>
      <c r="Y128" s="46">
        <v>441309</v>
      </c>
      <c r="Z128" s="46">
        <v>440056</v>
      </c>
      <c r="AA128" s="46">
        <v>440298</v>
      </c>
      <c r="AB128" s="46">
        <v>440426</v>
      </c>
    </row>
    <row r="129" spans="16:28">
      <c r="P129" s="40">
        <v>41579</v>
      </c>
      <c r="Q129" s="41" t="s">
        <v>36</v>
      </c>
      <c r="R129" s="41" t="s">
        <v>44</v>
      </c>
      <c r="T129" s="45">
        <v>69</v>
      </c>
      <c r="U129" s="45" t="s">
        <v>111</v>
      </c>
      <c r="V129" s="45" t="s">
        <v>112</v>
      </c>
      <c r="W129" s="46">
        <v>440129</v>
      </c>
      <c r="X129" s="46">
        <v>440130</v>
      </c>
      <c r="Y129" s="46">
        <v>441327</v>
      </c>
      <c r="Z129" s="46">
        <v>440131</v>
      </c>
      <c r="AA129" s="46">
        <v>440298</v>
      </c>
      <c r="AB129" s="46">
        <v>440426</v>
      </c>
    </row>
    <row r="130" spans="16:28">
      <c r="P130" s="40">
        <v>41609</v>
      </c>
      <c r="Q130" s="41" t="s">
        <v>36</v>
      </c>
      <c r="R130" s="41" t="s">
        <v>44</v>
      </c>
      <c r="T130" s="45">
        <v>70</v>
      </c>
      <c r="U130" s="45" t="s">
        <v>127</v>
      </c>
      <c r="V130" s="45" t="s">
        <v>128</v>
      </c>
      <c r="W130" s="46">
        <v>440177</v>
      </c>
      <c r="X130" s="46">
        <v>440178</v>
      </c>
      <c r="Y130" s="46">
        <v>441341</v>
      </c>
      <c r="Z130" s="46">
        <v>440179</v>
      </c>
      <c r="AA130" s="46">
        <v>440298</v>
      </c>
      <c r="AB130" s="46">
        <v>440426</v>
      </c>
    </row>
    <row r="131" spans="16:28" ht="30">
      <c r="P131" s="40">
        <v>41640</v>
      </c>
      <c r="Q131" s="41" t="s">
        <v>37</v>
      </c>
      <c r="R131" s="41" t="s">
        <v>44</v>
      </c>
      <c r="T131" s="45">
        <v>71</v>
      </c>
      <c r="U131" s="45" t="s">
        <v>279</v>
      </c>
      <c r="V131" s="45" t="s">
        <v>280</v>
      </c>
      <c r="W131" s="46">
        <v>440595</v>
      </c>
      <c r="X131" s="46">
        <v>440596</v>
      </c>
      <c r="Y131" s="46">
        <v>441470</v>
      </c>
      <c r="Z131" s="46">
        <v>440597</v>
      </c>
      <c r="AA131" s="46">
        <v>440298</v>
      </c>
      <c r="AB131" s="46">
        <v>440426</v>
      </c>
    </row>
    <row r="132" spans="16:28">
      <c r="P132" s="40">
        <v>41671</v>
      </c>
      <c r="Q132" s="41" t="s">
        <v>37</v>
      </c>
      <c r="R132" s="41" t="s">
        <v>44</v>
      </c>
      <c r="T132" s="45">
        <v>72</v>
      </c>
      <c r="U132" s="45" t="s">
        <v>237</v>
      </c>
      <c r="V132" s="45" t="s">
        <v>238</v>
      </c>
      <c r="W132" s="46">
        <v>440374</v>
      </c>
      <c r="X132" s="46">
        <v>440375</v>
      </c>
      <c r="Y132" s="46">
        <v>441449</v>
      </c>
      <c r="Z132" s="46">
        <v>440376</v>
      </c>
      <c r="AA132" s="46">
        <v>440298</v>
      </c>
      <c r="AB132" s="46">
        <v>440426</v>
      </c>
    </row>
    <row r="133" spans="16:28">
      <c r="P133" s="40">
        <v>41699</v>
      </c>
      <c r="Q133" s="41" t="s">
        <v>37</v>
      </c>
      <c r="R133" s="41" t="s">
        <v>44</v>
      </c>
      <c r="T133" s="45">
        <v>73</v>
      </c>
      <c r="U133" s="45" t="s">
        <v>149</v>
      </c>
      <c r="V133" s="45" t="s">
        <v>150</v>
      </c>
      <c r="W133" s="46">
        <v>440201</v>
      </c>
      <c r="X133" s="46">
        <v>440202</v>
      </c>
      <c r="Y133" s="46">
        <v>441356</v>
      </c>
      <c r="Z133" s="46">
        <v>440203</v>
      </c>
      <c r="AA133" s="46">
        <v>440298</v>
      </c>
      <c r="AB133" s="46">
        <v>440426</v>
      </c>
    </row>
    <row r="134" spans="16:28">
      <c r="P134" s="40">
        <v>41730</v>
      </c>
      <c r="Q134" s="41" t="s">
        <v>34</v>
      </c>
      <c r="R134" s="41" t="s">
        <v>47</v>
      </c>
      <c r="T134" s="45">
        <v>74</v>
      </c>
      <c r="U134" s="45" t="s">
        <v>99</v>
      </c>
      <c r="V134" s="45" t="s">
        <v>100</v>
      </c>
      <c r="W134" s="46">
        <v>440104</v>
      </c>
      <c r="X134" s="46">
        <v>440105</v>
      </c>
      <c r="Y134" s="46">
        <v>441322</v>
      </c>
      <c r="Z134" s="46">
        <v>440106</v>
      </c>
      <c r="AA134" s="46">
        <v>440298</v>
      </c>
      <c r="AB134" s="46">
        <v>440426</v>
      </c>
    </row>
    <row r="135" spans="16:28">
      <c r="P135" s="40">
        <v>41760</v>
      </c>
      <c r="Q135" s="41" t="s">
        <v>34</v>
      </c>
      <c r="R135" s="41" t="s">
        <v>47</v>
      </c>
      <c r="T135" s="45">
        <v>75</v>
      </c>
      <c r="U135" s="45" t="s">
        <v>85</v>
      </c>
      <c r="V135" s="45" t="s">
        <v>86</v>
      </c>
      <c r="W135" s="46">
        <v>440048</v>
      </c>
      <c r="X135" s="46">
        <v>440049</v>
      </c>
      <c r="Y135" s="46">
        <v>441307</v>
      </c>
      <c r="Z135" s="46">
        <v>440050</v>
      </c>
      <c r="AA135" s="46">
        <v>440298</v>
      </c>
      <c r="AB135" s="46">
        <v>440426</v>
      </c>
    </row>
    <row r="136" spans="16:28">
      <c r="P136" s="40">
        <v>41791</v>
      </c>
      <c r="Q136" s="41" t="s">
        <v>34</v>
      </c>
      <c r="R136" s="41" t="s">
        <v>47</v>
      </c>
      <c r="T136" s="45">
        <v>76</v>
      </c>
      <c r="U136" s="45" t="s">
        <v>251</v>
      </c>
      <c r="V136" s="45" t="s">
        <v>252</v>
      </c>
      <c r="W136" s="46">
        <v>440406</v>
      </c>
      <c r="X136" s="46">
        <v>440407</v>
      </c>
      <c r="Y136" s="46">
        <v>441456</v>
      </c>
      <c r="Z136" s="46">
        <v>440408</v>
      </c>
      <c r="AA136" s="46">
        <v>440298</v>
      </c>
      <c r="AB136" s="46">
        <v>440426</v>
      </c>
    </row>
    <row r="137" spans="16:28">
      <c r="P137" s="40">
        <v>41821</v>
      </c>
      <c r="Q137" s="41" t="s">
        <v>35</v>
      </c>
      <c r="R137" s="41" t="s">
        <v>47</v>
      </c>
      <c r="T137" s="45">
        <v>77</v>
      </c>
      <c r="U137" s="45" t="s">
        <v>295</v>
      </c>
      <c r="V137" s="45" t="s">
        <v>296</v>
      </c>
      <c r="W137" s="46">
        <v>441067</v>
      </c>
      <c r="X137" s="46">
        <v>441068</v>
      </c>
      <c r="Y137" s="46">
        <v>441478</v>
      </c>
      <c r="Z137" s="46">
        <v>441069</v>
      </c>
      <c r="AA137" s="46">
        <v>440298</v>
      </c>
      <c r="AB137" s="46">
        <v>440426</v>
      </c>
    </row>
    <row r="138" spans="16:28">
      <c r="P138" s="40">
        <v>41852</v>
      </c>
      <c r="Q138" s="41" t="s">
        <v>35</v>
      </c>
      <c r="R138" s="41" t="s">
        <v>47</v>
      </c>
      <c r="T138" s="45">
        <v>78</v>
      </c>
      <c r="U138" s="45" t="s">
        <v>109</v>
      </c>
      <c r="V138" s="45" t="s">
        <v>110</v>
      </c>
      <c r="W138" s="46">
        <v>440125</v>
      </c>
      <c r="X138" s="46">
        <v>440126</v>
      </c>
      <c r="Y138" s="46">
        <v>441326</v>
      </c>
      <c r="Z138" s="46">
        <v>440127</v>
      </c>
      <c r="AA138" s="46">
        <v>440298</v>
      </c>
      <c r="AB138" s="46">
        <v>440426</v>
      </c>
    </row>
    <row r="139" spans="16:28">
      <c r="P139" s="40">
        <v>41883</v>
      </c>
      <c r="Q139" s="41" t="s">
        <v>35</v>
      </c>
      <c r="R139" s="41" t="s">
        <v>47</v>
      </c>
      <c r="T139" s="45">
        <v>79</v>
      </c>
      <c r="U139" s="45" t="s">
        <v>101</v>
      </c>
      <c r="V139" s="45" t="s">
        <v>102</v>
      </c>
      <c r="W139" s="46">
        <v>440108</v>
      </c>
      <c r="X139" s="46">
        <v>440109</v>
      </c>
      <c r="Y139" s="46">
        <v>441323</v>
      </c>
      <c r="Z139" s="46">
        <v>440110</v>
      </c>
      <c r="AA139" s="46">
        <v>440298</v>
      </c>
      <c r="AB139" s="46">
        <v>440426</v>
      </c>
    </row>
    <row r="140" spans="16:28">
      <c r="P140" s="40">
        <v>41913</v>
      </c>
      <c r="Q140" s="41" t="s">
        <v>36</v>
      </c>
      <c r="R140" s="41" t="s">
        <v>47</v>
      </c>
      <c r="T140" s="45">
        <v>80</v>
      </c>
      <c r="U140" s="45" t="s">
        <v>225</v>
      </c>
      <c r="V140" s="45" t="s">
        <v>226</v>
      </c>
      <c r="W140" s="46">
        <v>440354</v>
      </c>
      <c r="X140" s="46">
        <v>440355</v>
      </c>
      <c r="Y140" s="46">
        <v>441443</v>
      </c>
      <c r="Z140" s="46">
        <v>440356</v>
      </c>
      <c r="AA140" s="46">
        <v>440298</v>
      </c>
      <c r="AB140" s="46">
        <v>440426</v>
      </c>
    </row>
    <row r="141" spans="16:28" ht="30">
      <c r="P141" s="40">
        <v>41944</v>
      </c>
      <c r="Q141" s="41" t="s">
        <v>36</v>
      </c>
      <c r="R141" s="41" t="s">
        <v>47</v>
      </c>
      <c r="T141" s="45">
        <v>81</v>
      </c>
      <c r="U141" s="45" t="s">
        <v>129</v>
      </c>
      <c r="V141" s="45" t="s">
        <v>130</v>
      </c>
      <c r="W141" s="46">
        <v>440181</v>
      </c>
      <c r="X141" s="46">
        <v>440182</v>
      </c>
      <c r="Y141" s="46">
        <v>441343</v>
      </c>
      <c r="Z141" s="46">
        <v>440183</v>
      </c>
      <c r="AA141" s="46">
        <v>440298</v>
      </c>
      <c r="AB141" s="46">
        <v>440426</v>
      </c>
    </row>
    <row r="142" spans="16:28">
      <c r="P142" s="40">
        <v>41974</v>
      </c>
      <c r="Q142" s="41" t="s">
        <v>36</v>
      </c>
      <c r="R142" s="41" t="s">
        <v>47</v>
      </c>
      <c r="T142" s="45">
        <v>82</v>
      </c>
      <c r="U142" s="45" t="s">
        <v>287</v>
      </c>
      <c r="V142" s="45" t="s">
        <v>288</v>
      </c>
      <c r="W142" s="46">
        <v>440607</v>
      </c>
      <c r="X142" s="46">
        <v>440608</v>
      </c>
      <c r="Y142" s="46">
        <v>441474</v>
      </c>
      <c r="Z142" s="46">
        <v>440609</v>
      </c>
      <c r="AA142" s="46">
        <v>440298</v>
      </c>
      <c r="AB142" s="46">
        <v>440426</v>
      </c>
    </row>
    <row r="143" spans="16:28" ht="30">
      <c r="P143" s="40">
        <v>42005</v>
      </c>
      <c r="Q143" s="41" t="s">
        <v>37</v>
      </c>
      <c r="R143" s="41" t="s">
        <v>47</v>
      </c>
      <c r="T143" s="45">
        <v>83</v>
      </c>
      <c r="U143" s="45" t="s">
        <v>285</v>
      </c>
      <c r="V143" s="45" t="s">
        <v>286</v>
      </c>
      <c r="W143" s="46">
        <v>440604</v>
      </c>
      <c r="X143" s="46">
        <v>440605</v>
      </c>
      <c r="Y143" s="46">
        <v>441473</v>
      </c>
      <c r="Z143" s="46">
        <v>440606</v>
      </c>
      <c r="AA143" s="46">
        <v>440298</v>
      </c>
      <c r="AB143" s="46">
        <v>440426</v>
      </c>
    </row>
    <row r="144" spans="16:28" ht="30">
      <c r="P144" s="40">
        <v>42036</v>
      </c>
      <c r="Q144" s="41" t="s">
        <v>37</v>
      </c>
      <c r="R144" s="41" t="s">
        <v>47</v>
      </c>
      <c r="T144" s="45">
        <v>84</v>
      </c>
      <c r="U144" s="45" t="s">
        <v>297</v>
      </c>
      <c r="V144" s="45" t="s">
        <v>306</v>
      </c>
      <c r="W144" s="46">
        <v>441070</v>
      </c>
      <c r="X144" s="46">
        <v>441071</v>
      </c>
      <c r="Y144" s="46">
        <v>441479</v>
      </c>
      <c r="Z144" s="46">
        <v>441072</v>
      </c>
      <c r="AA144" s="46">
        <v>440298</v>
      </c>
      <c r="AB144" s="46">
        <v>440426</v>
      </c>
    </row>
    <row r="145" spans="16:28">
      <c r="P145" s="40">
        <v>42064</v>
      </c>
      <c r="Q145" s="41" t="s">
        <v>37</v>
      </c>
      <c r="R145" s="41" t="s">
        <v>47</v>
      </c>
      <c r="T145" s="45">
        <v>85</v>
      </c>
      <c r="U145" s="45" t="s">
        <v>223</v>
      </c>
      <c r="V145" s="45" t="s">
        <v>224</v>
      </c>
      <c r="W145" s="46">
        <v>440350</v>
      </c>
      <c r="X145" s="46">
        <v>440351</v>
      </c>
      <c r="Y145" s="46">
        <v>441442</v>
      </c>
      <c r="Z145" s="46">
        <v>440352</v>
      </c>
      <c r="AA145" s="46">
        <v>440298</v>
      </c>
      <c r="AB145" s="46">
        <v>440426</v>
      </c>
    </row>
    <row r="146" spans="16:28">
      <c r="P146" s="40">
        <v>42095</v>
      </c>
      <c r="Q146" s="41" t="s">
        <v>34</v>
      </c>
      <c r="R146" s="41" t="s">
        <v>48</v>
      </c>
      <c r="T146" s="45">
        <v>86</v>
      </c>
      <c r="U146" s="45" t="s">
        <v>217</v>
      </c>
      <c r="V146" s="45" t="s">
        <v>218</v>
      </c>
      <c r="W146" s="46">
        <v>440338</v>
      </c>
      <c r="X146" s="46">
        <v>440339</v>
      </c>
      <c r="Y146" s="46">
        <v>441439</v>
      </c>
      <c r="Z146" s="46">
        <v>440340</v>
      </c>
      <c r="AA146" s="46">
        <v>440298</v>
      </c>
      <c r="AB146" s="46">
        <v>440426</v>
      </c>
    </row>
    <row r="147" spans="16:28">
      <c r="P147" s="40">
        <v>42125</v>
      </c>
      <c r="Q147" s="41" t="s">
        <v>34</v>
      </c>
      <c r="R147" s="41" t="s">
        <v>48</v>
      </c>
      <c r="T147" s="45">
        <v>87</v>
      </c>
      <c r="U147" s="45" t="s">
        <v>219</v>
      </c>
      <c r="V147" s="45" t="s">
        <v>220</v>
      </c>
      <c r="W147" s="46">
        <v>440342</v>
      </c>
      <c r="X147" s="46">
        <v>440343</v>
      </c>
      <c r="Y147" s="46">
        <v>441440</v>
      </c>
      <c r="Z147" s="46">
        <v>440344</v>
      </c>
      <c r="AA147" s="46">
        <v>440298</v>
      </c>
      <c r="AB147" s="46">
        <v>440426</v>
      </c>
    </row>
    <row r="148" spans="16:28">
      <c r="P148" s="40">
        <v>42156</v>
      </c>
      <c r="Q148" s="41" t="s">
        <v>34</v>
      </c>
      <c r="R148" s="41" t="s">
        <v>48</v>
      </c>
      <c r="T148" s="45">
        <v>88</v>
      </c>
      <c r="U148" s="45" t="s">
        <v>189</v>
      </c>
      <c r="V148" s="45" t="s">
        <v>190</v>
      </c>
      <c r="W148" s="46">
        <v>440286</v>
      </c>
      <c r="X148" s="46">
        <v>440287</v>
      </c>
      <c r="Y148" s="46">
        <v>441398</v>
      </c>
      <c r="Z148" s="46">
        <v>440288</v>
      </c>
      <c r="AA148" s="46">
        <v>440298</v>
      </c>
      <c r="AB148" s="46">
        <v>440426</v>
      </c>
    </row>
    <row r="149" spans="16:28" ht="30">
      <c r="P149" s="40">
        <v>42186</v>
      </c>
      <c r="Q149" s="41" t="s">
        <v>35</v>
      </c>
      <c r="R149" s="41" t="s">
        <v>48</v>
      </c>
      <c r="T149" s="45">
        <v>89</v>
      </c>
      <c r="U149" s="45" t="s">
        <v>247</v>
      </c>
      <c r="V149" s="45" t="s">
        <v>248</v>
      </c>
      <c r="W149" s="46">
        <v>440398</v>
      </c>
      <c r="X149" s="46">
        <v>440399</v>
      </c>
      <c r="Y149" s="46">
        <v>441454</v>
      </c>
      <c r="Z149" s="46">
        <v>440400</v>
      </c>
      <c r="AA149" s="46">
        <v>440298</v>
      </c>
      <c r="AB149" s="46">
        <v>440426</v>
      </c>
    </row>
    <row r="150" spans="16:28" ht="30">
      <c r="P150" s="40">
        <v>42217</v>
      </c>
      <c r="Q150" s="41" t="s">
        <v>35</v>
      </c>
      <c r="R150" s="41" t="s">
        <v>48</v>
      </c>
      <c r="T150" s="45">
        <v>90</v>
      </c>
      <c r="U150" s="45" t="s">
        <v>269</v>
      </c>
      <c r="V150" s="45" t="s">
        <v>270</v>
      </c>
      <c r="W150" s="46">
        <v>440442</v>
      </c>
      <c r="X150" s="46">
        <v>440443</v>
      </c>
      <c r="Y150" s="46">
        <v>441465</v>
      </c>
      <c r="Z150" s="46">
        <v>440446</v>
      </c>
      <c r="AA150" s="46">
        <v>440298</v>
      </c>
      <c r="AB150" s="46">
        <v>440426</v>
      </c>
    </row>
    <row r="151" spans="16:28" ht="30">
      <c r="P151" s="40">
        <v>42248</v>
      </c>
      <c r="Q151" s="41" t="s">
        <v>35</v>
      </c>
      <c r="R151" s="41" t="s">
        <v>48</v>
      </c>
      <c r="T151" s="45">
        <v>91</v>
      </c>
      <c r="U151" s="45" t="s">
        <v>265</v>
      </c>
      <c r="V151" s="45" t="s">
        <v>266</v>
      </c>
      <c r="W151" s="46">
        <v>440434</v>
      </c>
      <c r="X151" s="46">
        <v>440435</v>
      </c>
      <c r="Y151" s="46">
        <v>441463</v>
      </c>
      <c r="Z151" s="46">
        <v>440436</v>
      </c>
      <c r="AA151" s="46">
        <v>440298</v>
      </c>
      <c r="AB151" s="46">
        <v>440426</v>
      </c>
    </row>
    <row r="152" spans="16:28" ht="30">
      <c r="P152" s="40">
        <v>42278</v>
      </c>
      <c r="Q152" s="41" t="s">
        <v>36</v>
      </c>
      <c r="R152" s="41" t="s">
        <v>48</v>
      </c>
      <c r="T152" s="45">
        <v>92</v>
      </c>
      <c r="U152" s="45" t="s">
        <v>271</v>
      </c>
      <c r="V152" s="45" t="s">
        <v>272</v>
      </c>
      <c r="W152" s="46">
        <v>440445</v>
      </c>
      <c r="X152" s="46">
        <v>440447</v>
      </c>
      <c r="Y152" s="46">
        <v>441466</v>
      </c>
      <c r="Z152" s="46">
        <v>440448</v>
      </c>
      <c r="AA152" s="46">
        <v>440298</v>
      </c>
      <c r="AB152" s="46">
        <v>440426</v>
      </c>
    </row>
    <row r="153" spans="16:28" ht="45">
      <c r="P153" s="40">
        <v>42309</v>
      </c>
      <c r="Q153" s="41" t="s">
        <v>36</v>
      </c>
      <c r="R153" s="41" t="s">
        <v>48</v>
      </c>
      <c r="T153" s="45">
        <v>93</v>
      </c>
      <c r="U153" s="45" t="s">
        <v>267</v>
      </c>
      <c r="V153" s="45" t="s">
        <v>268</v>
      </c>
      <c r="W153" s="46">
        <v>440438</v>
      </c>
      <c r="X153" s="46">
        <v>440439</v>
      </c>
      <c r="Y153" s="46">
        <v>441464</v>
      </c>
      <c r="Z153" s="46">
        <v>440440</v>
      </c>
      <c r="AA153" s="46">
        <v>440298</v>
      </c>
      <c r="AB153" s="46">
        <v>440426</v>
      </c>
    </row>
    <row r="154" spans="16:28" ht="30">
      <c r="P154" s="40">
        <v>42339</v>
      </c>
      <c r="Q154" s="41" t="s">
        <v>36</v>
      </c>
      <c r="R154" s="41" t="s">
        <v>48</v>
      </c>
      <c r="T154" s="45">
        <v>94</v>
      </c>
      <c r="U154" s="45" t="s">
        <v>197</v>
      </c>
      <c r="V154" s="45" t="s">
        <v>198</v>
      </c>
      <c r="W154" s="46">
        <v>440282</v>
      </c>
      <c r="X154" s="46">
        <v>440283</v>
      </c>
      <c r="Y154" s="46">
        <v>441397</v>
      </c>
      <c r="Z154" s="46">
        <v>440284</v>
      </c>
      <c r="AA154" s="46">
        <v>440298</v>
      </c>
      <c r="AB154" s="46">
        <v>440426</v>
      </c>
    </row>
    <row r="155" spans="16:28">
      <c r="P155" s="40">
        <v>42370</v>
      </c>
      <c r="Q155" s="41" t="s">
        <v>37</v>
      </c>
      <c r="R155" s="41" t="s">
        <v>48</v>
      </c>
      <c r="T155" s="45">
        <v>95</v>
      </c>
      <c r="U155" s="45" t="s">
        <v>239</v>
      </c>
      <c r="V155" s="45" t="s">
        <v>240</v>
      </c>
      <c r="W155" s="46">
        <v>440378</v>
      </c>
      <c r="X155" s="46">
        <v>440379</v>
      </c>
      <c r="Y155" s="46">
        <v>441450</v>
      </c>
      <c r="Z155" s="46">
        <v>440380</v>
      </c>
      <c r="AA155" s="46">
        <v>440298</v>
      </c>
      <c r="AB155" s="46">
        <v>440426</v>
      </c>
    </row>
    <row r="156" spans="16:28" ht="30">
      <c r="P156" s="40">
        <v>42401</v>
      </c>
      <c r="Q156" s="41" t="s">
        <v>37</v>
      </c>
      <c r="R156" s="41" t="s">
        <v>48</v>
      </c>
      <c r="T156" s="45">
        <v>96</v>
      </c>
      <c r="U156" s="45" t="s">
        <v>201</v>
      </c>
      <c r="V156" s="45" t="s">
        <v>202</v>
      </c>
      <c r="W156" s="46">
        <v>440306</v>
      </c>
      <c r="X156" s="46">
        <v>440307</v>
      </c>
      <c r="Y156" s="46">
        <v>441431</v>
      </c>
      <c r="Z156" s="46">
        <v>440308</v>
      </c>
      <c r="AA156" s="46">
        <v>440298</v>
      </c>
      <c r="AB156" s="46">
        <v>440426</v>
      </c>
    </row>
    <row r="157" spans="16:28">
      <c r="P157" s="40">
        <v>42430</v>
      </c>
      <c r="Q157" s="41" t="s">
        <v>37</v>
      </c>
      <c r="R157" s="41" t="s">
        <v>48</v>
      </c>
      <c r="T157" s="45">
        <v>97</v>
      </c>
      <c r="U157" s="45" t="s">
        <v>119</v>
      </c>
      <c r="V157" s="45" t="s">
        <v>120</v>
      </c>
      <c r="W157" s="46">
        <v>440161</v>
      </c>
      <c r="X157" s="46">
        <v>440162</v>
      </c>
      <c r="Y157" s="46">
        <v>441335</v>
      </c>
      <c r="Z157" s="46">
        <v>440163</v>
      </c>
      <c r="AA157" s="46">
        <v>440298</v>
      </c>
      <c r="AB157" s="46">
        <v>440426</v>
      </c>
    </row>
    <row r="158" spans="16:28">
      <c r="T158" s="45">
        <v>98</v>
      </c>
      <c r="U158" s="45" t="s">
        <v>293</v>
      </c>
      <c r="V158" s="45" t="s">
        <v>294</v>
      </c>
      <c r="W158" s="46">
        <v>440616</v>
      </c>
      <c r="X158" s="46">
        <v>440617</v>
      </c>
      <c r="Y158" s="46">
        <v>441477</v>
      </c>
      <c r="Z158" s="46">
        <v>440618</v>
      </c>
      <c r="AA158" s="46">
        <v>440298</v>
      </c>
      <c r="AB158" s="46">
        <v>440426</v>
      </c>
    </row>
    <row r="159" spans="16:28" ht="30">
      <c r="T159" s="45">
        <v>99</v>
      </c>
      <c r="U159" s="45" t="s">
        <v>227</v>
      </c>
      <c r="V159" s="45" t="s">
        <v>228</v>
      </c>
      <c r="W159" s="46">
        <v>440358</v>
      </c>
      <c r="X159" s="46">
        <v>440359</v>
      </c>
      <c r="Y159" s="46">
        <v>441444</v>
      </c>
      <c r="Z159" s="46">
        <v>440360</v>
      </c>
      <c r="AA159" s="46">
        <v>440298</v>
      </c>
      <c r="AB159" s="46">
        <v>440426</v>
      </c>
    </row>
    <row r="160" spans="16:28">
      <c r="T160" s="45">
        <v>100</v>
      </c>
      <c r="U160" s="45" t="s">
        <v>73</v>
      </c>
      <c r="V160" s="45" t="s">
        <v>74</v>
      </c>
      <c r="W160" s="46">
        <v>440029</v>
      </c>
      <c r="X160" s="46">
        <v>440030</v>
      </c>
      <c r="Y160" s="46">
        <v>441303</v>
      </c>
      <c r="Z160" s="46">
        <v>440031</v>
      </c>
      <c r="AA160" s="46">
        <v>440298</v>
      </c>
      <c r="AB160" s="46">
        <v>440426</v>
      </c>
    </row>
    <row r="161" spans="20:28">
      <c r="T161" s="45">
        <v>101</v>
      </c>
      <c r="U161" s="45" t="s">
        <v>61</v>
      </c>
      <c r="V161" s="45" t="s">
        <v>62</v>
      </c>
      <c r="W161" s="46">
        <v>440008</v>
      </c>
      <c r="X161" s="46">
        <v>440009</v>
      </c>
      <c r="Y161" s="46">
        <v>441298</v>
      </c>
      <c r="Z161" s="46">
        <v>440121</v>
      </c>
      <c r="AA161" s="46">
        <v>440298</v>
      </c>
      <c r="AB161" s="46">
        <v>440426</v>
      </c>
    </row>
    <row r="162" spans="20:28">
      <c r="T162" s="45">
        <v>102</v>
      </c>
      <c r="U162" s="45" t="s">
        <v>151</v>
      </c>
      <c r="V162" s="45" t="s">
        <v>152</v>
      </c>
      <c r="W162" s="46">
        <v>440193</v>
      </c>
      <c r="X162" s="46">
        <v>440194</v>
      </c>
      <c r="Y162" s="46">
        <v>441350</v>
      </c>
      <c r="Z162" s="46">
        <v>440195</v>
      </c>
      <c r="AA162" s="46">
        <v>440298</v>
      </c>
      <c r="AB162" s="46">
        <v>440426</v>
      </c>
    </row>
    <row r="163" spans="20:28">
      <c r="T163" s="45">
        <v>103</v>
      </c>
      <c r="U163" s="45" t="s">
        <v>191</v>
      </c>
      <c r="V163" s="45" t="s">
        <v>192</v>
      </c>
      <c r="W163" s="46">
        <v>440270</v>
      </c>
      <c r="X163" s="46">
        <v>440271</v>
      </c>
      <c r="Y163" s="46">
        <v>441394</v>
      </c>
      <c r="Z163" s="46">
        <v>440272</v>
      </c>
      <c r="AA163" s="46">
        <v>440298</v>
      </c>
      <c r="AB163" s="46">
        <v>440426</v>
      </c>
    </row>
    <row r="164" spans="20:28">
      <c r="T164" s="45">
        <v>104</v>
      </c>
      <c r="U164" s="45" t="s">
        <v>205</v>
      </c>
      <c r="V164" s="45" t="s">
        <v>206</v>
      </c>
      <c r="W164" s="46">
        <v>440314</v>
      </c>
      <c r="X164" s="46">
        <v>440315</v>
      </c>
      <c r="Y164" s="46">
        <v>441433</v>
      </c>
      <c r="Z164" s="46">
        <v>440316</v>
      </c>
      <c r="AA164" s="46">
        <v>440298</v>
      </c>
      <c r="AB164" s="46">
        <v>440426</v>
      </c>
    </row>
    <row r="165" spans="20:28">
      <c r="T165" s="45">
        <v>105</v>
      </c>
      <c r="U165" s="45" t="s">
        <v>167</v>
      </c>
      <c r="V165" s="45" t="s">
        <v>168</v>
      </c>
      <c r="W165" s="46">
        <v>440249</v>
      </c>
      <c r="X165" s="46">
        <v>440250</v>
      </c>
      <c r="Y165" s="46">
        <v>441389</v>
      </c>
      <c r="Z165" s="46">
        <v>440251</v>
      </c>
      <c r="AA165" s="46">
        <v>440298</v>
      </c>
      <c r="AB165" s="46">
        <v>440426</v>
      </c>
    </row>
    <row r="166" spans="20:28">
      <c r="T166" s="45">
        <v>106</v>
      </c>
      <c r="U166" s="45" t="s">
        <v>165</v>
      </c>
      <c r="V166" s="45" t="s">
        <v>166</v>
      </c>
      <c r="W166" s="46">
        <v>440249</v>
      </c>
      <c r="X166" s="46">
        <v>440250</v>
      </c>
      <c r="Y166" s="46">
        <v>441389</v>
      </c>
      <c r="Z166" s="46">
        <v>440251</v>
      </c>
      <c r="AA166" s="46">
        <v>440298</v>
      </c>
      <c r="AB166" s="46">
        <v>440426</v>
      </c>
    </row>
    <row r="167" spans="20:28">
      <c r="T167" s="45">
        <v>107</v>
      </c>
      <c r="U167" s="45" t="s">
        <v>83</v>
      </c>
      <c r="V167" s="45" t="s">
        <v>84</v>
      </c>
      <c r="W167" s="46">
        <v>440063</v>
      </c>
      <c r="X167" s="46">
        <v>440064</v>
      </c>
      <c r="Y167" s="46">
        <v>441312</v>
      </c>
      <c r="Z167" s="46">
        <v>440065</v>
      </c>
      <c r="AA167" s="46">
        <v>440298</v>
      </c>
      <c r="AB167" s="46">
        <v>440426</v>
      </c>
    </row>
    <row r="168" spans="20:28">
      <c r="T168" s="45">
        <v>108</v>
      </c>
      <c r="U168" s="45" t="s">
        <v>175</v>
      </c>
      <c r="V168" s="45" t="s">
        <v>176</v>
      </c>
      <c r="W168" s="46">
        <v>440266</v>
      </c>
      <c r="X168" s="46">
        <v>440267</v>
      </c>
      <c r="Y168" s="46">
        <v>441393</v>
      </c>
      <c r="Z168" s="46">
        <v>440268</v>
      </c>
      <c r="AA168" s="46">
        <v>440298</v>
      </c>
      <c r="AB168" s="46">
        <v>440426</v>
      </c>
    </row>
    <row r="169" spans="20:28">
      <c r="T169" s="45">
        <v>109</v>
      </c>
      <c r="U169" s="45" t="s">
        <v>275</v>
      </c>
      <c r="V169" s="45" t="s">
        <v>276</v>
      </c>
      <c r="W169" s="46">
        <v>440470</v>
      </c>
      <c r="X169" s="46">
        <v>440473</v>
      </c>
      <c r="Y169" s="46">
        <v>441468</v>
      </c>
      <c r="Z169" s="46">
        <v>440476</v>
      </c>
      <c r="AA169" s="46">
        <v>440298</v>
      </c>
      <c r="AB169" s="46">
        <v>440426</v>
      </c>
    </row>
    <row r="170" spans="20:28" ht="30">
      <c r="T170" s="45">
        <v>110</v>
      </c>
      <c r="U170" s="45" t="s">
        <v>231</v>
      </c>
      <c r="V170" s="45" t="s">
        <v>232</v>
      </c>
      <c r="W170" s="46">
        <v>440390</v>
      </c>
      <c r="X170" s="46">
        <v>440391</v>
      </c>
      <c r="Y170" s="46">
        <v>441446</v>
      </c>
      <c r="Z170" s="46">
        <v>440392</v>
      </c>
      <c r="AA170" s="46">
        <v>440298</v>
      </c>
      <c r="AB170" s="46">
        <v>440426</v>
      </c>
    </row>
    <row r="171" spans="20:28">
      <c r="T171" s="45">
        <v>111</v>
      </c>
      <c r="U171" s="45" t="s">
        <v>179</v>
      </c>
      <c r="V171" s="45" t="s">
        <v>180</v>
      </c>
      <c r="W171" s="46">
        <v>440262</v>
      </c>
      <c r="X171" s="46">
        <v>440263</v>
      </c>
      <c r="Y171" s="46">
        <v>441392</v>
      </c>
      <c r="Z171" s="46">
        <v>440264</v>
      </c>
      <c r="AA171" s="46">
        <v>440298</v>
      </c>
      <c r="AB171" s="46">
        <v>440426</v>
      </c>
    </row>
    <row r="172" spans="20:28">
      <c r="T172" s="45">
        <v>112</v>
      </c>
      <c r="U172" s="45" t="s">
        <v>199</v>
      </c>
      <c r="V172" s="45" t="s">
        <v>200</v>
      </c>
      <c r="W172" s="46">
        <v>440302</v>
      </c>
      <c r="X172" s="46">
        <v>440303</v>
      </c>
      <c r="Y172" s="46">
        <v>441430</v>
      </c>
      <c r="Z172" s="46">
        <v>440304</v>
      </c>
      <c r="AA172" s="46">
        <v>440298</v>
      </c>
      <c r="AB172" s="46">
        <v>440426</v>
      </c>
    </row>
    <row r="173" spans="20:28" ht="30">
      <c r="T173" s="45">
        <v>113</v>
      </c>
      <c r="U173" s="45" t="s">
        <v>229</v>
      </c>
      <c r="V173" s="45" t="s">
        <v>230</v>
      </c>
      <c r="W173" s="46">
        <v>440362</v>
      </c>
      <c r="X173" s="46">
        <v>440363</v>
      </c>
      <c r="Y173" s="46">
        <v>441445</v>
      </c>
      <c r="Z173" s="46">
        <v>440364</v>
      </c>
      <c r="AA173" s="46">
        <v>440298</v>
      </c>
      <c r="AB173" s="46">
        <v>440426</v>
      </c>
    </row>
    <row r="174" spans="20:28">
      <c r="T174" s="45">
        <v>114</v>
      </c>
      <c r="U174" s="45" t="s">
        <v>243</v>
      </c>
      <c r="V174" s="45" t="s">
        <v>244</v>
      </c>
      <c r="W174" s="46">
        <v>440386</v>
      </c>
      <c r="X174" s="46">
        <v>440387</v>
      </c>
      <c r="Y174" s="46">
        <v>441452</v>
      </c>
      <c r="Z174" s="46">
        <v>440388</v>
      </c>
      <c r="AA174" s="46">
        <v>440298</v>
      </c>
      <c r="AB174" s="46">
        <v>440426</v>
      </c>
    </row>
    <row r="175" spans="20:28" ht="30">
      <c r="T175" s="45">
        <v>115</v>
      </c>
      <c r="U175" s="45" t="s">
        <v>195</v>
      </c>
      <c r="V175" s="45" t="s">
        <v>196</v>
      </c>
      <c r="W175" s="46">
        <v>440294</v>
      </c>
      <c r="X175" s="46">
        <v>440295</v>
      </c>
      <c r="Y175" s="46">
        <v>441400</v>
      </c>
      <c r="Z175" s="46">
        <v>440296</v>
      </c>
      <c r="AA175" s="46">
        <v>440298</v>
      </c>
      <c r="AB175" s="46">
        <v>440426</v>
      </c>
    </row>
    <row r="176" spans="20:28">
      <c r="T176" s="45">
        <v>116</v>
      </c>
      <c r="U176" s="45" t="s">
        <v>263</v>
      </c>
      <c r="V176" s="45" t="s">
        <v>264</v>
      </c>
      <c r="W176" s="46">
        <v>440430</v>
      </c>
      <c r="X176" s="46">
        <v>440431</v>
      </c>
      <c r="Y176" s="46">
        <v>441462</v>
      </c>
      <c r="Z176" s="46">
        <v>440432</v>
      </c>
      <c r="AA176" s="46">
        <v>440298</v>
      </c>
      <c r="AB176" s="46">
        <v>440426</v>
      </c>
    </row>
    <row r="177" spans="20:28">
      <c r="T177" s="45">
        <v>117</v>
      </c>
      <c r="U177" s="45" t="s">
        <v>107</v>
      </c>
      <c r="V177" s="45" t="s">
        <v>108</v>
      </c>
      <c r="W177" s="46">
        <v>440084</v>
      </c>
      <c r="X177" s="46">
        <v>440085</v>
      </c>
      <c r="Y177" s="46">
        <v>441317</v>
      </c>
      <c r="Z177" s="46">
        <v>440086</v>
      </c>
      <c r="AA177" s="46">
        <v>440298</v>
      </c>
      <c r="AB177" s="46">
        <v>440426</v>
      </c>
    </row>
    <row r="178" spans="20:28">
      <c r="T178" s="45">
        <v>118</v>
      </c>
      <c r="U178" s="45" t="s">
        <v>117</v>
      </c>
      <c r="V178" s="45" t="s">
        <v>118</v>
      </c>
      <c r="W178" s="46">
        <v>440157</v>
      </c>
      <c r="X178" s="46">
        <v>440158</v>
      </c>
      <c r="Y178" s="46">
        <v>441334</v>
      </c>
      <c r="Z178" s="46">
        <v>440159</v>
      </c>
      <c r="AA178" s="46">
        <v>440298</v>
      </c>
      <c r="AB178" s="46">
        <v>440426</v>
      </c>
    </row>
    <row r="179" spans="20:28">
      <c r="T179" s="45">
        <v>119</v>
      </c>
      <c r="U179" s="45" t="s">
        <v>253</v>
      </c>
      <c r="V179" s="45" t="s">
        <v>254</v>
      </c>
      <c r="W179" s="46">
        <v>440410</v>
      </c>
      <c r="X179" s="46">
        <v>440411</v>
      </c>
      <c r="Y179" s="46">
        <v>441457</v>
      </c>
      <c r="Z179" s="46">
        <v>440412</v>
      </c>
      <c r="AA179" s="46">
        <v>440298</v>
      </c>
      <c r="AB179" s="46">
        <v>440426</v>
      </c>
    </row>
    <row r="180" spans="20:28" ht="30">
      <c r="T180" s="45">
        <v>120</v>
      </c>
      <c r="U180" s="43"/>
      <c r="V180" s="45" t="s">
        <v>298</v>
      </c>
      <c r="W180" s="46">
        <v>441480</v>
      </c>
      <c r="X180" s="46">
        <v>441481</v>
      </c>
      <c r="Y180" s="46">
        <v>441485</v>
      </c>
      <c r="Z180" s="46">
        <v>441482</v>
      </c>
      <c r="AA180" s="46">
        <v>440298</v>
      </c>
      <c r="AB180" s="46">
        <v>440426</v>
      </c>
    </row>
    <row r="181" spans="20:28">
      <c r="T181" s="47"/>
      <c r="U181" s="47"/>
      <c r="V181" s="47"/>
      <c r="W181" s="47"/>
      <c r="X181" s="47"/>
      <c r="Y181" s="47"/>
      <c r="Z181" s="47"/>
      <c r="AA181" s="3"/>
      <c r="AB181" s="3"/>
    </row>
    <row r="182" spans="20:28" ht="45">
      <c r="T182" s="42"/>
      <c r="U182" s="43"/>
      <c r="V182" s="43" t="s">
        <v>299</v>
      </c>
      <c r="W182" s="44" t="s">
        <v>300</v>
      </c>
      <c r="X182" s="44" t="s">
        <v>305</v>
      </c>
      <c r="Y182" s="44" t="s">
        <v>59</v>
      </c>
      <c r="Z182" s="44" t="s">
        <v>301</v>
      </c>
      <c r="AA182" s="3"/>
      <c r="AB182" s="3"/>
    </row>
    <row r="183" spans="20:28">
      <c r="T183" s="45">
        <v>1</v>
      </c>
      <c r="U183" s="48"/>
      <c r="V183" s="45" t="s">
        <v>302</v>
      </c>
      <c r="W183" s="49">
        <v>440298</v>
      </c>
      <c r="X183" s="49">
        <v>440299</v>
      </c>
      <c r="Y183" s="49">
        <v>441486</v>
      </c>
      <c r="Z183" s="49">
        <v>440300</v>
      </c>
      <c r="AA183" s="3"/>
      <c r="AB183" s="3"/>
    </row>
    <row r="184" spans="20:28">
      <c r="T184" s="45">
        <v>2</v>
      </c>
      <c r="U184" s="48"/>
      <c r="V184" s="45" t="s">
        <v>303</v>
      </c>
      <c r="W184" s="49">
        <v>440426</v>
      </c>
      <c r="X184" s="49">
        <v>440427</v>
      </c>
      <c r="Y184" s="49">
        <v>441487</v>
      </c>
      <c r="Z184" s="49">
        <v>440428</v>
      </c>
      <c r="AA184" s="3"/>
      <c r="AB184" s="3"/>
    </row>
    <row r="185" spans="20:28">
      <c r="T185" s="50"/>
      <c r="U185" s="47"/>
      <c r="V185" s="47"/>
      <c r="W185" s="47"/>
      <c r="X185" s="47"/>
      <c r="Y185" s="47"/>
      <c r="Z185" s="47"/>
      <c r="AA185" s="3"/>
      <c r="AB185" s="3"/>
    </row>
    <row r="186" spans="20:28" ht="45">
      <c r="T186" s="42"/>
      <c r="U186" s="51"/>
      <c r="V186" s="51"/>
      <c r="W186" s="44" t="s">
        <v>300</v>
      </c>
      <c r="X186" s="44" t="s">
        <v>305</v>
      </c>
      <c r="Y186" s="44" t="s">
        <v>59</v>
      </c>
      <c r="Z186" s="44" t="s">
        <v>301</v>
      </c>
      <c r="AA186" s="3"/>
      <c r="AB186" s="3"/>
    </row>
    <row r="187" spans="20:28" ht="60">
      <c r="T187" s="51"/>
      <c r="U187" s="51"/>
      <c r="V187" s="45" t="s">
        <v>304</v>
      </c>
      <c r="W187" s="46">
        <v>441089</v>
      </c>
      <c r="X187" s="46">
        <v>441090</v>
      </c>
      <c r="Y187" s="46">
        <v>441093</v>
      </c>
      <c r="Z187" s="46">
        <v>441094</v>
      </c>
      <c r="AA187" s="3"/>
      <c r="AB187" s="3"/>
    </row>
  </sheetData>
  <sheetProtection password="C5C1" sheet="1" objects="1" scenarios="1"/>
  <sortState ref="U56:AB174">
    <sortCondition ref="V196:V314"/>
  </sortState>
  <mergeCells count="3">
    <mergeCell ref="A11:A13"/>
    <mergeCell ref="A5:C5"/>
    <mergeCell ref="A32:C32"/>
  </mergeCells>
  <dataValidations count="11">
    <dataValidation type="textLength" operator="lessThanOrEqual" allowBlank="1" showInputMessage="1" showErrorMessage="1" errorTitle="8 Digits Only" error="More than 8 digits are not allowed" promptTitle="Amount" prompt="Amount upto 8 digits only" sqref="C23:C31">
      <formula1>8</formula1>
    </dataValidation>
    <dataValidation type="textLength" operator="equal" allowBlank="1" showInputMessage="1" showErrorMessage="1" sqref="C10">
      <formula1>15</formula1>
    </dataValidation>
    <dataValidation type="textLength" operator="lessThanOrEqual" allowBlank="1" showInputMessage="1" showErrorMessage="1" sqref="C9">
      <formula1>15</formula1>
    </dataValidation>
    <dataValidation type="textLength" operator="lessThanOrEqual" allowBlank="1" showInputMessage="1" showErrorMessage="1" errorTitle="Maximum Text Lenth" error="Maximum Text Lenth 58" sqref="C6">
      <formula1>58</formula1>
    </dataValidation>
    <dataValidation type="textLength" operator="lessThanOrEqual" allowBlank="1" showInputMessage="1" showErrorMessage="1" sqref="C7:C8">
      <formula1>96</formula1>
    </dataValidation>
    <dataValidation type="list" allowBlank="1" showInputMessage="1" showErrorMessage="1" sqref="C11 C13">
      <formula1>$P$62:$P$157</formula1>
    </dataValidation>
    <dataValidation type="list" allowBlank="1" showInputMessage="1" showErrorMessage="1" sqref="C21">
      <formula1>$V$61:$V$180</formula1>
    </dataValidation>
    <dataValidation operator="equal" showInputMessage="1" showErrorMessage="1" errorTitle="Accounting Code" prompt="Accounting Code of Interest payable on Tax Collection " sqref="A26"/>
    <dataValidation operator="equal" showInputMessage="1" showErrorMessage="1" errorTitle="Accounting Code" prompt="Accounting Code for Tax Collection on Services Provided / Received" sqref="A23"/>
    <dataValidation operator="equal" showInputMessage="1" showErrorMessage="1" errorTitle="Accounting Code" prompt="Accounting Code of Primary Education Cess @ 2%" sqref="A24"/>
    <dataValidation operator="equal" showInputMessage="1" showErrorMessage="1" errorTitle="Accounting Code" prompt="Accounting Code of Secondary and Higher Sec. Education Cess @ 1%" sqref="A25"/>
  </dataValidation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AH54"/>
  <sheetViews>
    <sheetView tabSelected="1" view="pageBreakPreview" zoomScale="150" zoomScaleNormal="145" zoomScaleSheetLayoutView="150" workbookViewId="0">
      <selection sqref="A1:I1"/>
    </sheetView>
  </sheetViews>
  <sheetFormatPr defaultRowHeight="15"/>
  <cols>
    <col min="1" max="3" width="2.5703125" style="58" customWidth="1"/>
    <col min="4" max="4" width="2.85546875" style="58" customWidth="1"/>
    <col min="5" max="5" width="2.5703125" style="58" customWidth="1"/>
    <col min="6" max="6" width="2.7109375" style="58" customWidth="1"/>
    <col min="7" max="34" width="2.5703125" style="58" customWidth="1"/>
    <col min="35" max="16384" width="9.140625" style="58"/>
  </cols>
  <sheetData>
    <row r="1" spans="1:34" ht="17.25">
      <c r="A1" s="154" t="s">
        <v>24</v>
      </c>
      <c r="B1" s="155"/>
      <c r="C1" s="155"/>
      <c r="D1" s="155"/>
      <c r="E1" s="155"/>
      <c r="F1" s="155"/>
      <c r="G1" s="155"/>
      <c r="H1" s="155"/>
      <c r="I1" s="156"/>
      <c r="J1" s="151" t="s">
        <v>25</v>
      </c>
      <c r="K1" s="152"/>
      <c r="L1" s="152"/>
      <c r="M1" s="152"/>
      <c r="N1" s="152"/>
      <c r="O1" s="152"/>
      <c r="P1" s="152"/>
      <c r="Q1" s="152"/>
      <c r="R1" s="153"/>
      <c r="T1" s="139"/>
    </row>
    <row r="2" spans="1:34" ht="17.25">
      <c r="A2" s="161" t="s">
        <v>311</v>
      </c>
      <c r="B2" s="162"/>
      <c r="C2" s="162"/>
      <c r="D2" s="162"/>
      <c r="E2" s="163"/>
      <c r="F2" s="54"/>
      <c r="G2" s="164" t="s">
        <v>20</v>
      </c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55" t="s">
        <v>21</v>
      </c>
      <c r="Y2" s="56"/>
      <c r="Z2" s="56"/>
      <c r="AA2" s="56"/>
      <c r="AB2" s="56"/>
      <c r="AC2" s="56"/>
      <c r="AD2" s="56"/>
      <c r="AE2" s="56"/>
      <c r="AF2" s="56"/>
      <c r="AG2" s="56"/>
      <c r="AH2" s="57"/>
    </row>
    <row r="3" spans="1:34" ht="15.75">
      <c r="A3" s="59"/>
      <c r="B3" s="60"/>
      <c r="C3" s="60"/>
      <c r="D3" s="60"/>
      <c r="E3" s="60"/>
      <c r="F3" s="60"/>
      <c r="G3" s="6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2"/>
      <c r="Y3" s="63"/>
      <c r="Z3" s="63"/>
      <c r="AA3" s="63"/>
      <c r="AB3" s="63"/>
      <c r="AC3" s="63"/>
      <c r="AD3" s="63"/>
      <c r="AE3" s="63"/>
      <c r="AF3" s="63"/>
      <c r="AG3" s="63"/>
      <c r="AH3" s="64"/>
    </row>
    <row r="4" spans="1:34">
      <c r="A4" s="65" t="s">
        <v>0</v>
      </c>
      <c r="B4" s="66"/>
      <c r="C4" s="66"/>
      <c r="D4" s="66"/>
      <c r="E4" s="121" t="str">
        <f>MID(Data!$C$6,1,1)</f>
        <v>A</v>
      </c>
      <c r="F4" s="121" t="str">
        <f>MID(Data!$C$6,2,1)</f>
        <v>B</v>
      </c>
      <c r="G4" s="121" t="str">
        <f>MID(Data!$C$6,3,1)</f>
        <v>C</v>
      </c>
      <c r="H4" s="121" t="str">
        <f>MID(Data!$C$6,4,1)</f>
        <v xml:space="preserve"> </v>
      </c>
      <c r="I4" s="121" t="str">
        <f>MID(Data!$C$6,5,1)</f>
        <v>I</v>
      </c>
      <c r="J4" s="121" t="str">
        <f>MID(Data!$C$6,6,1)</f>
        <v>N</v>
      </c>
      <c r="K4" s="121" t="str">
        <f>MID(Data!$C$6,7,1)</f>
        <v>D</v>
      </c>
      <c r="L4" s="121" t="str">
        <f>MID(Data!$C$6,8,1)</f>
        <v>U</v>
      </c>
      <c r="M4" s="121" t="str">
        <f>MID(Data!$C$6,9,1)</f>
        <v>S</v>
      </c>
      <c r="N4" s="121" t="str">
        <f>MID(Data!$C$6,10,1)</f>
        <v>T</v>
      </c>
      <c r="O4" s="121" t="str">
        <f>MID(Data!$C$6,11,1)</f>
        <v>R</v>
      </c>
      <c r="P4" s="121" t="str">
        <f>MID(Data!$C$6,12,1)</f>
        <v>I</v>
      </c>
      <c r="Q4" s="121" t="str">
        <f>MID(Data!$C$6,13,1)</f>
        <v>E</v>
      </c>
      <c r="R4" s="121" t="str">
        <f>MID(Data!$C$6,14,1)</f>
        <v>S</v>
      </c>
      <c r="S4" s="121" t="str">
        <f>MID(Data!$C$6,15,1)</f>
        <v xml:space="preserve"> </v>
      </c>
      <c r="T4" s="121" t="str">
        <f>MID(Data!$C$6,16,1)</f>
        <v>L</v>
      </c>
      <c r="U4" s="121" t="str">
        <f>MID(Data!$C$6,17,1)</f>
        <v>I</v>
      </c>
      <c r="V4" s="121" t="str">
        <f>MID(Data!$C$6,18,1)</f>
        <v>M</v>
      </c>
      <c r="W4" s="121" t="str">
        <f>MID(Data!$C$6,19,1)</f>
        <v>I</v>
      </c>
      <c r="X4" s="121" t="str">
        <f>MID(Data!$C$6,20,1)</f>
        <v>T</v>
      </c>
      <c r="Y4" s="121" t="str">
        <f>MID(Data!$C$6,21,1)</f>
        <v>E</v>
      </c>
      <c r="Z4" s="121" t="str">
        <f>MID(Data!$C$6,22,1)</f>
        <v>D</v>
      </c>
      <c r="AA4" s="121" t="str">
        <f>MID(Data!$C$6,23,1)</f>
        <v/>
      </c>
      <c r="AB4" s="121" t="str">
        <f>MID(Data!$C$6,24,1)</f>
        <v/>
      </c>
      <c r="AC4" s="121" t="str">
        <f>MID(Data!$C$6,25,1)</f>
        <v/>
      </c>
      <c r="AD4" s="121" t="str">
        <f>MID(Data!$C$6,26,1)</f>
        <v/>
      </c>
      <c r="AE4" s="121" t="str">
        <f>MID(Data!$C$6,27,1)</f>
        <v/>
      </c>
      <c r="AF4" s="121" t="str">
        <f>MID(Data!$C$6,28,1)</f>
        <v/>
      </c>
      <c r="AG4" s="121" t="str">
        <f>MID(Data!$C$6,29,1)</f>
        <v/>
      </c>
      <c r="AH4" s="67"/>
    </row>
    <row r="5" spans="1:34">
      <c r="A5" s="65"/>
      <c r="B5" s="66"/>
      <c r="C5" s="66"/>
      <c r="D5" s="66"/>
      <c r="E5" s="121" t="str">
        <f>MID(Data!$C$6,30,1)</f>
        <v/>
      </c>
      <c r="F5" s="121" t="str">
        <f>MID(Data!$C$6,31,1)</f>
        <v/>
      </c>
      <c r="G5" s="121" t="str">
        <f>MID(Data!$C$6,32,1)</f>
        <v/>
      </c>
      <c r="H5" s="121" t="str">
        <f>MID(Data!$C$6,33,1)</f>
        <v/>
      </c>
      <c r="I5" s="121" t="str">
        <f>MID(Data!$C$6,34,1)</f>
        <v/>
      </c>
      <c r="J5" s="121" t="str">
        <f>MID(Data!$C$6,35,1)</f>
        <v/>
      </c>
      <c r="K5" s="121" t="str">
        <f>MID(Data!$C$6,36,1)</f>
        <v/>
      </c>
      <c r="L5" s="121" t="str">
        <f>MID(Data!$C$6,37,1)</f>
        <v/>
      </c>
      <c r="M5" s="121" t="str">
        <f>MID(Data!$C$6,38,1)</f>
        <v/>
      </c>
      <c r="N5" s="121" t="str">
        <f>MID(Data!$C$6,39,1)</f>
        <v/>
      </c>
      <c r="O5" s="121" t="str">
        <f>MID(Data!$C$6,40,1)</f>
        <v/>
      </c>
      <c r="P5" s="121" t="str">
        <f>MID(Data!$C$6,41,1)</f>
        <v/>
      </c>
      <c r="Q5" s="121" t="str">
        <f>MID(Data!$C$6,42,1)</f>
        <v/>
      </c>
      <c r="R5" s="121" t="str">
        <f>MID(Data!$C$6,43,1)</f>
        <v/>
      </c>
      <c r="S5" s="121" t="str">
        <f>MID(Data!$C$6,44,1)</f>
        <v/>
      </c>
      <c r="T5" s="121" t="str">
        <f>MID(Data!$C$6,45,1)</f>
        <v/>
      </c>
      <c r="U5" s="121" t="str">
        <f>MID(Data!$C$6,46,1)</f>
        <v/>
      </c>
      <c r="V5" s="121" t="str">
        <f>MID(Data!$C$6,47,1)</f>
        <v/>
      </c>
      <c r="W5" s="121" t="str">
        <f>MID(Data!$C$6,48,1)</f>
        <v/>
      </c>
      <c r="X5" s="121" t="str">
        <f>MID(Data!$C$6,49,1)</f>
        <v/>
      </c>
      <c r="Y5" s="121" t="str">
        <f>MID(Data!$C$6,50,1)</f>
        <v/>
      </c>
      <c r="Z5" s="121" t="str">
        <f>MID(Data!$C$6,51,1)</f>
        <v/>
      </c>
      <c r="AA5" s="121" t="str">
        <f>MID(Data!$C$6,52,1)</f>
        <v/>
      </c>
      <c r="AB5" s="121" t="str">
        <f>MID(Data!$C$6,53,1)</f>
        <v/>
      </c>
      <c r="AC5" s="121" t="str">
        <f>MID(Data!$C$6,54,1)</f>
        <v/>
      </c>
      <c r="AD5" s="121" t="str">
        <f>MID(Data!$C$6,55,1)</f>
        <v/>
      </c>
      <c r="AE5" s="121" t="str">
        <f>MID(Data!$C$6,56,1)</f>
        <v/>
      </c>
      <c r="AF5" s="121" t="str">
        <f>MID(Data!$C$6,57,1)</f>
        <v/>
      </c>
      <c r="AG5" s="121" t="str">
        <f>MID(Data!$C$6,58,1)</f>
        <v/>
      </c>
      <c r="AH5" s="67"/>
    </row>
    <row r="6" spans="1:34">
      <c r="A6" s="68"/>
      <c r="B6" s="66"/>
      <c r="C6" s="66"/>
      <c r="D6" s="66"/>
      <c r="E6" s="66"/>
      <c r="F6" s="66"/>
      <c r="G6" s="69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67"/>
    </row>
    <row r="7" spans="1:34">
      <c r="A7" s="65" t="s">
        <v>22</v>
      </c>
      <c r="B7" s="66"/>
      <c r="C7" s="66"/>
      <c r="D7" s="66"/>
      <c r="E7" s="66"/>
      <c r="F7" s="66"/>
      <c r="G7" s="71" t="str">
        <f>MID(Data!$C$7,1,1)</f>
        <v>1</v>
      </c>
      <c r="H7" s="71" t="str">
        <f>MID(Data!$C$7,2,1)</f>
        <v>0</v>
      </c>
      <c r="I7" s="71" t="str">
        <f>MID(Data!$C$7,3,1)</f>
        <v>0</v>
      </c>
      <c r="J7" s="71" t="str">
        <f>MID(Data!$C$7,4,1)</f>
        <v>1</v>
      </c>
      <c r="K7" s="71" t="str">
        <f>MID(Data!$C$7,5,1)</f>
        <v>,</v>
      </c>
      <c r="L7" s="71" t="str">
        <f>MID(Data!$C$7,6,1)</f>
        <v xml:space="preserve"> </v>
      </c>
      <c r="M7" s="71" t="str">
        <f>MID(Data!$C$7,7,1)</f>
        <v>A</v>
      </c>
      <c r="N7" s="71" t="str">
        <f>MID(Data!$C$7,8,1)</f>
        <v>B</v>
      </c>
      <c r="O7" s="71" t="str">
        <f>MID(Data!$C$7,9,1)</f>
        <v>C</v>
      </c>
      <c r="P7" s="71" t="str">
        <f>MID(Data!$C$7,10,1)</f>
        <v>D</v>
      </c>
      <c r="Q7" s="71" t="str">
        <f>MID(Data!$C$7,11,1)</f>
        <v>E</v>
      </c>
      <c r="R7" s="71" t="str">
        <f>MID(Data!$C$7,12,1)</f>
        <v>F</v>
      </c>
      <c r="S7" s="71" t="str">
        <f>MID(Data!$C$7,13,1)</f>
        <v>G</v>
      </c>
      <c r="T7" s="71" t="str">
        <f>MID(Data!$C$7,14,1)</f>
        <v xml:space="preserve"> </v>
      </c>
      <c r="U7" s="71" t="str">
        <f>MID(Data!$C$7,15,1)</f>
        <v>B</v>
      </c>
      <c r="V7" s="71" t="str">
        <f>MID(Data!$C$7,16,1)</f>
        <v>U</v>
      </c>
      <c r="W7" s="71" t="str">
        <f>MID(Data!$C$7,17,1)</f>
        <v>I</v>
      </c>
      <c r="X7" s="71" t="str">
        <f>MID(Data!$C$7,18,1)</f>
        <v>L</v>
      </c>
      <c r="Y7" s="71" t="str">
        <f>MID(Data!$C$7,19,1)</f>
        <v>D</v>
      </c>
      <c r="Z7" s="71" t="str">
        <f>MID(Data!$C$7,20,1)</f>
        <v>I</v>
      </c>
      <c r="AA7" s="71" t="str">
        <f>MID(Data!$C$7,21,1)</f>
        <v>N</v>
      </c>
      <c r="AB7" s="71" t="str">
        <f>MID(Data!$C$7,22,1)</f>
        <v>G</v>
      </c>
      <c r="AC7" s="71" t="str">
        <f>MID(Data!$C$7,23,1)</f>
        <v>,</v>
      </c>
      <c r="AD7" s="71" t="str">
        <f>MID(Data!$C$7,24,1)</f>
        <v xml:space="preserve"> </v>
      </c>
      <c r="AE7" s="71" t="str">
        <f>MID(Data!$C$7,25,1)</f>
        <v>A</v>
      </c>
      <c r="AF7" s="71" t="str">
        <f>MID(Data!$C$7,26,1)</f>
        <v>B</v>
      </c>
      <c r="AG7" s="71" t="str">
        <f>MID(Data!$C$7,27,1)</f>
        <v>C</v>
      </c>
      <c r="AH7" s="71" t="str">
        <f>MID(Data!$C$7,28,1)</f>
        <v>D</v>
      </c>
    </row>
    <row r="8" spans="1:34">
      <c r="A8" s="72" t="str">
        <f>MID(Data!$C$7,29,1)</f>
        <v>E</v>
      </c>
      <c r="B8" s="72" t="str">
        <f>MID(Data!$C$7,30,1)</f>
        <v>F</v>
      </c>
      <c r="C8" s="72" t="str">
        <f>MID(Data!$C$7,31,1)</f>
        <v>G</v>
      </c>
      <c r="D8" s="72" t="str">
        <f>MID(Data!$C$7,32,1)</f>
        <v xml:space="preserve"> </v>
      </c>
      <c r="E8" s="72" t="str">
        <f>MID(Data!$C$7,33,1)</f>
        <v>S</v>
      </c>
      <c r="F8" s="72" t="str">
        <f>MID(Data!$C$7,34,1)</f>
        <v>T</v>
      </c>
      <c r="G8" s="72" t="str">
        <f>MID(Data!$C$7,35,1)</f>
        <v>R</v>
      </c>
      <c r="H8" s="72" t="str">
        <f>MID(Data!$C$7,36,1)</f>
        <v>E</v>
      </c>
      <c r="I8" s="72" t="str">
        <f>MID(Data!$C$7,37,1)</f>
        <v>E</v>
      </c>
      <c r="J8" s="72" t="str">
        <f>MID(Data!$C$7,38,1)</f>
        <v>T</v>
      </c>
      <c r="K8" s="72" t="str">
        <f>MID(Data!$C$7,39,1)</f>
        <v>,</v>
      </c>
      <c r="L8" s="72" t="str">
        <f>MID(Data!$C$7,40,1)</f>
        <v xml:space="preserve"> </v>
      </c>
      <c r="M8" s="72" t="str">
        <f>MID(Data!$C$7,41,1)</f>
        <v>A</v>
      </c>
      <c r="N8" s="72" t="str">
        <f>MID(Data!$C$7,42,1)</f>
        <v>B</v>
      </c>
      <c r="O8" s="72" t="str">
        <f>MID(Data!$C$7,43,1)</f>
        <v>C</v>
      </c>
      <c r="P8" s="72" t="str">
        <f>MID(Data!$C$7,44,1)</f>
        <v>D</v>
      </c>
      <c r="Q8" s="72" t="str">
        <f>MID(Data!$C$7,45,1)</f>
        <v>E</v>
      </c>
      <c r="R8" s="72" t="str">
        <f>MID(Data!$C$7,46,1)</f>
        <v>F</v>
      </c>
      <c r="S8" s="72" t="str">
        <f>MID(Data!$C$7,47,1)</f>
        <v>G</v>
      </c>
      <c r="T8" s="72" t="str">
        <f>MID(Data!$C$7,48,1)</f>
        <v xml:space="preserve"> </v>
      </c>
      <c r="U8" s="72" t="str">
        <f>MID(Data!$C$7,49,1)</f>
        <v>C</v>
      </c>
      <c r="V8" s="72" t="str">
        <f>MID(Data!$C$7,50,1)</f>
        <v>I</v>
      </c>
      <c r="W8" s="72" t="str">
        <f>MID(Data!$C$7,51,1)</f>
        <v>T</v>
      </c>
      <c r="X8" s="72" t="str">
        <f>MID(Data!$C$7,52,1)</f>
        <v>Y</v>
      </c>
      <c r="Y8" s="72" t="str">
        <f>MID(Data!$C$7,53,1)</f>
        <v>,</v>
      </c>
      <c r="Z8" s="72" t="str">
        <f>MID(Data!$C$7,54,1)</f>
        <v xml:space="preserve"> </v>
      </c>
      <c r="AA8" s="72" t="str">
        <f>MID(Data!$C$7,55,1)</f>
        <v>A</v>
      </c>
      <c r="AB8" s="72" t="str">
        <f>MID(Data!$C$7,56,1)</f>
        <v>B</v>
      </c>
      <c r="AC8" s="72" t="str">
        <f>MID(Data!$C$7,57,1)</f>
        <v>C</v>
      </c>
      <c r="AD8" s="72" t="str">
        <f>MID(Data!$C$7,58,1)</f>
        <v>D</v>
      </c>
      <c r="AE8" s="72" t="str">
        <f>MID(Data!$C$7,59,1)</f>
        <v>E</v>
      </c>
      <c r="AF8" s="72" t="str">
        <f>MID(Data!$C$7,60,1)</f>
        <v>F</v>
      </c>
      <c r="AG8" s="72" t="str">
        <f>MID(Data!$C$7,61,1)</f>
        <v>G</v>
      </c>
      <c r="AH8" s="72" t="str">
        <f>MID(Data!$C$7,62,1)</f>
        <v xml:space="preserve"> </v>
      </c>
    </row>
    <row r="9" spans="1:34">
      <c r="A9" s="72" t="str">
        <f>MID(Data!$C$7,63,1)</f>
        <v>D</v>
      </c>
      <c r="B9" s="72" t="str">
        <f>MID(Data!$C$7,64,1)</f>
        <v>I</v>
      </c>
      <c r="C9" s="72" t="str">
        <f>MID(Data!$C$7,65,1)</f>
        <v>S</v>
      </c>
      <c r="D9" s="72" t="str">
        <f>MID(Data!$C$7,66,1)</f>
        <v>T</v>
      </c>
      <c r="E9" s="72" t="str">
        <f>MID(Data!$C$7,67,1)</f>
        <v>R</v>
      </c>
      <c r="F9" s="72" t="str">
        <f>MID(Data!$C$7,68,1)</f>
        <v>I</v>
      </c>
      <c r="G9" s="72" t="str">
        <f>MID(Data!$C$7,69,1)</f>
        <v>C</v>
      </c>
      <c r="H9" s="72" t="str">
        <f>MID(Data!$C$7,70,1)</f>
        <v>T</v>
      </c>
      <c r="I9" s="72" t="str">
        <f>MID(Data!$C$7,71,1)</f>
        <v>,</v>
      </c>
      <c r="J9" s="72" t="str">
        <f>MID(Data!$C$7,72,1)</f>
        <v xml:space="preserve"> </v>
      </c>
      <c r="K9" s="72" t="str">
        <f>MID(Data!$C$7,73,1)</f>
        <v>A</v>
      </c>
      <c r="L9" s="72" t="str">
        <f>MID(Data!$C$7,74,1)</f>
        <v>B</v>
      </c>
      <c r="M9" s="72" t="str">
        <f>MID(Data!$C$7,75,1)</f>
        <v>C</v>
      </c>
      <c r="N9" s="72" t="str">
        <f>MID(Data!$C$7,76,1)</f>
        <v>D</v>
      </c>
      <c r="O9" s="72" t="str">
        <f>MID(Data!$C$7,77,1)</f>
        <v>E</v>
      </c>
      <c r="P9" s="72" t="str">
        <f>MID(Data!$C$7,78,1)</f>
        <v>F</v>
      </c>
      <c r="Q9" s="72" t="str">
        <f>MID(Data!$C$7,79,1)</f>
        <v>G</v>
      </c>
      <c r="R9" s="72" t="str">
        <f>MID(Data!$C$7,80,1)</f>
        <v xml:space="preserve"> </v>
      </c>
      <c r="S9" s="72" t="str">
        <f>MID(Data!$C$7,81,1)</f>
        <v>S</v>
      </c>
      <c r="T9" s="72" t="str">
        <f>MID(Data!$C$7,82,1)</f>
        <v>T</v>
      </c>
      <c r="U9" s="72" t="str">
        <f>MID(Data!$C$7,83,1)</f>
        <v>A</v>
      </c>
      <c r="V9" s="72" t="str">
        <f>MID(Data!$C$7,84,1)</f>
        <v>T</v>
      </c>
      <c r="W9" s="72" t="str">
        <f>MID(Data!$C$7,85,1)</f>
        <v>E</v>
      </c>
      <c r="X9" s="72" t="str">
        <f>MID(Data!$C$7,86,1)</f>
        <v xml:space="preserve"> </v>
      </c>
      <c r="Y9" s="72" t="str">
        <f>MID(Data!$C$7,87,1)</f>
        <v/>
      </c>
      <c r="Z9" s="72" t="str">
        <f>MID(Data!$C$7,88,1)</f>
        <v/>
      </c>
      <c r="AA9" s="72" t="str">
        <f>MID(Data!$C$7,89,1)</f>
        <v/>
      </c>
      <c r="AB9" s="72" t="str">
        <f>MID(Data!$C$7,90,1)</f>
        <v/>
      </c>
      <c r="AC9" s="72" t="str">
        <f>MID(Data!$C$7,91,1)</f>
        <v/>
      </c>
      <c r="AD9" s="72" t="str">
        <f>MID(Data!$C$7,92,1)</f>
        <v/>
      </c>
      <c r="AE9" s="72" t="str">
        <f>MID(Data!$C$7,93,1)</f>
        <v/>
      </c>
      <c r="AF9" s="72" t="str">
        <f>MID(Data!$C$7,94,1)</f>
        <v/>
      </c>
      <c r="AG9" s="72" t="str">
        <f>MID(Data!$C$7,95,1)</f>
        <v/>
      </c>
      <c r="AH9" s="72" t="str">
        <f>MID(Data!$C$7,96,1)</f>
        <v/>
      </c>
    </row>
    <row r="10" spans="1:34">
      <c r="A10" s="68" t="s">
        <v>1</v>
      </c>
      <c r="B10" s="66"/>
      <c r="C10" s="66"/>
      <c r="D10" s="66"/>
      <c r="E10" s="66"/>
      <c r="F10" s="66"/>
      <c r="G10" s="69"/>
      <c r="H10" s="73" t="str">
        <f>MID(Data!$C$9,1,1)</f>
        <v>9</v>
      </c>
      <c r="I10" s="73" t="str">
        <f>MID(Data!$C$9,2,1)</f>
        <v>8</v>
      </c>
      <c r="J10" s="73" t="str">
        <f>MID(Data!$C$9,3,1)</f>
        <v>7</v>
      </c>
      <c r="K10" s="73" t="str">
        <f>MID(Data!$C$9,4,1)</f>
        <v>6</v>
      </c>
      <c r="L10" s="73" t="str">
        <f>MID(Data!$C$9,5,1)</f>
        <v>5</v>
      </c>
      <c r="M10" s="73" t="str">
        <f>MID(Data!$C$9,6,1)</f>
        <v>4</v>
      </c>
      <c r="N10" s="73" t="str">
        <f>MID(Data!$C$9,7,1)</f>
        <v>3</v>
      </c>
      <c r="O10" s="73" t="str">
        <f>MID(Data!$C$9,8,1)</f>
        <v>2</v>
      </c>
      <c r="P10" s="73" t="str">
        <f>MID(Data!$C$9,9,1)</f>
        <v>1</v>
      </c>
      <c r="Q10" s="73" t="str">
        <f>MID(Data!$C$9,10,1)</f>
        <v>0</v>
      </c>
      <c r="R10" s="70"/>
      <c r="S10" s="70"/>
      <c r="T10" s="70"/>
      <c r="U10" s="160" t="s">
        <v>2</v>
      </c>
      <c r="V10" s="160"/>
      <c r="W10" s="160"/>
      <c r="X10" s="160"/>
      <c r="Y10" s="160"/>
      <c r="Z10" s="160"/>
      <c r="AA10" s="160"/>
      <c r="AB10" s="73" t="str">
        <f>MID(Data!$C$8,1,1)</f>
        <v>4</v>
      </c>
      <c r="AC10" s="73" t="str">
        <f>MID(Data!$C$8,2,1)</f>
        <v>0</v>
      </c>
      <c r="AD10" s="73" t="str">
        <f>MID(Data!$C$8,3,1)</f>
        <v>0</v>
      </c>
      <c r="AE10" s="73" t="str">
        <f>MID(Data!$C$8,4,1)</f>
        <v>0</v>
      </c>
      <c r="AF10" s="73" t="str">
        <f>MID(Data!$C$8,5,1)</f>
        <v>0</v>
      </c>
      <c r="AG10" s="73" t="str">
        <f>MID(Data!$C$8,6,1)</f>
        <v>1</v>
      </c>
      <c r="AH10" s="67"/>
    </row>
    <row r="11" spans="1:34">
      <c r="A11" s="68"/>
      <c r="B11" s="66"/>
      <c r="C11" s="66"/>
      <c r="D11" s="66"/>
      <c r="E11" s="66"/>
      <c r="F11" s="66"/>
      <c r="G11" s="6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67"/>
    </row>
    <row r="12" spans="1:34" ht="17.25">
      <c r="A12" s="68" t="s">
        <v>3</v>
      </c>
      <c r="B12" s="66"/>
      <c r="C12" s="66"/>
      <c r="D12" s="66"/>
      <c r="E12" s="66"/>
      <c r="F12" s="66"/>
      <c r="G12" s="69"/>
      <c r="H12" s="122" t="str">
        <f>MID(Data!$C$10,1,1)</f>
        <v>A</v>
      </c>
      <c r="I12" s="122" t="str">
        <f>MID(Data!$C$10,2,1)</f>
        <v>B</v>
      </c>
      <c r="J12" s="122" t="str">
        <f>MID(Data!$C$10,3,1)</f>
        <v>C</v>
      </c>
      <c r="K12" s="122" t="str">
        <f>MID(Data!$C$10,4,1)</f>
        <v>D</v>
      </c>
      <c r="L12" s="122" t="str">
        <f>MID(Data!$C$10,5,1)</f>
        <v>E</v>
      </c>
      <c r="M12" s="122" t="str">
        <f>MID(Data!$C$10,6,1)</f>
        <v>1</v>
      </c>
      <c r="N12" s="122" t="str">
        <f>MID(Data!$C$10,7,1)</f>
        <v>2</v>
      </c>
      <c r="O12" s="122" t="str">
        <f>MID(Data!$C$10,8,1)</f>
        <v>3</v>
      </c>
      <c r="P12" s="122" t="str">
        <f>MID(Data!$C$10,9,1)</f>
        <v>4</v>
      </c>
      <c r="Q12" s="122" t="str">
        <f>MID(Data!$C$10,10,1)</f>
        <v>F</v>
      </c>
      <c r="R12" s="122" t="str">
        <f>MID(Data!$C$10,11,1)</f>
        <v>S</v>
      </c>
      <c r="S12" s="122" t="str">
        <f>MID(Data!$C$10,12,1)</f>
        <v>D</v>
      </c>
      <c r="T12" s="122" t="str">
        <f>MID(Data!$C$10,13,1)</f>
        <v>0</v>
      </c>
      <c r="U12" s="122" t="str">
        <f>MID(Data!$C$10,14,1)</f>
        <v>0</v>
      </c>
      <c r="V12" s="122" t="str">
        <f>MID(Data!$C$10,15,1)</f>
        <v>1</v>
      </c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67"/>
    </row>
    <row r="13" spans="1:34">
      <c r="A13" s="68"/>
      <c r="B13" s="66"/>
      <c r="C13" s="66"/>
      <c r="D13" s="66"/>
      <c r="E13" s="66"/>
      <c r="F13" s="66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7"/>
    </row>
    <row r="14" spans="1:34">
      <c r="A14" s="68" t="s">
        <v>4</v>
      </c>
      <c r="B14" s="66"/>
      <c r="C14" s="66"/>
      <c r="D14" s="66"/>
      <c r="E14" s="66"/>
      <c r="F14" s="66"/>
      <c r="G14" s="70"/>
      <c r="H14" s="69"/>
      <c r="I14" s="69"/>
      <c r="J14" s="74" t="str">
        <f>MID(Data!$C$15,1,1)</f>
        <v>S</v>
      </c>
      <c r="K14" s="74" t="str">
        <f>MID(Data!$C$15,2,1)</f>
        <v>E</v>
      </c>
      <c r="L14" s="74" t="str">
        <f>MID(Data!$C$15,3,1)</f>
        <v>R</v>
      </c>
      <c r="M14" s="74" t="str">
        <f>MID(Data!$C$15,4,1)</f>
        <v>V</v>
      </c>
      <c r="N14" s="74" t="str">
        <f>MID(Data!$C$15,5,1)</f>
        <v>I</v>
      </c>
      <c r="O14" s="74" t="str">
        <f>MID(Data!$C$15,6,1)</f>
        <v>C</v>
      </c>
      <c r="P14" s="74" t="str">
        <f>MID(Data!$C$15,7,1)</f>
        <v>E</v>
      </c>
      <c r="Q14" s="74" t="str">
        <f>MID(Data!$C$15,8,1)</f>
        <v xml:space="preserve"> </v>
      </c>
      <c r="R14" s="74" t="str">
        <f>MID(Data!$C$15,9,1)</f>
        <v>T</v>
      </c>
      <c r="S14" s="74" t="str">
        <f>MID(Data!$C$15,10,1)</f>
        <v>A</v>
      </c>
      <c r="T14" s="74" t="str">
        <f>MID(Data!$C$15,11,1)</f>
        <v>X</v>
      </c>
      <c r="U14" s="74" t="str">
        <f>MID(Data!$C$15,12,1)</f>
        <v xml:space="preserve"> </v>
      </c>
      <c r="V14" s="74" t="str">
        <f>MID(Data!$C$15,13,1)</f>
        <v>-</v>
      </c>
      <c r="W14" s="74" t="str">
        <f>MID(Data!$C$15,14,1)</f>
        <v xml:space="preserve"> </v>
      </c>
      <c r="X14" s="74" t="str">
        <f>MID(Data!$C$15,15,1)</f>
        <v>A</v>
      </c>
      <c r="Y14" s="74" t="str">
        <f>MID(Data!$C$15,16,1)</f>
        <v>H</v>
      </c>
      <c r="Z14" s="74" t="str">
        <f>MID(Data!$C$15,17,1)</f>
        <v>M</v>
      </c>
      <c r="AA14" s="74" t="str">
        <f>MID(Data!$C$15,18,1)</f>
        <v>E</v>
      </c>
      <c r="AB14" s="74" t="str">
        <f>MID(Data!$C$15,19,1)</f>
        <v>D</v>
      </c>
      <c r="AC14" s="74" t="str">
        <f>MID(Data!$C$15,20,1)</f>
        <v>A</v>
      </c>
      <c r="AD14" s="74" t="str">
        <f>MID(Data!$C$15,21,1)</f>
        <v>B</v>
      </c>
      <c r="AE14" s="74" t="str">
        <f>MID(Data!$C$15,22,1)</f>
        <v>A</v>
      </c>
      <c r="AF14" s="74" t="str">
        <f>MID(Data!$C$15,23,1)</f>
        <v>D</v>
      </c>
      <c r="AG14" s="74" t="str">
        <f>MID(Data!$C$15,24,1)</f>
        <v/>
      </c>
      <c r="AH14" s="74" t="str">
        <f>MID(Data!$C$15,25,1)</f>
        <v/>
      </c>
    </row>
    <row r="15" spans="1:34" ht="15.75">
      <c r="A15" s="75"/>
      <c r="B15" s="76"/>
      <c r="C15" s="76"/>
      <c r="D15" s="76"/>
      <c r="E15" s="76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8"/>
    </row>
    <row r="16" spans="1:34">
      <c r="A16" s="68" t="s">
        <v>5</v>
      </c>
      <c r="B16" s="66"/>
      <c r="C16" s="66"/>
      <c r="D16" s="66"/>
      <c r="E16" s="66"/>
      <c r="F16" s="66"/>
      <c r="G16" s="70"/>
      <c r="H16" s="70"/>
      <c r="I16" s="79"/>
      <c r="J16" s="80" t="str">
        <f>LEFT(Data!C16,1)</f>
        <v>S</v>
      </c>
      <c r="K16" s="80" t="str">
        <f>RIGHT(Data!C16,1)</f>
        <v>D</v>
      </c>
      <c r="L16" s="69"/>
      <c r="M16" s="69"/>
      <c r="N16" s="66" t="s">
        <v>6</v>
      </c>
      <c r="O16" s="70"/>
      <c r="P16" s="70"/>
      <c r="Q16" s="70"/>
      <c r="R16" s="70"/>
      <c r="S16" s="69"/>
      <c r="T16" s="81" t="str">
        <f>LEFT(Data!C17,1)</f>
        <v>0</v>
      </c>
      <c r="U16" s="81" t="str">
        <f>RIGHT(Data!C17,1)</f>
        <v>1</v>
      </c>
      <c r="V16" s="69"/>
      <c r="W16" s="69"/>
      <c r="X16" s="66" t="s">
        <v>7</v>
      </c>
      <c r="Y16" s="70"/>
      <c r="Z16" s="70"/>
      <c r="AA16" s="69"/>
      <c r="AB16" s="69"/>
      <c r="AC16" s="81" t="str">
        <f>LEFT(Data!C18,1)</f>
        <v>0</v>
      </c>
      <c r="AD16" s="81" t="str">
        <f>RIGHT(Data!C18,1)</f>
        <v>2</v>
      </c>
      <c r="AE16" s="79"/>
      <c r="AF16" s="69"/>
      <c r="AG16" s="69"/>
      <c r="AH16" s="67"/>
    </row>
    <row r="17" spans="1:34" ht="15.75">
      <c r="A17" s="75"/>
      <c r="B17" s="76"/>
      <c r="C17" s="76"/>
      <c r="D17" s="76"/>
      <c r="E17" s="76"/>
      <c r="F17" s="76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8"/>
    </row>
    <row r="18" spans="1:34" hidden="1">
      <c r="A18" s="68" t="s">
        <v>8</v>
      </c>
      <c r="B18" s="66"/>
      <c r="C18" s="66"/>
      <c r="D18" s="66"/>
      <c r="E18" s="66"/>
      <c r="F18" s="70"/>
      <c r="G18" s="70"/>
      <c r="H18" s="79"/>
      <c r="I18" s="79"/>
      <c r="J18" s="79"/>
      <c r="K18" s="79"/>
      <c r="L18" s="79"/>
      <c r="M18" s="79"/>
      <c r="N18" s="165">
        <f>IF(Data!C11,Data!C11," ")</f>
        <v>41275</v>
      </c>
      <c r="O18" s="166"/>
      <c r="P18" s="166"/>
      <c r="Q18" s="166"/>
      <c r="R18" s="166"/>
      <c r="S18" s="82" t="s">
        <v>46</v>
      </c>
      <c r="T18" s="166">
        <f>IF(Data!C13,Data!C13," ")</f>
        <v>41334</v>
      </c>
      <c r="U18" s="166"/>
      <c r="V18" s="166"/>
      <c r="W18" s="166"/>
      <c r="X18" s="167"/>
      <c r="Y18" s="66"/>
      <c r="Z18" s="66"/>
      <c r="AA18" s="66"/>
      <c r="AB18" s="66"/>
      <c r="AC18" s="66"/>
      <c r="AD18" s="69"/>
      <c r="AE18" s="69"/>
      <c r="AF18" s="69"/>
      <c r="AG18" s="69"/>
      <c r="AH18" s="67"/>
    </row>
    <row r="19" spans="1:34">
      <c r="A19" s="83"/>
      <c r="B19" s="84" t="s">
        <v>9</v>
      </c>
      <c r="C19" s="85"/>
      <c r="D19" s="85"/>
      <c r="E19" s="85"/>
      <c r="F19" s="85"/>
      <c r="G19" s="86"/>
      <c r="H19" s="86"/>
      <c r="I19" s="86"/>
      <c r="J19" s="86"/>
      <c r="K19" s="86"/>
      <c r="L19" s="84" t="s">
        <v>10</v>
      </c>
      <c r="M19" s="84"/>
      <c r="N19" s="86"/>
      <c r="O19" s="86"/>
      <c r="P19" s="86"/>
      <c r="Q19" s="86"/>
      <c r="R19" s="86"/>
      <c r="S19" s="86"/>
      <c r="T19" s="87"/>
      <c r="U19" s="87"/>
      <c r="V19" s="87" t="s">
        <v>11</v>
      </c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8"/>
    </row>
    <row r="20" spans="1:34" ht="15.75">
      <c r="A20" s="68"/>
      <c r="B20" s="119">
        <f>Data!D85</f>
        <v>0</v>
      </c>
      <c r="C20" s="119">
        <f>Data!E85</f>
        <v>0</v>
      </c>
      <c r="D20" s="119" t="str">
        <f>Data!F85</f>
        <v>4</v>
      </c>
      <c r="E20" s="119" t="str">
        <f>Data!G85</f>
        <v>4</v>
      </c>
      <c r="F20" s="119" t="str">
        <f>Data!H85</f>
        <v>0</v>
      </c>
      <c r="G20" s="119" t="str">
        <f>Data!I85</f>
        <v>3</v>
      </c>
      <c r="H20" s="119" t="str">
        <f>Data!J85</f>
        <v>3</v>
      </c>
      <c r="I20" s="119" t="str">
        <f>Data!K85</f>
        <v>4</v>
      </c>
      <c r="J20" s="70"/>
      <c r="K20" s="70"/>
      <c r="L20" s="120" t="str">
        <f>Data!D70</f>
        <v/>
      </c>
      <c r="M20" s="120" t="str">
        <f>Data!E70</f>
        <v>1</v>
      </c>
      <c r="N20" s="120" t="str">
        <f>Data!F70</f>
        <v>0</v>
      </c>
      <c r="O20" s="120" t="str">
        <f>Data!G70</f>
        <v>0</v>
      </c>
      <c r="P20" s="120" t="str">
        <f>Data!H70</f>
        <v>0</v>
      </c>
      <c r="Q20" s="120" t="str">
        <f>Data!I70</f>
        <v>0</v>
      </c>
      <c r="R20" s="120" t="str">
        <f>Data!J70</f>
        <v>0</v>
      </c>
      <c r="S20" s="120" t="str">
        <f>Data!K70</f>
        <v>0</v>
      </c>
      <c r="T20" s="89"/>
      <c r="U20" s="69"/>
      <c r="V20" s="69"/>
      <c r="W20" s="69"/>
      <c r="X20" s="90" t="s">
        <v>12</v>
      </c>
      <c r="Y20" s="90"/>
      <c r="Z20" s="90"/>
      <c r="AA20" s="69"/>
      <c r="AB20" s="69"/>
      <c r="AC20" s="69"/>
      <c r="AD20" s="69"/>
      <c r="AE20" s="69"/>
      <c r="AF20" s="69"/>
      <c r="AG20" s="69"/>
      <c r="AH20" s="67"/>
    </row>
    <row r="21" spans="1:34" ht="15.75">
      <c r="A21" s="68"/>
      <c r="B21" s="119">
        <f>Data!D86</f>
        <v>0</v>
      </c>
      <c r="C21" s="119">
        <f>Data!E86</f>
        <v>0</v>
      </c>
      <c r="D21" s="119" t="str">
        <f>Data!F86</f>
        <v>4</v>
      </c>
      <c r="E21" s="119" t="str">
        <f>Data!G86</f>
        <v>4</v>
      </c>
      <c r="F21" s="119" t="str">
        <f>Data!H86</f>
        <v>0</v>
      </c>
      <c r="G21" s="119" t="str">
        <f>Data!I86</f>
        <v>2</v>
      </c>
      <c r="H21" s="119" t="str">
        <f>Data!J86</f>
        <v>9</v>
      </c>
      <c r="I21" s="119" t="str">
        <f>Data!K86</f>
        <v>8</v>
      </c>
      <c r="J21" s="70"/>
      <c r="K21" s="70"/>
      <c r="L21" s="120" t="str">
        <f>Data!D71</f>
        <v/>
      </c>
      <c r="M21" s="120" t="str">
        <f>Data!E71</f>
        <v/>
      </c>
      <c r="N21" s="120" t="str">
        <f>Data!F71</f>
        <v/>
      </c>
      <c r="O21" s="120" t="str">
        <f>Data!G71</f>
        <v>2</v>
      </c>
      <c r="P21" s="120" t="str">
        <f>Data!H71</f>
        <v>0</v>
      </c>
      <c r="Q21" s="120" t="str">
        <f>Data!I71</f>
        <v>0</v>
      </c>
      <c r="R21" s="120" t="str">
        <f>Data!J71</f>
        <v>0</v>
      </c>
      <c r="S21" s="120" t="str">
        <f>Data!K71</f>
        <v>0</v>
      </c>
      <c r="T21" s="89"/>
      <c r="U21" s="91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8"/>
      <c r="AH21" s="67"/>
    </row>
    <row r="22" spans="1:34" ht="15.75">
      <c r="A22" s="68"/>
      <c r="B22" s="119">
        <f>Data!D87</f>
        <v>0</v>
      </c>
      <c r="C22" s="119">
        <f>Data!E87</f>
        <v>0</v>
      </c>
      <c r="D22" s="119" t="str">
        <f>Data!F87</f>
        <v>4</v>
      </c>
      <c r="E22" s="119" t="str">
        <f>Data!G87</f>
        <v>4</v>
      </c>
      <c r="F22" s="119" t="str">
        <f>Data!H87</f>
        <v>0</v>
      </c>
      <c r="G22" s="119" t="str">
        <f>Data!I87</f>
        <v>4</v>
      </c>
      <c r="H22" s="119" t="str">
        <f>Data!J87</f>
        <v>2</v>
      </c>
      <c r="I22" s="119" t="str">
        <f>Data!K87</f>
        <v>6</v>
      </c>
      <c r="J22" s="70"/>
      <c r="K22" s="70"/>
      <c r="L22" s="120" t="str">
        <f>Data!D72</f>
        <v/>
      </c>
      <c r="M22" s="120" t="str">
        <f>Data!E72</f>
        <v/>
      </c>
      <c r="N22" s="120" t="str">
        <f>Data!F72</f>
        <v/>
      </c>
      <c r="O22" s="120" t="str">
        <f>Data!G72</f>
        <v>1</v>
      </c>
      <c r="P22" s="120" t="str">
        <f>Data!H72</f>
        <v>0</v>
      </c>
      <c r="Q22" s="120" t="str">
        <f>Data!I72</f>
        <v>0</v>
      </c>
      <c r="R22" s="120" t="str">
        <f>Data!J72</f>
        <v>0</v>
      </c>
      <c r="S22" s="120" t="str">
        <f>Data!K72</f>
        <v>0</v>
      </c>
      <c r="T22" s="89"/>
      <c r="U22" s="8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7"/>
      <c r="AH22" s="67"/>
    </row>
    <row r="23" spans="1:34" ht="15.75">
      <c r="A23" s="68"/>
      <c r="B23" s="119">
        <f>Data!D88</f>
        <v>0</v>
      </c>
      <c r="C23" s="119">
        <f>Data!E88</f>
        <v>0</v>
      </c>
      <c r="D23" s="119" t="str">
        <f>Data!F88</f>
        <v>4</v>
      </c>
      <c r="E23" s="119" t="str">
        <f>Data!G88</f>
        <v>4</v>
      </c>
      <c r="F23" s="119" t="str">
        <f>Data!H88</f>
        <v>0</v>
      </c>
      <c r="G23" s="119" t="str">
        <f>Data!I88</f>
        <v>3</v>
      </c>
      <c r="H23" s="119" t="str">
        <f>Data!J88</f>
        <v>3</v>
      </c>
      <c r="I23" s="119" t="str">
        <f>Data!K88</f>
        <v>5</v>
      </c>
      <c r="J23" s="70"/>
      <c r="K23" s="70"/>
      <c r="L23" s="120" t="str">
        <f>Data!D73</f>
        <v/>
      </c>
      <c r="M23" s="120" t="str">
        <f>Data!E73</f>
        <v/>
      </c>
      <c r="N23" s="120" t="str">
        <f>Data!F73</f>
        <v>1</v>
      </c>
      <c r="O23" s="120" t="str">
        <f>Data!G73</f>
        <v>2</v>
      </c>
      <c r="P23" s="120" t="str">
        <f>Data!H73</f>
        <v>3</v>
      </c>
      <c r="Q23" s="120" t="str">
        <f>Data!I73</f>
        <v>4</v>
      </c>
      <c r="R23" s="120" t="str">
        <f>Data!J73</f>
        <v>5</v>
      </c>
      <c r="S23" s="120" t="str">
        <f>Data!K73</f>
        <v>0</v>
      </c>
      <c r="T23" s="89"/>
      <c r="U23" s="8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7"/>
      <c r="AH23" s="67"/>
    </row>
    <row r="24" spans="1:34" ht="15.75">
      <c r="A24" s="68"/>
      <c r="B24" s="119">
        <f>Data!D89</f>
        <v>0</v>
      </c>
      <c r="C24" s="119">
        <f>Data!E89</f>
        <v>0</v>
      </c>
      <c r="D24" s="119" t="str">
        <f>Data!F89</f>
        <v>4</v>
      </c>
      <c r="E24" s="119" t="str">
        <f>Data!G89</f>
        <v>4</v>
      </c>
      <c r="F24" s="119" t="str">
        <f>Data!H89</f>
        <v>1</v>
      </c>
      <c r="G24" s="119" t="str">
        <f>Data!I89</f>
        <v>4</v>
      </c>
      <c r="H24" s="119" t="str">
        <f>Data!J89</f>
        <v>3</v>
      </c>
      <c r="I24" s="119" t="str">
        <f>Data!K89</f>
        <v>8</v>
      </c>
      <c r="J24" s="70"/>
      <c r="K24" s="70"/>
      <c r="L24" s="120" t="str">
        <f>Data!D74</f>
        <v/>
      </c>
      <c r="M24" s="120" t="str">
        <f>Data!E74</f>
        <v/>
      </c>
      <c r="N24" s="120" t="str">
        <f>Data!F74</f>
        <v/>
      </c>
      <c r="O24" s="120" t="str">
        <f>Data!G74</f>
        <v/>
      </c>
      <c r="P24" s="120" t="str">
        <f>Data!H74</f>
        <v/>
      </c>
      <c r="Q24" s="120" t="str">
        <f>Data!I74</f>
        <v/>
      </c>
      <c r="R24" s="120" t="str">
        <f>Data!J74</f>
        <v/>
      </c>
      <c r="S24" s="120" t="str">
        <f>Data!K74</f>
        <v>0</v>
      </c>
      <c r="T24" s="89"/>
      <c r="U24" s="8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7"/>
      <c r="AH24" s="67"/>
    </row>
    <row r="25" spans="1:34" ht="15.75">
      <c r="A25" s="68"/>
      <c r="B25" s="119">
        <f>Data!D90</f>
        <v>0</v>
      </c>
      <c r="C25" s="119">
        <f>Data!E90</f>
        <v>0</v>
      </c>
      <c r="D25" s="119" t="str">
        <f>Data!F90</f>
        <v>4</v>
      </c>
      <c r="E25" s="119" t="str">
        <f>Data!G90</f>
        <v>4</v>
      </c>
      <c r="F25" s="119" t="str">
        <f>Data!H90</f>
        <v>0</v>
      </c>
      <c r="G25" s="119" t="str">
        <f>Data!I90</f>
        <v>2</v>
      </c>
      <c r="H25" s="119" t="str">
        <f>Data!J90</f>
        <v>9</v>
      </c>
      <c r="I25" s="119" t="str">
        <f>Data!K90</f>
        <v>9</v>
      </c>
      <c r="J25" s="70"/>
      <c r="K25" s="70"/>
      <c r="L25" s="120" t="str">
        <f>Data!D75</f>
        <v/>
      </c>
      <c r="M25" s="120" t="str">
        <f>Data!E75</f>
        <v/>
      </c>
      <c r="N25" s="120" t="str">
        <f>Data!F75</f>
        <v/>
      </c>
      <c r="O25" s="120" t="str">
        <f>Data!G75</f>
        <v/>
      </c>
      <c r="P25" s="120" t="str">
        <f>Data!H75</f>
        <v/>
      </c>
      <c r="Q25" s="120" t="str">
        <f>Data!I75</f>
        <v/>
      </c>
      <c r="R25" s="120" t="str">
        <f>Data!J75</f>
        <v/>
      </c>
      <c r="S25" s="120" t="str">
        <f>Data!K75</f>
        <v>0</v>
      </c>
      <c r="T25" s="89"/>
      <c r="U25" s="8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7"/>
      <c r="AH25" s="67"/>
    </row>
    <row r="26" spans="1:34" ht="15.75">
      <c r="A26" s="68"/>
      <c r="B26" s="119">
        <f>Data!D91</f>
        <v>0</v>
      </c>
      <c r="C26" s="119">
        <f>Data!E91</f>
        <v>0</v>
      </c>
      <c r="D26" s="119" t="str">
        <f>Data!F91</f>
        <v>4</v>
      </c>
      <c r="E26" s="119" t="str">
        <f>Data!G91</f>
        <v>4</v>
      </c>
      <c r="F26" s="119" t="str">
        <f>Data!H91</f>
        <v>0</v>
      </c>
      <c r="G26" s="119" t="str">
        <f>Data!I91</f>
        <v>4</v>
      </c>
      <c r="H26" s="119" t="str">
        <f>Data!J91</f>
        <v>2</v>
      </c>
      <c r="I26" s="119" t="str">
        <f>Data!K91</f>
        <v>7</v>
      </c>
      <c r="J26" s="70"/>
      <c r="K26" s="70"/>
      <c r="L26" s="120" t="str">
        <f>Data!D76</f>
        <v/>
      </c>
      <c r="M26" s="120" t="str">
        <f>Data!E76</f>
        <v/>
      </c>
      <c r="N26" s="120" t="str">
        <f>Data!F76</f>
        <v/>
      </c>
      <c r="O26" s="120" t="str">
        <f>Data!G76</f>
        <v/>
      </c>
      <c r="P26" s="120" t="str">
        <f>Data!H76</f>
        <v/>
      </c>
      <c r="Q26" s="120" t="str">
        <f>Data!I76</f>
        <v/>
      </c>
      <c r="R26" s="120" t="str">
        <f>Data!J76</f>
        <v/>
      </c>
      <c r="S26" s="120" t="str">
        <f>Data!K76</f>
        <v>0</v>
      </c>
      <c r="T26" s="89"/>
      <c r="U26" s="8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7"/>
      <c r="AH26" s="67"/>
    </row>
    <row r="27" spans="1:34" ht="15.75">
      <c r="A27" s="68"/>
      <c r="B27" s="70"/>
      <c r="C27" s="70"/>
      <c r="D27" s="70"/>
      <c r="E27" s="70"/>
      <c r="F27" s="70"/>
      <c r="G27" s="70"/>
      <c r="H27" s="70" t="s">
        <v>13</v>
      </c>
      <c r="I27" s="70"/>
      <c r="J27" s="70"/>
      <c r="K27" s="70"/>
      <c r="L27" s="120" t="str">
        <f>Data!D77</f>
        <v/>
      </c>
      <c r="M27" s="120" t="str">
        <f>Data!E77</f>
        <v>1</v>
      </c>
      <c r="N27" s="120" t="str">
        <f>Data!F77</f>
        <v>1</v>
      </c>
      <c r="O27" s="120" t="str">
        <f>Data!G77</f>
        <v>5</v>
      </c>
      <c r="P27" s="120" t="str">
        <f>Data!H77</f>
        <v>3</v>
      </c>
      <c r="Q27" s="120" t="str">
        <f>Data!I77</f>
        <v>4</v>
      </c>
      <c r="R27" s="120" t="str">
        <f>Data!J77</f>
        <v>5</v>
      </c>
      <c r="S27" s="120" t="str">
        <f>Data!K77</f>
        <v>0</v>
      </c>
      <c r="T27" s="69"/>
      <c r="U27" s="92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4"/>
      <c r="AH27" s="67"/>
    </row>
    <row r="28" spans="1:34">
      <c r="A28" s="68"/>
      <c r="B28" s="69"/>
      <c r="C28" s="69"/>
      <c r="D28" s="69"/>
      <c r="E28" s="66"/>
      <c r="F28" s="66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7"/>
    </row>
    <row r="29" spans="1:34">
      <c r="A29" s="68"/>
      <c r="B29" s="66" t="s">
        <v>14</v>
      </c>
      <c r="C29" s="66"/>
      <c r="D29" s="66"/>
      <c r="E29" s="66"/>
      <c r="F29" s="69"/>
      <c r="G29" s="168" t="str">
        <f>Data!C33</f>
        <v>write in words  (Rupees    ------------ only)</v>
      </c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70"/>
      <c r="AG29" s="79"/>
      <c r="AH29" s="67"/>
    </row>
    <row r="30" spans="1:34">
      <c r="A30" s="68"/>
      <c r="B30" s="66"/>
      <c r="C30" s="66"/>
      <c r="D30" s="66"/>
      <c r="E30" s="66"/>
      <c r="F30" s="66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69"/>
      <c r="U30" s="69"/>
      <c r="V30" s="69"/>
      <c r="W30" s="69"/>
      <c r="X30" s="69"/>
      <c r="Y30" s="69"/>
      <c r="Z30" s="69"/>
      <c r="AA30" s="69"/>
      <c r="AB30" s="69"/>
      <c r="AC30" s="79" t="s">
        <v>15</v>
      </c>
      <c r="AD30" s="69"/>
      <c r="AE30" s="69"/>
      <c r="AF30" s="69"/>
      <c r="AG30" s="69"/>
      <c r="AH30" s="67"/>
    </row>
    <row r="31" spans="1:34" s="118" customFormat="1" ht="15" customHeight="1">
      <c r="A31" s="115"/>
      <c r="B31" s="95" t="s">
        <v>23</v>
      </c>
      <c r="C31" s="95"/>
      <c r="D31" s="95"/>
      <c r="E31" s="95"/>
      <c r="F31" s="95"/>
      <c r="G31" s="116"/>
      <c r="H31" s="116"/>
      <c r="I31" s="116"/>
      <c r="J31" s="116"/>
      <c r="K31" s="116"/>
      <c r="L31" s="171">
        <f>IF(Data!C34,Data!C34," ")</f>
        <v>123456</v>
      </c>
      <c r="M31" s="172"/>
      <c r="N31" s="172"/>
      <c r="O31" s="173"/>
      <c r="P31" s="114" t="s">
        <v>16</v>
      </c>
      <c r="Q31" s="117"/>
      <c r="R31" s="174">
        <f>IF(Data!C35,Data!C35," ")</f>
        <v>41501</v>
      </c>
      <c r="S31" s="175"/>
      <c r="T31" s="175"/>
      <c r="U31" s="176"/>
      <c r="V31" s="113" t="s">
        <v>17</v>
      </c>
      <c r="Y31" s="157" t="str">
        <f>IF(Data!C36=" "," ",Data!C36)</f>
        <v>WORLD BANK</v>
      </c>
      <c r="Z31" s="158"/>
      <c r="AA31" s="158"/>
      <c r="AB31" s="158"/>
      <c r="AC31" s="158"/>
      <c r="AD31" s="158"/>
      <c r="AE31" s="158"/>
      <c r="AF31" s="158"/>
      <c r="AG31" s="158"/>
      <c r="AH31" s="159"/>
    </row>
    <row r="32" spans="1:34">
      <c r="A32" s="68"/>
      <c r="B32" s="66"/>
      <c r="C32" s="66"/>
      <c r="D32" s="66"/>
      <c r="E32" s="66"/>
      <c r="F32" s="66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7"/>
    </row>
    <row r="33" spans="1:34">
      <c r="A33" s="68"/>
      <c r="B33" s="66"/>
      <c r="C33" s="66"/>
      <c r="D33" s="66"/>
      <c r="E33" s="66"/>
      <c r="F33" s="66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69"/>
      <c r="U33" s="177" t="s">
        <v>314</v>
      </c>
      <c r="V33" s="177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7"/>
    </row>
    <row r="34" spans="1:34">
      <c r="A34" s="96"/>
      <c r="B34" s="97" t="s">
        <v>18</v>
      </c>
      <c r="C34" s="98"/>
      <c r="D34" s="180">
        <f>IF(Data!C37,Data!C37," ")</f>
        <v>41501</v>
      </c>
      <c r="E34" s="180"/>
      <c r="F34" s="180"/>
      <c r="G34" s="180"/>
      <c r="H34" s="180"/>
      <c r="I34" s="180"/>
      <c r="J34" s="99"/>
      <c r="K34" s="99"/>
      <c r="L34" s="99"/>
      <c r="M34" s="99"/>
      <c r="N34" s="99"/>
      <c r="O34" s="100"/>
      <c r="P34" s="99"/>
      <c r="Q34" s="100"/>
      <c r="R34" s="101"/>
      <c r="S34" s="101"/>
      <c r="T34" s="101"/>
      <c r="U34" s="178"/>
      <c r="V34" s="178"/>
      <c r="W34" s="137" t="s">
        <v>19</v>
      </c>
      <c r="X34" s="99"/>
      <c r="Y34" s="93"/>
      <c r="Z34" s="93"/>
      <c r="AA34" s="100"/>
      <c r="AB34" s="100"/>
      <c r="AC34" s="93"/>
      <c r="AD34" s="93"/>
      <c r="AE34" s="93"/>
      <c r="AF34" s="93"/>
      <c r="AG34" s="93"/>
      <c r="AH34" s="94"/>
    </row>
    <row r="35" spans="1:34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4"/>
    </row>
    <row r="36" spans="1:34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7"/>
    </row>
    <row r="37" spans="1:34">
      <c r="A37" s="68"/>
      <c r="B37" s="62" t="s">
        <v>9</v>
      </c>
      <c r="C37" s="66"/>
      <c r="D37" s="66"/>
      <c r="E37" s="66"/>
      <c r="F37" s="66"/>
      <c r="G37" s="70"/>
      <c r="H37" s="70"/>
      <c r="I37" s="70"/>
      <c r="J37" s="70"/>
      <c r="K37" s="70"/>
      <c r="L37" s="62" t="s">
        <v>10</v>
      </c>
      <c r="M37" s="62"/>
      <c r="N37" s="70"/>
      <c r="O37" s="70"/>
      <c r="P37" s="70"/>
      <c r="Q37" s="70"/>
      <c r="R37" s="70"/>
      <c r="S37" s="70"/>
      <c r="T37" s="69"/>
      <c r="U37" s="69"/>
      <c r="V37" s="69" t="s">
        <v>11</v>
      </c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7"/>
    </row>
    <row r="38" spans="1:34" ht="15.75">
      <c r="A38" s="68"/>
      <c r="B38" s="108">
        <f>B20</f>
        <v>0</v>
      </c>
      <c r="C38" s="108">
        <f t="shared" ref="C38:I38" si="0">C20</f>
        <v>0</v>
      </c>
      <c r="D38" s="108" t="str">
        <f t="shared" si="0"/>
        <v>4</v>
      </c>
      <c r="E38" s="108" t="str">
        <f t="shared" si="0"/>
        <v>4</v>
      </c>
      <c r="F38" s="108" t="str">
        <f t="shared" si="0"/>
        <v>0</v>
      </c>
      <c r="G38" s="108" t="str">
        <f t="shared" si="0"/>
        <v>3</v>
      </c>
      <c r="H38" s="108" t="str">
        <f t="shared" si="0"/>
        <v>3</v>
      </c>
      <c r="I38" s="108" t="str">
        <f t="shared" si="0"/>
        <v>4</v>
      </c>
      <c r="J38" s="70"/>
      <c r="K38" s="70"/>
      <c r="L38" s="120" t="str">
        <f>L20</f>
        <v/>
      </c>
      <c r="M38" s="120" t="str">
        <f t="shared" ref="M38:S38" si="1">M20</f>
        <v>1</v>
      </c>
      <c r="N38" s="120" t="str">
        <f t="shared" si="1"/>
        <v>0</v>
      </c>
      <c r="O38" s="120" t="str">
        <f t="shared" si="1"/>
        <v>0</v>
      </c>
      <c r="P38" s="120" t="str">
        <f t="shared" si="1"/>
        <v>0</v>
      </c>
      <c r="Q38" s="120" t="str">
        <f t="shared" si="1"/>
        <v>0</v>
      </c>
      <c r="R38" s="120" t="str">
        <f t="shared" si="1"/>
        <v>0</v>
      </c>
      <c r="S38" s="120" t="str">
        <f t="shared" si="1"/>
        <v>0</v>
      </c>
      <c r="T38" s="89"/>
      <c r="U38" s="69"/>
      <c r="V38" s="69"/>
      <c r="W38" s="69"/>
      <c r="X38" s="90" t="s">
        <v>12</v>
      </c>
      <c r="Y38" s="90"/>
      <c r="Z38" s="90"/>
      <c r="AA38" s="69"/>
      <c r="AB38" s="69"/>
      <c r="AC38" s="69"/>
      <c r="AD38" s="69"/>
      <c r="AE38" s="69"/>
      <c r="AF38" s="69"/>
      <c r="AG38" s="69"/>
      <c r="AH38" s="67"/>
    </row>
    <row r="39" spans="1:34" ht="15.75">
      <c r="A39" s="68"/>
      <c r="B39" s="108">
        <f t="shared" ref="B39:I39" si="2">B21</f>
        <v>0</v>
      </c>
      <c r="C39" s="108">
        <f t="shared" si="2"/>
        <v>0</v>
      </c>
      <c r="D39" s="108" t="str">
        <f t="shared" si="2"/>
        <v>4</v>
      </c>
      <c r="E39" s="108" t="str">
        <f t="shared" si="2"/>
        <v>4</v>
      </c>
      <c r="F39" s="108" t="str">
        <f t="shared" si="2"/>
        <v>0</v>
      </c>
      <c r="G39" s="108" t="str">
        <f t="shared" si="2"/>
        <v>2</v>
      </c>
      <c r="H39" s="108" t="str">
        <f t="shared" si="2"/>
        <v>9</v>
      </c>
      <c r="I39" s="108" t="str">
        <f t="shared" si="2"/>
        <v>8</v>
      </c>
      <c r="J39" s="70"/>
      <c r="K39" s="70"/>
      <c r="L39" s="120" t="str">
        <f t="shared" ref="L39:S39" si="3">L21</f>
        <v/>
      </c>
      <c r="M39" s="120" t="str">
        <f t="shared" si="3"/>
        <v/>
      </c>
      <c r="N39" s="120" t="str">
        <f t="shared" si="3"/>
        <v/>
      </c>
      <c r="O39" s="120" t="str">
        <f t="shared" si="3"/>
        <v>2</v>
      </c>
      <c r="P39" s="120" t="str">
        <f t="shared" si="3"/>
        <v>0</v>
      </c>
      <c r="Q39" s="120" t="str">
        <f t="shared" si="3"/>
        <v>0</v>
      </c>
      <c r="R39" s="120" t="str">
        <f t="shared" si="3"/>
        <v>0</v>
      </c>
      <c r="S39" s="120" t="str">
        <f t="shared" si="3"/>
        <v>0</v>
      </c>
      <c r="T39" s="89"/>
      <c r="U39" s="91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8"/>
      <c r="AH39" s="67"/>
    </row>
    <row r="40" spans="1:34" ht="15.75">
      <c r="A40" s="68"/>
      <c r="B40" s="108">
        <f t="shared" ref="B40:I40" si="4">B22</f>
        <v>0</v>
      </c>
      <c r="C40" s="108">
        <f t="shared" si="4"/>
        <v>0</v>
      </c>
      <c r="D40" s="108" t="str">
        <f t="shared" si="4"/>
        <v>4</v>
      </c>
      <c r="E40" s="108" t="str">
        <f t="shared" si="4"/>
        <v>4</v>
      </c>
      <c r="F40" s="108" t="str">
        <f t="shared" si="4"/>
        <v>0</v>
      </c>
      <c r="G40" s="108" t="str">
        <f t="shared" si="4"/>
        <v>4</v>
      </c>
      <c r="H40" s="108" t="str">
        <f t="shared" si="4"/>
        <v>2</v>
      </c>
      <c r="I40" s="108" t="str">
        <f t="shared" si="4"/>
        <v>6</v>
      </c>
      <c r="J40" s="70"/>
      <c r="K40" s="70"/>
      <c r="L40" s="120" t="str">
        <f t="shared" ref="L40:S40" si="5">L22</f>
        <v/>
      </c>
      <c r="M40" s="120" t="str">
        <f t="shared" si="5"/>
        <v/>
      </c>
      <c r="N40" s="120" t="str">
        <f t="shared" si="5"/>
        <v/>
      </c>
      <c r="O40" s="120" t="str">
        <f t="shared" si="5"/>
        <v>1</v>
      </c>
      <c r="P40" s="120" t="str">
        <f t="shared" si="5"/>
        <v>0</v>
      </c>
      <c r="Q40" s="120" t="str">
        <f t="shared" si="5"/>
        <v>0</v>
      </c>
      <c r="R40" s="120" t="str">
        <f t="shared" si="5"/>
        <v>0</v>
      </c>
      <c r="S40" s="120" t="str">
        <f t="shared" si="5"/>
        <v>0</v>
      </c>
      <c r="T40" s="89"/>
      <c r="U40" s="8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7"/>
      <c r="AH40" s="67"/>
    </row>
    <row r="41" spans="1:34" ht="15.75">
      <c r="A41" s="68"/>
      <c r="B41" s="108">
        <f t="shared" ref="B41:I41" si="6">B23</f>
        <v>0</v>
      </c>
      <c r="C41" s="108">
        <f t="shared" si="6"/>
        <v>0</v>
      </c>
      <c r="D41" s="108" t="str">
        <f t="shared" si="6"/>
        <v>4</v>
      </c>
      <c r="E41" s="108" t="str">
        <f t="shared" si="6"/>
        <v>4</v>
      </c>
      <c r="F41" s="108" t="str">
        <f t="shared" si="6"/>
        <v>0</v>
      </c>
      <c r="G41" s="108" t="str">
        <f t="shared" si="6"/>
        <v>3</v>
      </c>
      <c r="H41" s="108" t="str">
        <f t="shared" si="6"/>
        <v>3</v>
      </c>
      <c r="I41" s="108" t="str">
        <f t="shared" si="6"/>
        <v>5</v>
      </c>
      <c r="J41" s="70"/>
      <c r="K41" s="70"/>
      <c r="L41" s="120" t="str">
        <f t="shared" ref="L41:S41" si="7">L23</f>
        <v/>
      </c>
      <c r="M41" s="120" t="str">
        <f t="shared" si="7"/>
        <v/>
      </c>
      <c r="N41" s="120" t="str">
        <f t="shared" si="7"/>
        <v>1</v>
      </c>
      <c r="O41" s="120" t="str">
        <f t="shared" si="7"/>
        <v>2</v>
      </c>
      <c r="P41" s="120" t="str">
        <f t="shared" si="7"/>
        <v>3</v>
      </c>
      <c r="Q41" s="120" t="str">
        <f t="shared" si="7"/>
        <v>4</v>
      </c>
      <c r="R41" s="120" t="str">
        <f t="shared" si="7"/>
        <v>5</v>
      </c>
      <c r="S41" s="120" t="str">
        <f t="shared" si="7"/>
        <v>0</v>
      </c>
      <c r="T41" s="89"/>
      <c r="U41" s="8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7"/>
      <c r="AH41" s="67"/>
    </row>
    <row r="42" spans="1:34" ht="15.75">
      <c r="A42" s="68"/>
      <c r="B42" s="108">
        <f t="shared" ref="B42:I42" si="8">B24</f>
        <v>0</v>
      </c>
      <c r="C42" s="108">
        <f t="shared" si="8"/>
        <v>0</v>
      </c>
      <c r="D42" s="108" t="str">
        <f t="shared" si="8"/>
        <v>4</v>
      </c>
      <c r="E42" s="108" t="str">
        <f t="shared" si="8"/>
        <v>4</v>
      </c>
      <c r="F42" s="108" t="str">
        <f t="shared" si="8"/>
        <v>1</v>
      </c>
      <c r="G42" s="108" t="str">
        <f t="shared" si="8"/>
        <v>4</v>
      </c>
      <c r="H42" s="108" t="str">
        <f t="shared" si="8"/>
        <v>3</v>
      </c>
      <c r="I42" s="108" t="str">
        <f t="shared" si="8"/>
        <v>8</v>
      </c>
      <c r="J42" s="70"/>
      <c r="K42" s="70"/>
      <c r="L42" s="120" t="str">
        <f t="shared" ref="L42:S42" si="9">L24</f>
        <v/>
      </c>
      <c r="M42" s="120" t="str">
        <f t="shared" si="9"/>
        <v/>
      </c>
      <c r="N42" s="120" t="str">
        <f t="shared" si="9"/>
        <v/>
      </c>
      <c r="O42" s="120" t="str">
        <f t="shared" si="9"/>
        <v/>
      </c>
      <c r="P42" s="120" t="str">
        <f t="shared" si="9"/>
        <v/>
      </c>
      <c r="Q42" s="120" t="str">
        <f t="shared" si="9"/>
        <v/>
      </c>
      <c r="R42" s="120" t="str">
        <f t="shared" si="9"/>
        <v/>
      </c>
      <c r="S42" s="120" t="str">
        <f t="shared" si="9"/>
        <v>0</v>
      </c>
      <c r="T42" s="89"/>
      <c r="U42" s="8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7"/>
      <c r="AH42" s="67"/>
    </row>
    <row r="43" spans="1:34" ht="15.75">
      <c r="A43" s="68"/>
      <c r="B43" s="108">
        <f t="shared" ref="B43:I43" si="10">B25</f>
        <v>0</v>
      </c>
      <c r="C43" s="108">
        <f t="shared" si="10"/>
        <v>0</v>
      </c>
      <c r="D43" s="108" t="str">
        <f t="shared" si="10"/>
        <v>4</v>
      </c>
      <c r="E43" s="108" t="str">
        <f t="shared" si="10"/>
        <v>4</v>
      </c>
      <c r="F43" s="108" t="str">
        <f t="shared" si="10"/>
        <v>0</v>
      </c>
      <c r="G43" s="108" t="str">
        <f t="shared" si="10"/>
        <v>2</v>
      </c>
      <c r="H43" s="108" t="str">
        <f t="shared" si="10"/>
        <v>9</v>
      </c>
      <c r="I43" s="108" t="str">
        <f t="shared" si="10"/>
        <v>9</v>
      </c>
      <c r="J43" s="70"/>
      <c r="K43" s="70"/>
      <c r="L43" s="120" t="str">
        <f t="shared" ref="L43:S43" si="11">L25</f>
        <v/>
      </c>
      <c r="M43" s="120" t="str">
        <f t="shared" si="11"/>
        <v/>
      </c>
      <c r="N43" s="120" t="str">
        <f t="shared" si="11"/>
        <v/>
      </c>
      <c r="O43" s="120" t="str">
        <f t="shared" si="11"/>
        <v/>
      </c>
      <c r="P43" s="120" t="str">
        <f t="shared" si="11"/>
        <v/>
      </c>
      <c r="Q43" s="120" t="str">
        <f t="shared" si="11"/>
        <v/>
      </c>
      <c r="R43" s="120" t="str">
        <f t="shared" si="11"/>
        <v/>
      </c>
      <c r="S43" s="120" t="str">
        <f t="shared" si="11"/>
        <v>0</v>
      </c>
      <c r="T43" s="89"/>
      <c r="U43" s="8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7"/>
      <c r="AH43" s="67"/>
    </row>
    <row r="44" spans="1:34" ht="15.75">
      <c r="A44" s="68"/>
      <c r="B44" s="108">
        <f t="shared" ref="B44:I44" si="12">B26</f>
        <v>0</v>
      </c>
      <c r="C44" s="108">
        <f t="shared" si="12"/>
        <v>0</v>
      </c>
      <c r="D44" s="108" t="str">
        <f t="shared" si="12"/>
        <v>4</v>
      </c>
      <c r="E44" s="108" t="str">
        <f t="shared" si="12"/>
        <v>4</v>
      </c>
      <c r="F44" s="108" t="str">
        <f t="shared" si="12"/>
        <v>0</v>
      </c>
      <c r="G44" s="108" t="str">
        <f t="shared" si="12"/>
        <v>4</v>
      </c>
      <c r="H44" s="108" t="str">
        <f t="shared" si="12"/>
        <v>2</v>
      </c>
      <c r="I44" s="108" t="str">
        <f t="shared" si="12"/>
        <v>7</v>
      </c>
      <c r="J44" s="70"/>
      <c r="K44" s="70"/>
      <c r="L44" s="120" t="str">
        <f t="shared" ref="L44:S44" si="13">L26</f>
        <v/>
      </c>
      <c r="M44" s="120" t="str">
        <f t="shared" si="13"/>
        <v/>
      </c>
      <c r="N44" s="120" t="str">
        <f t="shared" si="13"/>
        <v/>
      </c>
      <c r="O44" s="120" t="str">
        <f t="shared" si="13"/>
        <v/>
      </c>
      <c r="P44" s="120" t="str">
        <f t="shared" si="13"/>
        <v/>
      </c>
      <c r="Q44" s="120" t="str">
        <f t="shared" si="13"/>
        <v/>
      </c>
      <c r="R44" s="120" t="str">
        <f t="shared" si="13"/>
        <v/>
      </c>
      <c r="S44" s="120" t="str">
        <f t="shared" si="13"/>
        <v>0</v>
      </c>
      <c r="T44" s="89"/>
      <c r="U44" s="8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7"/>
      <c r="AH44" s="67"/>
    </row>
    <row r="45" spans="1:34" ht="15.75">
      <c r="A45" s="68"/>
      <c r="B45" s="70"/>
      <c r="C45" s="70"/>
      <c r="D45" s="70"/>
      <c r="E45" s="70"/>
      <c r="F45" s="70"/>
      <c r="G45" s="70"/>
      <c r="H45" s="70" t="s">
        <v>13</v>
      </c>
      <c r="I45" s="70"/>
      <c r="J45" s="70"/>
      <c r="K45" s="70"/>
      <c r="L45" s="120" t="str">
        <f t="shared" ref="L45:S45" si="14">L27</f>
        <v/>
      </c>
      <c r="M45" s="120" t="str">
        <f t="shared" si="14"/>
        <v>1</v>
      </c>
      <c r="N45" s="120" t="str">
        <f t="shared" si="14"/>
        <v>1</v>
      </c>
      <c r="O45" s="120" t="str">
        <f t="shared" si="14"/>
        <v>5</v>
      </c>
      <c r="P45" s="120" t="str">
        <f t="shared" si="14"/>
        <v>3</v>
      </c>
      <c r="Q45" s="120" t="str">
        <f t="shared" si="14"/>
        <v>4</v>
      </c>
      <c r="R45" s="120" t="str">
        <f t="shared" si="14"/>
        <v>5</v>
      </c>
      <c r="S45" s="120" t="str">
        <f t="shared" si="14"/>
        <v>0</v>
      </c>
      <c r="T45" s="69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4"/>
      <c r="AH45" s="67"/>
    </row>
    <row r="46" spans="1:34">
      <c r="A46" s="68"/>
      <c r="B46" s="69"/>
      <c r="C46" s="69"/>
      <c r="D46" s="69"/>
      <c r="E46" s="66"/>
      <c r="F46" s="66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7"/>
    </row>
    <row r="47" spans="1:34" ht="17.25">
      <c r="A47" s="68" t="s">
        <v>310</v>
      </c>
      <c r="B47" s="69"/>
      <c r="C47" s="69"/>
      <c r="D47" s="69"/>
      <c r="E47" s="66"/>
      <c r="F47" s="66"/>
      <c r="G47" s="70"/>
      <c r="H47" s="70"/>
      <c r="I47" s="70"/>
      <c r="J47" s="70"/>
      <c r="K47" s="70"/>
      <c r="L47" s="70"/>
      <c r="M47" s="122" t="str">
        <f>MID(Data!$C$10,1,1)</f>
        <v>A</v>
      </c>
      <c r="N47" s="122" t="str">
        <f>MID(Data!$C$10,2,1)</f>
        <v>B</v>
      </c>
      <c r="O47" s="122" t="str">
        <f>MID(Data!$C$10,3,1)</f>
        <v>C</v>
      </c>
      <c r="P47" s="122" t="str">
        <f>MID(Data!$C$10,4,1)</f>
        <v>D</v>
      </c>
      <c r="Q47" s="122" t="str">
        <f>MID(Data!$C$10,5,1)</f>
        <v>E</v>
      </c>
      <c r="R47" s="122" t="str">
        <f>MID(Data!$C$10,6,1)</f>
        <v>1</v>
      </c>
      <c r="S47" s="122" t="str">
        <f>MID(Data!$C$10,7,1)</f>
        <v>2</v>
      </c>
      <c r="T47" s="122" t="str">
        <f>MID(Data!$C$10,8,1)</f>
        <v>3</v>
      </c>
      <c r="U47" s="122" t="str">
        <f>MID(Data!$C$10,9,1)</f>
        <v>4</v>
      </c>
      <c r="V47" s="122" t="str">
        <f>MID(Data!$C$10,10,1)</f>
        <v>F</v>
      </c>
      <c r="W47" s="122" t="str">
        <f>MID(Data!$C$10,11,1)</f>
        <v>S</v>
      </c>
      <c r="X47" s="122" t="str">
        <f>MID(Data!$C$10,12,1)</f>
        <v>D</v>
      </c>
      <c r="Y47" s="122" t="str">
        <f>MID(Data!$C$10,13,1)</f>
        <v>0</v>
      </c>
      <c r="Z47" s="122" t="str">
        <f>MID(Data!$C$10,14,1)</f>
        <v>0</v>
      </c>
      <c r="AA47" s="122" t="str">
        <f>MID(Data!$C$10,15,1)</f>
        <v>1</v>
      </c>
      <c r="AE47" s="69"/>
      <c r="AF47" s="69"/>
      <c r="AG47" s="69"/>
      <c r="AH47" s="67"/>
    </row>
    <row r="48" spans="1:34">
      <c r="A48" s="68"/>
      <c r="B48" s="66"/>
      <c r="C48" s="66"/>
      <c r="D48" s="66"/>
      <c r="E48" s="66"/>
      <c r="F48" s="66"/>
      <c r="G48" s="69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67"/>
    </row>
    <row r="49" spans="1:34">
      <c r="A49" s="68"/>
      <c r="B49" s="66" t="s">
        <v>14</v>
      </c>
      <c r="C49" s="66"/>
      <c r="D49" s="66"/>
      <c r="E49" s="66"/>
      <c r="F49" s="69"/>
      <c r="G49" s="184" t="str">
        <f>G29</f>
        <v>write in words  (Rupees    ------------ only)</v>
      </c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6"/>
      <c r="AF49" s="79"/>
      <c r="AG49" s="79"/>
      <c r="AH49" s="67"/>
    </row>
    <row r="50" spans="1:34">
      <c r="A50" s="68"/>
      <c r="B50" s="66"/>
      <c r="C50" s="66"/>
      <c r="D50" s="66"/>
      <c r="E50" s="66"/>
      <c r="F50" s="66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7"/>
    </row>
    <row r="51" spans="1:34" ht="15" customHeight="1">
      <c r="A51" s="115"/>
      <c r="B51" s="95" t="s">
        <v>23</v>
      </c>
      <c r="C51" s="95"/>
      <c r="D51" s="95"/>
      <c r="E51" s="95"/>
      <c r="F51" s="95"/>
      <c r="G51" s="116"/>
      <c r="H51" s="116"/>
      <c r="I51" s="116"/>
      <c r="J51" s="116"/>
      <c r="K51" s="116"/>
      <c r="L51" s="171">
        <f>IF(Data!C34,Data!C34," ")</f>
        <v>123456</v>
      </c>
      <c r="M51" s="172"/>
      <c r="N51" s="172"/>
      <c r="O51" s="173"/>
      <c r="P51" s="114" t="s">
        <v>16</v>
      </c>
      <c r="Q51" s="117"/>
      <c r="R51" s="174">
        <f>IF(Data!C35,Data!C35," ")</f>
        <v>41501</v>
      </c>
      <c r="S51" s="175"/>
      <c r="T51" s="175"/>
      <c r="U51" s="176"/>
      <c r="V51" s="113" t="s">
        <v>17</v>
      </c>
      <c r="W51" s="118"/>
      <c r="X51" s="118"/>
      <c r="Y51" s="157" t="str">
        <f>Y31</f>
        <v>WORLD BANK</v>
      </c>
      <c r="Z51" s="158"/>
      <c r="AA51" s="158"/>
      <c r="AB51" s="158"/>
      <c r="AC51" s="158"/>
      <c r="AD51" s="158"/>
      <c r="AE51" s="158"/>
      <c r="AF51" s="158"/>
      <c r="AG51" s="158"/>
      <c r="AH51" s="159"/>
    </row>
    <row r="52" spans="1:34" hidden="1">
      <c r="A52" s="68"/>
      <c r="B52" s="109" t="s">
        <v>53</v>
      </c>
      <c r="C52" s="66"/>
      <c r="D52" s="66"/>
      <c r="E52" s="66"/>
      <c r="F52" s="66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7"/>
    </row>
    <row r="53" spans="1:34">
      <c r="A53" s="110"/>
      <c r="B53" s="109" t="s">
        <v>53</v>
      </c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2"/>
    </row>
    <row r="54" spans="1:34" ht="27" customHeight="1">
      <c r="A54" s="181">
        <f>N18</f>
        <v>41275</v>
      </c>
      <c r="B54" s="181"/>
      <c r="C54" s="138" t="s">
        <v>46</v>
      </c>
      <c r="D54" s="182">
        <f>T18</f>
        <v>41334</v>
      </c>
      <c r="E54" s="182"/>
      <c r="F54" s="183" t="str">
        <f>Data!C6</f>
        <v>ABC INDUSTRIES LIMITED</v>
      </c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79" t="str">
        <f>Data!C21</f>
        <v xml:space="preserve">Construction of residential Complex </v>
      </c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</row>
  </sheetData>
  <sheetProtection password="C5C1" sheet="1" objects="1" scenarios="1"/>
  <mergeCells count="21">
    <mergeCell ref="U33:V34"/>
    <mergeCell ref="U54:AH54"/>
    <mergeCell ref="D34:I34"/>
    <mergeCell ref="A54:B54"/>
    <mergeCell ref="D54:E54"/>
    <mergeCell ref="F54:T54"/>
    <mergeCell ref="G49:AE49"/>
    <mergeCell ref="L51:O51"/>
    <mergeCell ref="R51:U51"/>
    <mergeCell ref="Y51:AH51"/>
    <mergeCell ref="J1:R1"/>
    <mergeCell ref="A1:I1"/>
    <mergeCell ref="Y31:AH31"/>
    <mergeCell ref="U10:AA10"/>
    <mergeCell ref="A2:E2"/>
    <mergeCell ref="G2:W2"/>
    <mergeCell ref="N18:R18"/>
    <mergeCell ref="T18:X18"/>
    <mergeCell ref="G29:AF29"/>
    <mergeCell ref="L31:O31"/>
    <mergeCell ref="R31:U31"/>
  </mergeCells>
  <printOptions horizontalCentered="1" verticalCentered="1"/>
  <pageMargins left="0.8" right="0.3" top="0.4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GAR-7</vt:lpstr>
      <vt:lpstr>'GAR-7'!Print_Area</vt:lpstr>
    </vt:vector>
  </TitlesOfParts>
  <Company>Himanshu Patel &amp; 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Patel</dc:creator>
  <cp:lastModifiedBy>Himanshu Patel</cp:lastModifiedBy>
  <cp:lastPrinted>2013-08-30T13:54:35Z</cp:lastPrinted>
  <dcterms:created xsi:type="dcterms:W3CDTF">2013-08-14T11:47:26Z</dcterms:created>
  <dcterms:modified xsi:type="dcterms:W3CDTF">2013-08-30T13:58:40Z</dcterms:modified>
</cp:coreProperties>
</file>