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CT 08-MARCH 09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2" i="1"/>
  <c r="I12" s="1"/>
  <c r="G11"/>
  <c r="I11" s="1"/>
  <c r="G10"/>
  <c r="I10" s="1"/>
  <c r="D12"/>
  <c r="F12" s="1"/>
  <c r="D11"/>
  <c r="F11" s="1"/>
  <c r="D10"/>
  <c r="F10" s="1"/>
  <c r="D9"/>
  <c r="F9" s="1"/>
  <c r="D8"/>
  <c r="F8" s="1"/>
  <c r="D7"/>
  <c r="E7" s="1"/>
  <c r="F7"/>
  <c r="C13"/>
  <c r="O12"/>
  <c r="O9"/>
  <c r="N11"/>
  <c r="O11" s="1"/>
  <c r="N10"/>
  <c r="O10" s="1"/>
  <c r="N8"/>
  <c r="O8" s="1"/>
  <c r="N7"/>
  <c r="O7" s="1"/>
  <c r="E8" l="1"/>
  <c r="G8" s="1"/>
  <c r="I8" s="1"/>
  <c r="E9"/>
  <c r="G9" s="1"/>
  <c r="E10"/>
  <c r="L10"/>
  <c r="E11"/>
  <c r="E12"/>
  <c r="G7"/>
  <c r="I7" s="1"/>
  <c r="K7" s="1"/>
  <c r="L12" l="1"/>
  <c r="J12"/>
  <c r="J11"/>
  <c r="P11"/>
  <c r="Q11" s="1"/>
  <c r="K11"/>
  <c r="K10"/>
  <c r="P10"/>
  <c r="Q10" s="1"/>
  <c r="J10"/>
  <c r="L9"/>
  <c r="K9"/>
  <c r="J9"/>
  <c r="P12"/>
  <c r="Q12" s="1"/>
  <c r="L11"/>
  <c r="P9"/>
  <c r="Q9" s="1"/>
  <c r="K12"/>
  <c r="G13"/>
  <c r="L7"/>
  <c r="P7"/>
  <c r="Q7" s="1"/>
  <c r="J7"/>
  <c r="K8"/>
  <c r="J8"/>
  <c r="L8"/>
  <c r="P8"/>
  <c r="Q8" s="1"/>
  <c r="P13" l="1"/>
  <c r="Q13"/>
</calcChain>
</file>

<file path=xl/sharedStrings.xml><?xml version="1.0" encoding="utf-8"?>
<sst xmlns="http://schemas.openxmlformats.org/spreadsheetml/2006/main" count="54" uniqueCount="45">
  <si>
    <t>S.NO</t>
  </si>
  <si>
    <t>MONTH</t>
  </si>
  <si>
    <t>SERVICE TAX</t>
  </si>
  <si>
    <t>SERVICE CHARGES</t>
  </si>
  <si>
    <t>SERVICE TAX PAYABLE</t>
  </si>
  <si>
    <t>SERVICE T AX PAID</t>
  </si>
  <si>
    <t xml:space="preserve">DUE DATE </t>
  </si>
  <si>
    <t>DATE OF PYMT.</t>
  </si>
  <si>
    <t>DELAY NO OF DAYS</t>
  </si>
  <si>
    <t>INTEREST DUE</t>
  </si>
  <si>
    <t>BAL. OT PAY</t>
  </si>
  <si>
    <t>PAID VIDE  CHQ NO.</t>
  </si>
  <si>
    <t>CHQ DT.</t>
  </si>
  <si>
    <t>ED.CESS</t>
  </si>
  <si>
    <t>S NHE</t>
  </si>
  <si>
    <t>INTEREST RATE (%)</t>
  </si>
  <si>
    <t>5 DIGIT CHALLAN NO</t>
  </si>
  <si>
    <t xml:space="preserve"> CHALLAN DATE</t>
  </si>
  <si>
    <t>00001</t>
  </si>
  <si>
    <t>00005</t>
  </si>
  <si>
    <t xml:space="preserve">BANK NAME </t>
  </si>
  <si>
    <t>BSR CODE</t>
  </si>
  <si>
    <t>0301525</t>
  </si>
  <si>
    <t>-DO-</t>
  </si>
  <si>
    <t>00017</t>
  </si>
  <si>
    <t>00020</t>
  </si>
  <si>
    <t>service tax component</t>
  </si>
  <si>
    <t>ED.CESS COMPONENT</t>
  </si>
  <si>
    <t>SNHE COMPONENT</t>
  </si>
  <si>
    <t>BIFURFICATION OF ACTUAL AMOUNT PAYABLE</t>
  </si>
  <si>
    <t>BIFURCATION OF ARRERS PAYABLE</t>
  </si>
  <si>
    <t>DETAILS OF INTIAL/ARRERS PAYMENTS MADE</t>
  </si>
  <si>
    <t>NET ARRERS PAYABLE W/INTEREST</t>
  </si>
  <si>
    <t>194633/CASH</t>
  </si>
  <si>
    <t>05/01/2009/23-4-2009</t>
  </si>
  <si>
    <t>CASH/CASH</t>
  </si>
  <si>
    <t>30.03.2009/23.04.2009</t>
  </si>
  <si>
    <t>00204/00012</t>
  </si>
  <si>
    <t>TOTAL</t>
  </si>
  <si>
    <t>00057/00012</t>
  </si>
  <si>
    <t>14/01/2008/23.04.2009</t>
  </si>
  <si>
    <t>31/03/2009/23.04.09</t>
  </si>
  <si>
    <t>SUMMARY OF SERVICE TAX FOR HALF YEAR 2008-09( on accural basis)</t>
  </si>
  <si>
    <t>for the preparation of half yearly return</t>
  </si>
  <si>
    <t>PNB SEC-8 CHD</t>
  </si>
</sst>
</file>

<file path=xl/styles.xml><?xml version="1.0" encoding="utf-8"?>
<styleSheet xmlns="http://schemas.openxmlformats.org/spreadsheetml/2006/main">
  <numFmts count="2">
    <numFmt numFmtId="164" formatCode="d\.m\.yy;@"/>
    <numFmt numFmtId="165" formatCode="0;[Red]0"/>
  </numFmts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17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6" xfId="0" applyFont="1" applyBorder="1"/>
    <xf numFmtId="17" fontId="2" fillId="0" borderId="6" xfId="0" applyNumberFormat="1" applyFont="1" applyBorder="1"/>
    <xf numFmtId="164" fontId="2" fillId="0" borderId="6" xfId="0" applyNumberFormat="1" applyFont="1" applyBorder="1"/>
    <xf numFmtId="165" fontId="2" fillId="0" borderId="6" xfId="0" applyNumberFormat="1" applyFont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6" xfId="0" applyFont="1" applyBorder="1" applyAlignment="1">
      <alignment vertical="top" shrinkToFit="1"/>
    </xf>
    <xf numFmtId="49" fontId="2" fillId="0" borderId="6" xfId="0" applyNumberFormat="1" applyFont="1" applyBorder="1" applyAlignment="1">
      <alignment horizontal="right" vertical="top" shrinkToFit="1"/>
    </xf>
    <xf numFmtId="164" fontId="2" fillId="0" borderId="6" xfId="0" applyNumberFormat="1" applyFont="1" applyBorder="1" applyAlignment="1">
      <alignment vertical="top" shrinkToFit="1"/>
    </xf>
    <xf numFmtId="0" fontId="2" fillId="0" borderId="1" xfId="0" applyFont="1" applyBorder="1" applyAlignment="1">
      <alignment vertical="top" shrinkToFit="1"/>
    </xf>
    <xf numFmtId="49" fontId="2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vertical="top" shrinkToFit="1"/>
    </xf>
    <xf numFmtId="49" fontId="2" fillId="0" borderId="1" xfId="0" quotePrefix="1" applyNumberFormat="1" applyFont="1" applyBorder="1" applyAlignment="1">
      <alignment horizontal="right" vertical="top" shrinkToFit="1"/>
    </xf>
    <xf numFmtId="0" fontId="4" fillId="2" borderId="10" xfId="0" applyFont="1" applyFill="1" applyBorder="1" applyAlignment="1"/>
    <xf numFmtId="0" fontId="4" fillId="2" borderId="10" xfId="0" applyFont="1" applyFill="1" applyBorder="1"/>
    <xf numFmtId="1" fontId="4" fillId="2" borderId="10" xfId="0" applyNumberFormat="1" applyFont="1" applyFill="1" applyBorder="1"/>
    <xf numFmtId="0" fontId="4" fillId="2" borderId="10" xfId="0" applyFont="1" applyFill="1" applyBorder="1" applyAlignment="1">
      <alignment vertical="top" shrinkToFit="1"/>
    </xf>
    <xf numFmtId="164" fontId="4" fillId="2" borderId="10" xfId="0" applyNumberFormat="1" applyFont="1" applyFill="1" applyBorder="1" applyAlignment="1">
      <alignment vertical="top" shrinkToFit="1"/>
    </xf>
    <xf numFmtId="1" fontId="2" fillId="0" borderId="11" xfId="0" applyNumberFormat="1" applyFont="1" applyBorder="1"/>
    <xf numFmtId="1" fontId="2" fillId="0" borderId="1" xfId="0" applyNumberFormat="1" applyFont="1" applyBorder="1"/>
    <xf numFmtId="0" fontId="1" fillId="0" borderId="1" xfId="0" applyFont="1" applyBorder="1" applyAlignment="1">
      <alignment vertical="top" wrapText="1" shrinkToFit="1"/>
    </xf>
    <xf numFmtId="164" fontId="1" fillId="0" borderId="1" xfId="0" applyNumberFormat="1" applyFont="1" applyBorder="1" applyAlignment="1">
      <alignment vertical="top" wrapText="1" shrinkToFit="1"/>
    </xf>
    <xf numFmtId="49" fontId="1" fillId="0" borderId="1" xfId="0" applyNumberFormat="1" applyFont="1" applyBorder="1" applyAlignment="1">
      <alignment horizontal="right" vertical="top" wrapText="1" shrinkToFi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1" fontId="2" fillId="0" borderId="6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view="pageBreakPreview" zoomScale="60" workbookViewId="0">
      <selection activeCell="V8" sqref="V8:V12"/>
    </sheetView>
  </sheetViews>
  <sheetFormatPr defaultRowHeight="15"/>
  <cols>
    <col min="2" max="2" width="11.42578125" customWidth="1"/>
    <col min="3" max="3" width="18.7109375" customWidth="1"/>
    <col min="4" max="4" width="15.85546875" customWidth="1"/>
    <col min="5" max="5" width="19.140625" customWidth="1"/>
    <col min="6" max="6" width="19.42578125" customWidth="1"/>
    <col min="7" max="7" width="20.28515625" customWidth="1"/>
    <col min="8" max="10" width="12.28515625" customWidth="1"/>
    <col min="11" max="11" width="15.42578125" customWidth="1"/>
    <col min="12" max="12" width="12.28515625" customWidth="1"/>
    <col min="13" max="13" width="12.5703125" customWidth="1"/>
    <col min="14" max="14" width="11.5703125" customWidth="1"/>
    <col min="15" max="15" width="11.28515625" customWidth="1"/>
    <col min="16" max="16" width="12.7109375" customWidth="1"/>
    <col min="17" max="17" width="18.5703125" customWidth="1"/>
    <col min="18" max="18" width="11.7109375" customWidth="1"/>
    <col min="19" max="19" width="17.140625" customWidth="1"/>
    <col min="20" max="20" width="12.85546875" customWidth="1"/>
    <col min="21" max="21" width="17.85546875" customWidth="1"/>
    <col min="22" max="22" width="21.5703125" customWidth="1"/>
    <col min="23" max="23" width="13.85546875" customWidth="1"/>
  </cols>
  <sheetData>
    <row r="1" spans="1:2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1.75" thickBot="1">
      <c r="A3" s="2"/>
      <c r="B3" s="2"/>
      <c r="C3" s="39" t="s">
        <v>42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</row>
    <row r="4" spans="1:23" ht="21.75" thickBot="1">
      <c r="A4" s="2"/>
      <c r="B4" s="2"/>
      <c r="C4" s="2"/>
      <c r="D4" s="2"/>
      <c r="E4" s="2"/>
      <c r="F4" s="45" t="s">
        <v>43</v>
      </c>
      <c r="G4" s="45"/>
      <c r="H4" s="45"/>
      <c r="I4" s="45"/>
      <c r="J4" s="45"/>
      <c r="K4" s="45"/>
      <c r="L4" s="2"/>
      <c r="M4" s="2"/>
      <c r="N4" s="2"/>
      <c r="O4" s="40" t="s">
        <v>15</v>
      </c>
      <c r="P4" s="41"/>
      <c r="Q4" s="42"/>
      <c r="R4" s="3">
        <v>0.13</v>
      </c>
      <c r="S4" s="2"/>
      <c r="T4" s="2"/>
      <c r="U4" s="2"/>
      <c r="V4" s="2"/>
      <c r="W4" s="2"/>
    </row>
    <row r="5" spans="1:23" ht="21.75" thickBot="1">
      <c r="A5" s="2"/>
      <c r="B5" s="43" t="s">
        <v>29</v>
      </c>
      <c r="C5" s="43"/>
      <c r="D5" s="43"/>
      <c r="E5" s="43"/>
      <c r="F5" s="43"/>
      <c r="G5" s="43"/>
      <c r="H5" s="2"/>
      <c r="I5" s="43" t="s">
        <v>30</v>
      </c>
      <c r="J5" s="43"/>
      <c r="K5" s="43"/>
      <c r="L5" s="43"/>
      <c r="M5" s="2"/>
      <c r="N5" s="2"/>
      <c r="O5" s="2"/>
      <c r="P5" s="2"/>
      <c r="Q5" s="2"/>
      <c r="R5" s="36" t="s">
        <v>31</v>
      </c>
      <c r="S5" s="36"/>
      <c r="T5" s="36"/>
      <c r="U5" s="36"/>
      <c r="V5" s="2"/>
      <c r="W5" s="2"/>
    </row>
    <row r="6" spans="1:23" ht="96" customHeight="1" thickBot="1">
      <c r="A6" s="12" t="s">
        <v>0</v>
      </c>
      <c r="B6" s="13" t="s">
        <v>1</v>
      </c>
      <c r="C6" s="13" t="s">
        <v>3</v>
      </c>
      <c r="D6" s="13" t="s">
        <v>2</v>
      </c>
      <c r="E6" s="13" t="s">
        <v>13</v>
      </c>
      <c r="F6" s="13" t="s">
        <v>14</v>
      </c>
      <c r="G6" s="13" t="s">
        <v>4</v>
      </c>
      <c r="H6" s="13" t="s">
        <v>5</v>
      </c>
      <c r="I6" s="13" t="s">
        <v>10</v>
      </c>
      <c r="J6" s="13" t="s">
        <v>26</v>
      </c>
      <c r="K6" s="13" t="s">
        <v>27</v>
      </c>
      <c r="L6" s="13" t="s">
        <v>28</v>
      </c>
      <c r="M6" s="13" t="s">
        <v>6</v>
      </c>
      <c r="N6" s="13" t="s">
        <v>7</v>
      </c>
      <c r="O6" s="13" t="s">
        <v>8</v>
      </c>
      <c r="P6" s="13" t="s">
        <v>9</v>
      </c>
      <c r="Q6" s="13" t="s">
        <v>32</v>
      </c>
      <c r="R6" s="13" t="s">
        <v>11</v>
      </c>
      <c r="S6" s="13" t="s">
        <v>12</v>
      </c>
      <c r="T6" s="14" t="s">
        <v>16</v>
      </c>
      <c r="U6" s="14" t="s">
        <v>17</v>
      </c>
      <c r="V6" s="14" t="s">
        <v>20</v>
      </c>
      <c r="W6" s="15" t="s">
        <v>21</v>
      </c>
    </row>
    <row r="7" spans="1:23" ht="42.75" customHeight="1">
      <c r="A7" s="8">
        <v>1</v>
      </c>
      <c r="B7" s="9">
        <v>39722</v>
      </c>
      <c r="C7" s="44">
        <v>222250</v>
      </c>
      <c r="D7" s="44">
        <f>C7*12%</f>
        <v>26670</v>
      </c>
      <c r="E7" s="44">
        <f>+D7*0.02</f>
        <v>533.4</v>
      </c>
      <c r="F7" s="44">
        <f>D7*0.01</f>
        <v>266.7</v>
      </c>
      <c r="G7" s="44">
        <f>SUM(D7:F7)</f>
        <v>27470.100000000002</v>
      </c>
      <c r="H7" s="44">
        <v>27470</v>
      </c>
      <c r="I7" s="28">
        <f t="shared" ref="I7:I8" si="0">+G7-H7</f>
        <v>0.10000000000218279</v>
      </c>
      <c r="J7" s="28">
        <f t="shared" ref="J7:J8" si="1">+I7*97.072%</f>
        <v>9.707200000211888E-2</v>
      </c>
      <c r="K7" s="28">
        <f t="shared" ref="K7:K8" si="2">+(I7)*1.952%</f>
        <v>1.952000000042608E-3</v>
      </c>
      <c r="L7" s="28">
        <f t="shared" ref="L7:L8" si="3">+I7*0.976%</f>
        <v>9.7600000002130401E-4</v>
      </c>
      <c r="M7" s="10">
        <v>39757</v>
      </c>
      <c r="N7" s="10">
        <f>M7</f>
        <v>39757</v>
      </c>
      <c r="O7" s="11">
        <f t="shared" ref="O7:O8" si="4">N7-M7</f>
        <v>0</v>
      </c>
      <c r="P7" s="11">
        <f>+I7*R4*O7/356</f>
        <v>0</v>
      </c>
      <c r="Q7" s="11">
        <f>+I7+P7</f>
        <v>0.10000000000218279</v>
      </c>
      <c r="R7" s="16">
        <v>136115</v>
      </c>
      <c r="S7" s="18">
        <v>39757</v>
      </c>
      <c r="T7" s="17" t="s">
        <v>18</v>
      </c>
      <c r="U7" s="18">
        <v>39764</v>
      </c>
      <c r="V7" s="16" t="s">
        <v>44</v>
      </c>
      <c r="W7" s="17" t="s">
        <v>22</v>
      </c>
    </row>
    <row r="8" spans="1:23" ht="42.75" customHeight="1">
      <c r="A8" s="5">
        <v>2</v>
      </c>
      <c r="B8" s="4">
        <v>39753</v>
      </c>
      <c r="C8" s="44">
        <v>325648</v>
      </c>
      <c r="D8" s="44">
        <f t="shared" ref="D8:D12" si="5">C8*12%</f>
        <v>39077.760000000002</v>
      </c>
      <c r="E8" s="44">
        <f t="shared" ref="E8:E12" si="6">+D8*0.02</f>
        <v>781.55520000000001</v>
      </c>
      <c r="F8" s="44">
        <f t="shared" ref="F8:F12" si="7">D8*0.01</f>
        <v>390.77760000000001</v>
      </c>
      <c r="G8" s="44">
        <f t="shared" ref="G8:G12" si="8">SUM(D8:F8)</f>
        <v>40250.092800000006</v>
      </c>
      <c r="H8" s="29">
        <v>40250</v>
      </c>
      <c r="I8" s="28">
        <f t="shared" si="0"/>
        <v>9.2800000005809125E-2</v>
      </c>
      <c r="J8" s="28">
        <f t="shared" si="1"/>
        <v>9.0082816005639041E-2</v>
      </c>
      <c r="K8" s="28">
        <f t="shared" si="2"/>
        <v>1.811456000113394E-3</v>
      </c>
      <c r="L8" s="28">
        <f t="shared" si="3"/>
        <v>9.0572800005669701E-4</v>
      </c>
      <c r="M8" s="6">
        <v>39787</v>
      </c>
      <c r="N8" s="6">
        <f t="shared" ref="N8:N11" si="9">M8</f>
        <v>39787</v>
      </c>
      <c r="O8" s="7">
        <f t="shared" si="4"/>
        <v>0</v>
      </c>
      <c r="P8" s="7">
        <f>+I8*R4*O8/356</f>
        <v>0</v>
      </c>
      <c r="Q8" s="7">
        <f t="shared" ref="Q8:Q11" si="10">+I8+P8</f>
        <v>9.2800000005809125E-2</v>
      </c>
      <c r="R8" s="19">
        <v>194605</v>
      </c>
      <c r="S8" s="21">
        <v>39787</v>
      </c>
      <c r="T8" s="20" t="s">
        <v>19</v>
      </c>
      <c r="U8" s="21">
        <v>39794</v>
      </c>
      <c r="V8" s="16" t="s">
        <v>44</v>
      </c>
      <c r="W8" s="22" t="s">
        <v>23</v>
      </c>
    </row>
    <row r="9" spans="1:23" ht="34.5" customHeight="1">
      <c r="A9" s="5">
        <v>3</v>
      </c>
      <c r="B9" s="4">
        <v>39783</v>
      </c>
      <c r="C9" s="44">
        <v>333254</v>
      </c>
      <c r="D9" s="44">
        <f t="shared" si="5"/>
        <v>39990.479999999996</v>
      </c>
      <c r="E9" s="44">
        <f t="shared" si="6"/>
        <v>799.80959999999993</v>
      </c>
      <c r="F9" s="44">
        <f t="shared" si="7"/>
        <v>399.90479999999997</v>
      </c>
      <c r="G9" s="44">
        <f t="shared" si="8"/>
        <v>41190.194399999993</v>
      </c>
      <c r="H9" s="29">
        <v>41190</v>
      </c>
      <c r="I9" s="28">
        <v>20000</v>
      </c>
      <c r="J9" s="28">
        <f>+I9*97.072%</f>
        <v>19414.400000000001</v>
      </c>
      <c r="K9" s="28">
        <f>+(I9)*1.952%</f>
        <v>390.4</v>
      </c>
      <c r="L9" s="28">
        <f>+I9*0.976%</f>
        <v>195.2</v>
      </c>
      <c r="M9" s="6">
        <v>39818</v>
      </c>
      <c r="N9" s="6">
        <v>39928</v>
      </c>
      <c r="O9" s="7">
        <f>N9-M9</f>
        <v>110</v>
      </c>
      <c r="P9" s="7">
        <f>+I9*R4*O9/355</f>
        <v>805.63380281690138</v>
      </c>
      <c r="Q9" s="7">
        <f t="shared" si="10"/>
        <v>20805.633802816901</v>
      </c>
      <c r="R9" s="30" t="s">
        <v>33</v>
      </c>
      <c r="S9" s="31" t="s">
        <v>34</v>
      </c>
      <c r="T9" s="32" t="s">
        <v>39</v>
      </c>
      <c r="U9" s="31" t="s">
        <v>40</v>
      </c>
      <c r="V9" s="16" t="s">
        <v>44</v>
      </c>
      <c r="W9" s="22" t="s">
        <v>23</v>
      </c>
    </row>
    <row r="10" spans="1:23" ht="42.75" customHeight="1">
      <c r="A10" s="5">
        <v>4</v>
      </c>
      <c r="B10" s="4">
        <v>39814</v>
      </c>
      <c r="C10" s="44">
        <v>548976</v>
      </c>
      <c r="D10" s="44">
        <f t="shared" si="5"/>
        <v>65877.119999999995</v>
      </c>
      <c r="E10" s="44">
        <f t="shared" si="6"/>
        <v>1317.5424</v>
      </c>
      <c r="F10" s="44">
        <f t="shared" si="7"/>
        <v>658.77120000000002</v>
      </c>
      <c r="G10" s="44">
        <f t="shared" ref="G10:G12" si="11">SUM(D10:F10)</f>
        <v>67853.433600000004</v>
      </c>
      <c r="H10" s="29">
        <v>67853</v>
      </c>
      <c r="I10" s="28">
        <f t="shared" ref="I10:I12" si="12">+G10-H10</f>
        <v>0.43360000000393484</v>
      </c>
      <c r="J10" s="28">
        <f t="shared" ref="J10:J11" si="13">+I10*97.072%</f>
        <v>0.42090419200381962</v>
      </c>
      <c r="K10" s="28">
        <f t="shared" ref="K10:K11" si="14">+(I10)*1.952%</f>
        <v>8.4638720000768074E-3</v>
      </c>
      <c r="L10" s="28">
        <f t="shared" ref="L10:L11" si="15">+I10*0.976%</f>
        <v>4.2319360000384037E-3</v>
      </c>
      <c r="M10" s="6">
        <v>39849</v>
      </c>
      <c r="N10" s="6">
        <f t="shared" si="9"/>
        <v>39849</v>
      </c>
      <c r="O10" s="7">
        <f t="shared" ref="O10:O12" si="16">N10-M10</f>
        <v>0</v>
      </c>
      <c r="P10" s="7">
        <f>+I10*R4*O10/356</f>
        <v>0</v>
      </c>
      <c r="Q10" s="7">
        <f t="shared" si="10"/>
        <v>0.43360000000393484</v>
      </c>
      <c r="R10" s="19">
        <v>194649</v>
      </c>
      <c r="S10" s="21">
        <v>39847</v>
      </c>
      <c r="T10" s="20" t="s">
        <v>24</v>
      </c>
      <c r="U10" s="21">
        <v>39854</v>
      </c>
      <c r="V10" s="16" t="s">
        <v>44</v>
      </c>
      <c r="W10" s="22" t="s">
        <v>23</v>
      </c>
    </row>
    <row r="11" spans="1:23" ht="42.75" customHeight="1">
      <c r="A11" s="5">
        <v>5</v>
      </c>
      <c r="B11" s="4">
        <v>39845</v>
      </c>
      <c r="C11" s="44">
        <v>125463</v>
      </c>
      <c r="D11" s="44">
        <f t="shared" si="5"/>
        <v>15055.56</v>
      </c>
      <c r="E11" s="44">
        <f t="shared" si="6"/>
        <v>301.1112</v>
      </c>
      <c r="F11" s="44">
        <f t="shared" si="7"/>
        <v>150.5556</v>
      </c>
      <c r="G11" s="44">
        <f t="shared" si="11"/>
        <v>15507.226799999999</v>
      </c>
      <c r="H11" s="29">
        <v>15507</v>
      </c>
      <c r="I11" s="28">
        <f t="shared" si="12"/>
        <v>0.22679999999854772</v>
      </c>
      <c r="J11" s="28">
        <f t="shared" si="13"/>
        <v>0.22015929599859024</v>
      </c>
      <c r="K11" s="28">
        <f t="shared" si="14"/>
        <v>4.4271359999716511E-3</v>
      </c>
      <c r="L11" s="28">
        <f t="shared" si="15"/>
        <v>2.2135679999858255E-3</v>
      </c>
      <c r="M11" s="6">
        <v>39877</v>
      </c>
      <c r="N11" s="6">
        <f t="shared" si="9"/>
        <v>39877</v>
      </c>
      <c r="O11" s="7">
        <f t="shared" si="16"/>
        <v>0</v>
      </c>
      <c r="P11" s="7">
        <f>+I11*R4*O11/356</f>
        <v>0</v>
      </c>
      <c r="Q11" s="7">
        <f t="shared" si="10"/>
        <v>0.22679999999854772</v>
      </c>
      <c r="R11" s="19">
        <v>174715</v>
      </c>
      <c r="S11" s="21">
        <v>39875</v>
      </c>
      <c r="T11" s="20" t="s">
        <v>25</v>
      </c>
      <c r="U11" s="21">
        <v>39881</v>
      </c>
      <c r="V11" s="16" t="s">
        <v>44</v>
      </c>
      <c r="W11" s="22" t="s">
        <v>23</v>
      </c>
    </row>
    <row r="12" spans="1:23" ht="42.75" customHeight="1">
      <c r="A12" s="5">
        <v>6</v>
      </c>
      <c r="B12" s="4">
        <v>39873</v>
      </c>
      <c r="C12" s="44">
        <v>588796</v>
      </c>
      <c r="D12" s="44">
        <f t="shared" si="5"/>
        <v>70655.520000000004</v>
      </c>
      <c r="E12" s="44">
        <f t="shared" si="6"/>
        <v>1413.1104</v>
      </c>
      <c r="F12" s="44">
        <f t="shared" si="7"/>
        <v>706.55520000000001</v>
      </c>
      <c r="G12" s="44">
        <f t="shared" si="11"/>
        <v>72775.185600000012</v>
      </c>
      <c r="H12" s="29">
        <v>50000</v>
      </c>
      <c r="I12" s="28">
        <f t="shared" si="12"/>
        <v>22775.185600000012</v>
      </c>
      <c r="J12" s="29">
        <f>+I12*97.085%</f>
        <v>22111.288939760012</v>
      </c>
      <c r="K12" s="29">
        <f>+(I12)*1.943%</f>
        <v>442.5218562080002</v>
      </c>
      <c r="L12" s="29">
        <f>+I12*0.972%</f>
        <v>221.3748040320001</v>
      </c>
      <c r="M12" s="6">
        <v>39903</v>
      </c>
      <c r="N12" s="6">
        <v>39928</v>
      </c>
      <c r="O12" s="7">
        <f t="shared" si="16"/>
        <v>25</v>
      </c>
      <c r="P12" s="7">
        <f>+I12*R4*O12/356</f>
        <v>207.91953146067428</v>
      </c>
      <c r="Q12" s="7">
        <f>+I12+P12</f>
        <v>22983.105131460685</v>
      </c>
      <c r="R12" s="33" t="s">
        <v>35</v>
      </c>
      <c r="S12" s="34" t="s">
        <v>36</v>
      </c>
      <c r="T12" s="35" t="s">
        <v>37</v>
      </c>
      <c r="U12" s="34" t="s">
        <v>41</v>
      </c>
      <c r="V12" s="16" t="s">
        <v>44</v>
      </c>
      <c r="W12" s="22" t="s">
        <v>23</v>
      </c>
    </row>
    <row r="13" spans="1:23" ht="42" customHeight="1" thickBot="1">
      <c r="A13" s="37" t="s">
        <v>38</v>
      </c>
      <c r="B13" s="38"/>
      <c r="C13" s="23">
        <f>SUM(C7:C12)</f>
        <v>2144387</v>
      </c>
      <c r="D13" s="23"/>
      <c r="E13" s="23"/>
      <c r="F13" s="24"/>
      <c r="G13" s="25">
        <f>SUM(G7:G12)</f>
        <v>265046.23320000002</v>
      </c>
      <c r="H13" s="25"/>
      <c r="I13" s="25"/>
      <c r="J13" s="25"/>
      <c r="K13" s="25"/>
      <c r="L13" s="25"/>
      <c r="M13" s="25"/>
      <c r="N13" s="25"/>
      <c r="O13" s="25"/>
      <c r="P13" s="25">
        <f>SUM(P7:P12)</f>
        <v>1013.5533342775757</v>
      </c>
      <c r="Q13" s="25">
        <f>SUM(Q7:Q12)</f>
        <v>43789.592134277598</v>
      </c>
      <c r="R13" s="26"/>
      <c r="S13" s="27"/>
      <c r="T13" s="26"/>
      <c r="U13" s="26"/>
      <c r="V13" s="26"/>
      <c r="W13" s="26"/>
    </row>
    <row r="14" spans="1:23" ht="21.75" thickTop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6"/>
      <c r="S14" s="16"/>
      <c r="T14" s="16"/>
      <c r="U14" s="16"/>
      <c r="V14" s="16"/>
      <c r="W14" s="16"/>
    </row>
  </sheetData>
  <mergeCells count="7">
    <mergeCell ref="R5:U5"/>
    <mergeCell ref="A13:B13"/>
    <mergeCell ref="C3:P3"/>
    <mergeCell ref="O4:Q4"/>
    <mergeCell ref="B5:G5"/>
    <mergeCell ref="I5:L5"/>
    <mergeCell ref="F4:K4"/>
  </mergeCells>
  <pageMargins left="0.70866141732283472" right="0.70866141732283472" top="0.74803149606299213" bottom="0.74803149606299213" header="0.31496062992125984" footer="0.31496062992125984"/>
  <pageSetup paperSize="9" scale="3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 08-MARCH 09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2009-04-30T11:00:10Z</dcterms:modified>
</cp:coreProperties>
</file>