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defaultThemeVersion="124226"/>
  <mc:AlternateContent xmlns:mc="http://schemas.openxmlformats.org/markup-compatibility/2006">
    <mc:Choice Requires="x15">
      <x15ac:absPath xmlns:x15ac="http://schemas.microsoft.com/office/spreadsheetml/2010/11/ac" url="C:\Users\dell\Desktop\DESKTOP TO COPY\"/>
    </mc:Choice>
  </mc:AlternateContent>
  <xr:revisionPtr revIDLastSave="0" documentId="13_ncr:1_{ED2C6DCB-F9D9-4439-B98F-55BD06BD1025}" xr6:coauthVersionLast="45" xr6:coauthVersionMax="45" xr10:uidLastSave="{00000000-0000-0000-0000-000000000000}"/>
  <bookViews>
    <workbookView xWindow="-132" yWindow="-132" windowWidth="23304" windowHeight="12624" xr2:uid="{00000000-000D-0000-FFFF-FFFF00000000}"/>
  </bookViews>
  <sheets>
    <sheet name="INTRO" sheetId="13102" r:id="rId1"/>
    <sheet name="DATA" sheetId="13101" r:id="rId2"/>
    <sheet name="RATE WISE" sheetId="13095" r:id="rId3"/>
    <sheet name="ITC BIFURCATION" sheetId="13096" r:id="rId4"/>
    <sheet name="INTEREST" sheetId="13094" r:id="rId5"/>
    <sheet name="RECONCILE" sheetId="13093" r:id="rId6"/>
    <sheet name="SUMMARY" sheetId="13098" r:id="rId7"/>
    <sheet name="CROSS CHECK" sheetId="13099" r:id="rId8"/>
  </sheets>
  <definedNames>
    <definedName name="_xlnm.Print_Area" localSheetId="7">'CROSS CHECK'!$A$1:$C$73</definedName>
    <definedName name="_xlnm.Print_Area" localSheetId="4">INTEREST!$A$1:$N$24</definedName>
    <definedName name="_xlnm.Print_Area" localSheetId="3">'ITC BIFURCATION'!$A$1:$F$27</definedName>
    <definedName name="_xlnm.Print_Area" localSheetId="2">'RATE WISE'!$A$1:$U$30</definedName>
    <definedName name="_xlnm.Print_Area" localSheetId="5">RECONCILE!$A$1:$AA$121</definedName>
    <definedName name="_xlnm.Print_Area" localSheetId="6">SUMMARY!$A$1:$I$44</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13" i="13095" l="1"/>
  <c r="I11" i="13095"/>
  <c r="L13" i="13095" l="1"/>
  <c r="L11" i="13095"/>
  <c r="L67" i="13101" l="1"/>
  <c r="E24" i="13095"/>
  <c r="E25" i="13096" l="1"/>
  <c r="E24" i="13096"/>
  <c r="E23" i="13096"/>
  <c r="E22" i="13096"/>
  <c r="E21" i="13096"/>
  <c r="E20" i="13096"/>
  <c r="E19" i="13096"/>
  <c r="E18" i="13096"/>
  <c r="E17" i="13096"/>
  <c r="E16" i="13096"/>
  <c r="E15" i="13096"/>
  <c r="E14" i="13096"/>
  <c r="E13" i="13096"/>
  <c r="E12" i="13096"/>
  <c r="E11" i="13096"/>
  <c r="E10" i="13096"/>
  <c r="E9" i="13096"/>
  <c r="L56" i="13101" l="1"/>
  <c r="L57" i="13101"/>
  <c r="L58" i="13101"/>
  <c r="L59" i="13101"/>
  <c r="L60" i="13101"/>
  <c r="L61" i="13101"/>
  <c r="L62" i="13101"/>
  <c r="L63" i="13101"/>
  <c r="L64" i="13101"/>
  <c r="L65" i="13101"/>
  <c r="L66" i="13101"/>
  <c r="I8" i="13101"/>
  <c r="I9" i="13101"/>
  <c r="I119" i="13093"/>
  <c r="I12" i="13101"/>
  <c r="H84" i="13093"/>
  <c r="G84" i="13093"/>
  <c r="F84" i="13093"/>
  <c r="E84" i="13093"/>
  <c r="H83" i="13093"/>
  <c r="E83" i="13093"/>
  <c r="H82" i="13093"/>
  <c r="E82" i="13093"/>
  <c r="H81" i="13093"/>
  <c r="E81" i="13093"/>
  <c r="H80" i="13093"/>
  <c r="G80" i="13093"/>
  <c r="F80" i="13093"/>
  <c r="E80" i="13093"/>
  <c r="H79" i="13093"/>
  <c r="G79" i="13093"/>
  <c r="F79" i="13093"/>
  <c r="E79" i="13093"/>
  <c r="H78" i="13093"/>
  <c r="F78" i="13093"/>
  <c r="E78" i="13093"/>
  <c r="H77" i="13093"/>
  <c r="G77" i="13093"/>
  <c r="F77" i="13093"/>
  <c r="E77" i="13093"/>
  <c r="H76" i="13093"/>
  <c r="G76" i="13093"/>
  <c r="F76" i="13093"/>
  <c r="E76" i="13093"/>
  <c r="H75" i="13093"/>
  <c r="F75" i="13093"/>
  <c r="E75" i="13093"/>
  <c r="H74" i="13093"/>
  <c r="G74" i="13093"/>
  <c r="F74" i="13093"/>
  <c r="E74" i="13093"/>
  <c r="H73" i="13093"/>
  <c r="F73" i="13093"/>
  <c r="E73" i="13093"/>
  <c r="E21" i="13094"/>
  <c r="D21" i="13094"/>
  <c r="C21" i="13094"/>
  <c r="B21" i="13094"/>
  <c r="L21" i="13094" s="1"/>
  <c r="E20" i="13094"/>
  <c r="B20" i="13094"/>
  <c r="E19" i="13094"/>
  <c r="B19" i="13094"/>
  <c r="E18" i="13094"/>
  <c r="B18" i="13094"/>
  <c r="E17" i="13094"/>
  <c r="D17" i="13094"/>
  <c r="C17" i="13094"/>
  <c r="B17" i="13094"/>
  <c r="L17" i="13094" s="1"/>
  <c r="E16" i="13094"/>
  <c r="D16" i="13094"/>
  <c r="C16" i="13094"/>
  <c r="B16" i="13094"/>
  <c r="L16" i="13094" s="1"/>
  <c r="E15" i="13094"/>
  <c r="C15" i="13094"/>
  <c r="B15" i="13094"/>
  <c r="L15" i="13094" s="1"/>
  <c r="E14" i="13094"/>
  <c r="D14" i="13094"/>
  <c r="C14" i="13094"/>
  <c r="B14" i="13094"/>
  <c r="L14" i="13094" s="1"/>
  <c r="E13" i="13094"/>
  <c r="D13" i="13094"/>
  <c r="C13" i="13094"/>
  <c r="B13" i="13094"/>
  <c r="L13" i="13094" s="1"/>
  <c r="E12" i="13094"/>
  <c r="C12" i="13094"/>
  <c r="B12" i="13094"/>
  <c r="L12" i="13094" s="1"/>
  <c r="E11" i="13094"/>
  <c r="D11" i="13094"/>
  <c r="C11" i="13094"/>
  <c r="B11" i="13094"/>
  <c r="L11" i="13094" s="1"/>
  <c r="E10" i="13094"/>
  <c r="C10" i="13094"/>
  <c r="B10" i="13094"/>
  <c r="L10" i="13094" s="1"/>
  <c r="M83" i="13101"/>
  <c r="L83" i="13101"/>
  <c r="M76" i="13101"/>
  <c r="L76" i="13101"/>
  <c r="M87" i="13101"/>
  <c r="L87" i="13101"/>
  <c r="M86" i="13101"/>
  <c r="L86" i="13101"/>
  <c r="M85" i="13101"/>
  <c r="L85" i="13101"/>
  <c r="M79" i="13101"/>
  <c r="M77" i="13101"/>
  <c r="D88" i="13101"/>
  <c r="F84" i="13101"/>
  <c r="G81" i="13093" s="1"/>
  <c r="E84" i="13101"/>
  <c r="F81" i="13093" s="1"/>
  <c r="F81" i="13101"/>
  <c r="G78" i="13093" s="1"/>
  <c r="F76" i="13101"/>
  <c r="G73" i="13093" s="1"/>
  <c r="B22" i="13094" l="1"/>
  <c r="D10" i="13094"/>
  <c r="C18" i="13094"/>
  <c r="D15" i="13094"/>
  <c r="D18" i="13094"/>
  <c r="F10" i="13094" l="1"/>
  <c r="F86" i="13101"/>
  <c r="E86" i="13101"/>
  <c r="F85" i="13101"/>
  <c r="E85" i="13101"/>
  <c r="F78" i="13101"/>
  <c r="L30" i="13101"/>
  <c r="L21" i="13101"/>
  <c r="K20" i="13101"/>
  <c r="I30" i="13101"/>
  <c r="I21" i="13101"/>
  <c r="I20" i="13101"/>
  <c r="E21" i="13101"/>
  <c r="D20" i="13101"/>
  <c r="B21" i="13101"/>
  <c r="B20" i="13101"/>
  <c r="G75" i="13093" l="1"/>
  <c r="D12" i="13094"/>
  <c r="F88" i="13101"/>
  <c r="G83" i="13093"/>
  <c r="D20" i="13094"/>
  <c r="G82" i="13093"/>
  <c r="D19" i="13094"/>
  <c r="E88" i="13101"/>
  <c r="F82" i="13093"/>
  <c r="C19" i="13094"/>
  <c r="F83" i="13093"/>
  <c r="C20" i="13094"/>
  <c r="T32" i="13101"/>
  <c r="M32" i="13101"/>
  <c r="M50" i="13101"/>
  <c r="F50" i="13101"/>
  <c r="M68" i="13101"/>
  <c r="F68" i="13101"/>
  <c r="C22" i="13094" l="1"/>
  <c r="D22" i="13094"/>
  <c r="Q66" i="13093"/>
  <c r="P66" i="13093"/>
  <c r="O66" i="13093"/>
  <c r="N66" i="13093"/>
  <c r="H66" i="13093"/>
  <c r="G66" i="13093"/>
  <c r="F66" i="13093"/>
  <c r="E66" i="13093"/>
  <c r="A66" i="13093"/>
  <c r="H28" i="13093"/>
  <c r="H47" i="13093" s="1"/>
  <c r="Z47" i="13093" s="1"/>
  <c r="F28" i="13093"/>
  <c r="X28" i="13093" s="1"/>
  <c r="E28" i="13093"/>
  <c r="E47" i="13093" s="1"/>
  <c r="W47" i="13093" s="1"/>
  <c r="F32" i="13101"/>
  <c r="G28" i="13093" s="1"/>
  <c r="Y28" i="13093" s="1"/>
  <c r="C28" i="13093"/>
  <c r="U28" i="13093" s="1"/>
  <c r="B28" i="13093"/>
  <c r="A28" i="13093"/>
  <c r="A47" i="13093" s="1"/>
  <c r="E9" i="13094"/>
  <c r="D9" i="13094"/>
  <c r="C9" i="13094"/>
  <c r="B9" i="13094"/>
  <c r="A21" i="13094"/>
  <c r="A20" i="13094"/>
  <c r="A19" i="13094"/>
  <c r="A18" i="13094"/>
  <c r="A17" i="13094"/>
  <c r="A16" i="13094"/>
  <c r="A15" i="13094"/>
  <c r="A14" i="13094"/>
  <c r="A13" i="13094"/>
  <c r="A12" i="13094"/>
  <c r="A11" i="13094"/>
  <c r="A10" i="13094"/>
  <c r="A9" i="13094"/>
  <c r="N69" i="13101"/>
  <c r="L69" i="13101"/>
  <c r="U33" i="13101"/>
  <c r="S33" i="13101"/>
  <c r="R33" i="13101"/>
  <c r="Q33" i="13101"/>
  <c r="P33" i="13101"/>
  <c r="N33" i="13101"/>
  <c r="J33" i="13101"/>
  <c r="G69" i="13101"/>
  <c r="E69" i="13101"/>
  <c r="G51" i="13101"/>
  <c r="E51" i="13101"/>
  <c r="G33" i="13101"/>
  <c r="E33" i="13101"/>
  <c r="D33" i="13101"/>
  <c r="C33" i="13101"/>
  <c r="B33" i="13101"/>
  <c r="Y66" i="13093" l="1"/>
  <c r="D28" i="13093"/>
  <c r="D47" i="13093" s="1"/>
  <c r="V47" i="13093" s="1"/>
  <c r="R66" i="13093"/>
  <c r="X66" i="13093"/>
  <c r="Z66" i="13093"/>
  <c r="I66" i="13093"/>
  <c r="W66" i="13093"/>
  <c r="C47" i="13093"/>
  <c r="U47" i="13093" s="1"/>
  <c r="F47" i="13093"/>
  <c r="X47" i="13093" s="1"/>
  <c r="G47" i="13093"/>
  <c r="Y47" i="13093" s="1"/>
  <c r="B47" i="13093"/>
  <c r="T47" i="13093" s="1"/>
  <c r="I28" i="13093"/>
  <c r="I47" i="13093" s="1"/>
  <c r="T28" i="13093"/>
  <c r="V28" i="13093"/>
  <c r="W28" i="13093"/>
  <c r="Z28" i="13093"/>
  <c r="A4" i="13094"/>
  <c r="A3" i="13094"/>
  <c r="A2" i="13094"/>
  <c r="A1" i="13094"/>
  <c r="A4" i="13096"/>
  <c r="A3" i="13096"/>
  <c r="A2" i="13096"/>
  <c r="A1" i="13096"/>
  <c r="A4" i="13095"/>
  <c r="A3" i="13095"/>
  <c r="A2" i="13095"/>
  <c r="A1" i="13095"/>
  <c r="A9" i="13099"/>
  <c r="A10" i="13099" s="1"/>
  <c r="A11" i="13099" s="1"/>
  <c r="A12" i="13099" s="1"/>
  <c r="A13" i="13099" s="1"/>
  <c r="A14" i="13099" s="1"/>
  <c r="A15" i="13099" s="1"/>
  <c r="A16" i="13099" s="1"/>
  <c r="A17" i="13099" s="1"/>
  <c r="A18" i="13099" s="1"/>
  <c r="A19" i="13099" s="1"/>
  <c r="A20" i="13099" s="1"/>
  <c r="A21" i="13099" s="1"/>
  <c r="A22" i="13099" s="1"/>
  <c r="A23" i="13099" s="1"/>
  <c r="A24" i="13099" s="1"/>
  <c r="A25" i="13099" s="1"/>
  <c r="A26" i="13099" s="1"/>
  <c r="A27" i="13099" s="1"/>
  <c r="A28" i="13099" s="1"/>
  <c r="A29" i="13099" s="1"/>
  <c r="A30" i="13099" s="1"/>
  <c r="E31" i="13098"/>
  <c r="C31" i="13098"/>
  <c r="B31" i="13098"/>
  <c r="F71" i="13101"/>
  <c r="D31" i="13098" s="1"/>
  <c r="I120" i="13093"/>
  <c r="I110" i="13093"/>
  <c r="I108" i="13093"/>
  <c r="Q84" i="13093"/>
  <c r="P84" i="13093"/>
  <c r="O84" i="13093"/>
  <c r="N84" i="13093"/>
  <c r="Q83" i="13093"/>
  <c r="P83" i="13093"/>
  <c r="O83" i="13093"/>
  <c r="N83" i="13093"/>
  <c r="Q82" i="13093"/>
  <c r="P82" i="13093"/>
  <c r="O82" i="13093"/>
  <c r="N82" i="13093"/>
  <c r="Q81" i="13093"/>
  <c r="P81" i="13093"/>
  <c r="O81" i="13093"/>
  <c r="N81" i="13093"/>
  <c r="Q80" i="13093"/>
  <c r="P80" i="13093"/>
  <c r="O80" i="13093"/>
  <c r="N80" i="13093"/>
  <c r="Q79" i="13093"/>
  <c r="P79" i="13093"/>
  <c r="O79" i="13093"/>
  <c r="N79" i="13093"/>
  <c r="Q78" i="13093"/>
  <c r="P78" i="13093"/>
  <c r="O78" i="13093"/>
  <c r="N78" i="13093"/>
  <c r="Q77" i="13093"/>
  <c r="P77" i="13093"/>
  <c r="O77" i="13093"/>
  <c r="N77" i="13093"/>
  <c r="Q76" i="13093"/>
  <c r="P76" i="13093"/>
  <c r="O76" i="13093"/>
  <c r="N76" i="13093"/>
  <c r="Q75" i="13093"/>
  <c r="P75" i="13093"/>
  <c r="O75" i="13093"/>
  <c r="N75" i="13093"/>
  <c r="Q74" i="13093"/>
  <c r="P74" i="13093"/>
  <c r="O74" i="13093"/>
  <c r="N74" i="13093"/>
  <c r="Q73" i="13093"/>
  <c r="P73" i="13093"/>
  <c r="O73" i="13093"/>
  <c r="N73" i="13093"/>
  <c r="Q72" i="13093"/>
  <c r="P72" i="13093"/>
  <c r="O72" i="13093"/>
  <c r="N72" i="13093"/>
  <c r="H72" i="13093"/>
  <c r="G72" i="13093"/>
  <c r="F72" i="13093"/>
  <c r="E72" i="13093"/>
  <c r="A84" i="13093"/>
  <c r="A83" i="13093"/>
  <c r="A82" i="13093"/>
  <c r="A81" i="13093"/>
  <c r="A80" i="13093"/>
  <c r="A79" i="13093"/>
  <c r="A78" i="13093"/>
  <c r="A77" i="13093"/>
  <c r="A76" i="13093"/>
  <c r="A75" i="13093"/>
  <c r="A74" i="13093"/>
  <c r="A73" i="13093"/>
  <c r="A72" i="13093"/>
  <c r="Q46" i="13093"/>
  <c r="O46" i="13093"/>
  <c r="N46" i="13093"/>
  <c r="Q45" i="13093"/>
  <c r="O45" i="13093"/>
  <c r="N45" i="13093"/>
  <c r="Q44" i="13093"/>
  <c r="O44" i="13093"/>
  <c r="N44" i="13093"/>
  <c r="Q43" i="13093"/>
  <c r="O43" i="13093"/>
  <c r="N43" i="13093"/>
  <c r="Q42" i="13093"/>
  <c r="O42" i="13093"/>
  <c r="N42" i="13093"/>
  <c r="Q41" i="13093"/>
  <c r="O41" i="13093"/>
  <c r="N41" i="13093"/>
  <c r="Q40" i="13093"/>
  <c r="O40" i="13093"/>
  <c r="N40" i="13093"/>
  <c r="Q39" i="13093"/>
  <c r="O39" i="13093"/>
  <c r="N39" i="13093"/>
  <c r="Q38" i="13093"/>
  <c r="O38" i="13093"/>
  <c r="N38" i="13093"/>
  <c r="Q37" i="13093"/>
  <c r="O37" i="13093"/>
  <c r="N37" i="13093"/>
  <c r="Q36" i="13093"/>
  <c r="O36" i="13093"/>
  <c r="N36" i="13093"/>
  <c r="L46" i="13093"/>
  <c r="K46" i="13093"/>
  <c r="L45" i="13093"/>
  <c r="K45" i="13093"/>
  <c r="L44" i="13093"/>
  <c r="K44" i="13093"/>
  <c r="L43" i="13093"/>
  <c r="K43" i="13093"/>
  <c r="L42" i="13093"/>
  <c r="K42" i="13093"/>
  <c r="L41" i="13093"/>
  <c r="K41" i="13093"/>
  <c r="L40" i="13093"/>
  <c r="K40" i="13093"/>
  <c r="L39" i="13093"/>
  <c r="K39" i="13093"/>
  <c r="L38" i="13093"/>
  <c r="K38" i="13093"/>
  <c r="L37" i="13093"/>
  <c r="K37" i="13093"/>
  <c r="L36" i="13093"/>
  <c r="K36" i="13093"/>
  <c r="L35" i="13093"/>
  <c r="K35" i="13093"/>
  <c r="Q35" i="13093"/>
  <c r="O35" i="13093"/>
  <c r="N35" i="13093"/>
  <c r="R34" i="13093"/>
  <c r="Q34" i="13093"/>
  <c r="Z34" i="13093" s="1"/>
  <c r="P34" i="13093"/>
  <c r="Y34" i="13093" s="1"/>
  <c r="O34" i="13093"/>
  <c r="X34" i="13093" s="1"/>
  <c r="N34" i="13093"/>
  <c r="W34" i="13093" s="1"/>
  <c r="L34" i="13093"/>
  <c r="U34" i="13093" s="1"/>
  <c r="K34" i="13093"/>
  <c r="T34" i="13093" s="1"/>
  <c r="I34" i="13093"/>
  <c r="D34" i="13093"/>
  <c r="AA34" i="13093"/>
  <c r="V34" i="13093"/>
  <c r="K71" i="13093"/>
  <c r="A71" i="13093"/>
  <c r="K52" i="13093"/>
  <c r="A52" i="13093"/>
  <c r="K14" i="13093"/>
  <c r="B14" i="13093"/>
  <c r="B33" i="13093" s="1"/>
  <c r="A13" i="13093"/>
  <c r="A32" i="13093" s="1"/>
  <c r="A51" i="13093"/>
  <c r="A70" i="13093"/>
  <c r="AA53" i="13093"/>
  <c r="Q53" i="13093"/>
  <c r="Z53" i="13093" s="1"/>
  <c r="P53" i="13093"/>
  <c r="Y53" i="13093" s="1"/>
  <c r="O53" i="13093"/>
  <c r="X53" i="13093" s="1"/>
  <c r="N53" i="13093"/>
  <c r="W53" i="13093" s="1"/>
  <c r="H53" i="13093"/>
  <c r="G53" i="13093"/>
  <c r="F53" i="13093"/>
  <c r="E53" i="13093"/>
  <c r="A65" i="13093"/>
  <c r="A64" i="13093"/>
  <c r="A63" i="13093"/>
  <c r="A62" i="13093"/>
  <c r="A61" i="13093"/>
  <c r="A60" i="13093"/>
  <c r="A59" i="13093"/>
  <c r="A58" i="13093"/>
  <c r="A57" i="13093"/>
  <c r="A56" i="13093"/>
  <c r="A55" i="13093"/>
  <c r="A54" i="13093"/>
  <c r="A53" i="13093"/>
  <c r="AA15" i="13093"/>
  <c r="V15" i="13093"/>
  <c r="Q15" i="13093"/>
  <c r="Z15" i="13093" s="1"/>
  <c r="P15" i="13093"/>
  <c r="Y15" i="13093" s="1"/>
  <c r="O15" i="13093"/>
  <c r="X15" i="13093" s="1"/>
  <c r="N15" i="13093"/>
  <c r="W15" i="13093" s="1"/>
  <c r="L15" i="13093"/>
  <c r="U15" i="13093" s="1"/>
  <c r="K15" i="13093"/>
  <c r="T15" i="13093" s="1"/>
  <c r="H15" i="13093"/>
  <c r="H34" i="13093" s="1"/>
  <c r="G15" i="13093"/>
  <c r="G34" i="13093" s="1"/>
  <c r="F15" i="13093"/>
  <c r="F34" i="13093" s="1"/>
  <c r="E15" i="13093"/>
  <c r="E34" i="13093" s="1"/>
  <c r="C15" i="13093"/>
  <c r="C34" i="13093" s="1"/>
  <c r="B15" i="13093"/>
  <c r="B34" i="13093" s="1"/>
  <c r="A15" i="13093"/>
  <c r="A34" i="13093" s="1"/>
  <c r="Q65" i="13093"/>
  <c r="O65" i="13093"/>
  <c r="N65" i="13093"/>
  <c r="Q64" i="13093"/>
  <c r="O64" i="13093"/>
  <c r="N64" i="13093"/>
  <c r="Q63" i="13093"/>
  <c r="O63" i="13093"/>
  <c r="Q62" i="13093"/>
  <c r="O62" i="13093"/>
  <c r="N62" i="13093"/>
  <c r="Q61" i="13093"/>
  <c r="O61" i="13093"/>
  <c r="Q60" i="13093"/>
  <c r="O60" i="13093"/>
  <c r="N60" i="13093"/>
  <c r="Q59" i="13093"/>
  <c r="O59" i="13093"/>
  <c r="Q58" i="13093"/>
  <c r="O58" i="13093"/>
  <c r="Q57" i="13093"/>
  <c r="O57" i="13093"/>
  <c r="N57" i="13093"/>
  <c r="Q56" i="13093"/>
  <c r="O56" i="13093"/>
  <c r="Q55" i="13093"/>
  <c r="O55" i="13093"/>
  <c r="N55" i="13093"/>
  <c r="Q54" i="13093"/>
  <c r="O54" i="13093"/>
  <c r="N54" i="13093"/>
  <c r="H65" i="13093"/>
  <c r="F65" i="13093"/>
  <c r="E65" i="13093"/>
  <c r="H64" i="13093"/>
  <c r="F64" i="13093"/>
  <c r="E64" i="13093"/>
  <c r="H63" i="13093"/>
  <c r="F63" i="13093"/>
  <c r="E63" i="13093"/>
  <c r="H62" i="13093"/>
  <c r="F62" i="13093"/>
  <c r="E62" i="13093"/>
  <c r="H61" i="13093"/>
  <c r="F61" i="13093"/>
  <c r="H60" i="13093"/>
  <c r="F60" i="13093"/>
  <c r="E60" i="13093"/>
  <c r="H59" i="13093"/>
  <c r="F59" i="13093"/>
  <c r="E59" i="13093"/>
  <c r="H58" i="13093"/>
  <c r="F58" i="13093"/>
  <c r="E58" i="13093"/>
  <c r="H57" i="13093"/>
  <c r="F57" i="13093"/>
  <c r="E57" i="13093"/>
  <c r="H56" i="13093"/>
  <c r="F56" i="13093"/>
  <c r="E56" i="13093"/>
  <c r="H55" i="13093"/>
  <c r="F55" i="13093"/>
  <c r="E55" i="13093"/>
  <c r="H54" i="13093"/>
  <c r="F54" i="13093"/>
  <c r="E54" i="13093"/>
  <c r="Q27" i="13093"/>
  <c r="O27" i="13093"/>
  <c r="L27" i="13093"/>
  <c r="Q26" i="13093"/>
  <c r="O26" i="13093"/>
  <c r="L26" i="13093"/>
  <c r="Q25" i="13093"/>
  <c r="N25" i="13093"/>
  <c r="L25" i="13093"/>
  <c r="Q24" i="13093"/>
  <c r="O24" i="13093"/>
  <c r="N24" i="13093"/>
  <c r="L24" i="13093"/>
  <c r="K24" i="13093"/>
  <c r="Q23" i="13093"/>
  <c r="O23" i="13093"/>
  <c r="N23" i="13093"/>
  <c r="L23" i="13093"/>
  <c r="K23" i="13093"/>
  <c r="Q22" i="13093"/>
  <c r="O22" i="13093"/>
  <c r="N22" i="13093"/>
  <c r="L22" i="13093"/>
  <c r="K22" i="13093"/>
  <c r="Q21" i="13093"/>
  <c r="O21" i="13093"/>
  <c r="N21" i="13093"/>
  <c r="L21" i="13093"/>
  <c r="K21" i="13093"/>
  <c r="Q20" i="13093"/>
  <c r="O20" i="13093"/>
  <c r="N20" i="13093"/>
  <c r="L20" i="13093"/>
  <c r="K20" i="13093"/>
  <c r="Q19" i="13093"/>
  <c r="O19" i="13093"/>
  <c r="N19" i="13093"/>
  <c r="L19" i="13093"/>
  <c r="K19" i="13093"/>
  <c r="Q18" i="13093"/>
  <c r="O18" i="13093"/>
  <c r="N18" i="13093"/>
  <c r="L18" i="13093"/>
  <c r="K18" i="13093"/>
  <c r="Q17" i="13093"/>
  <c r="O17" i="13093"/>
  <c r="N17" i="13093"/>
  <c r="L17" i="13093"/>
  <c r="K17" i="13093"/>
  <c r="Q16" i="13093"/>
  <c r="N16" i="13093"/>
  <c r="L16" i="13093"/>
  <c r="K16" i="13093"/>
  <c r="H27" i="13093"/>
  <c r="H46" i="13093" s="1"/>
  <c r="F27" i="13093"/>
  <c r="F46" i="13093" s="1"/>
  <c r="E27" i="13093"/>
  <c r="E46" i="13093" s="1"/>
  <c r="H26" i="13093"/>
  <c r="H45" i="13093" s="1"/>
  <c r="F26" i="13093"/>
  <c r="F45" i="13093" s="1"/>
  <c r="E26" i="13093"/>
  <c r="E45" i="13093" s="1"/>
  <c r="H25" i="13093"/>
  <c r="H44" i="13093" s="1"/>
  <c r="F25" i="13093"/>
  <c r="F44" i="13093" s="1"/>
  <c r="E25" i="13093"/>
  <c r="E44" i="13093" s="1"/>
  <c r="H24" i="13093"/>
  <c r="H43" i="13093" s="1"/>
  <c r="F24" i="13093"/>
  <c r="F43" i="13093" s="1"/>
  <c r="E24" i="13093"/>
  <c r="E43" i="13093" s="1"/>
  <c r="H23" i="13093"/>
  <c r="H42" i="13093" s="1"/>
  <c r="F23" i="13093"/>
  <c r="F42" i="13093" s="1"/>
  <c r="E23" i="13093"/>
  <c r="E42" i="13093" s="1"/>
  <c r="H22" i="13093"/>
  <c r="H41" i="13093" s="1"/>
  <c r="F22" i="13093"/>
  <c r="F41" i="13093" s="1"/>
  <c r="E22" i="13093"/>
  <c r="E41" i="13093" s="1"/>
  <c r="H21" i="13093"/>
  <c r="H40" i="13093" s="1"/>
  <c r="F21" i="13093"/>
  <c r="F40" i="13093" s="1"/>
  <c r="E21" i="13093"/>
  <c r="E40" i="13093" s="1"/>
  <c r="H20" i="13093"/>
  <c r="H39" i="13093" s="1"/>
  <c r="F20" i="13093"/>
  <c r="F39" i="13093" s="1"/>
  <c r="E20" i="13093"/>
  <c r="E39" i="13093" s="1"/>
  <c r="H19" i="13093"/>
  <c r="H38" i="13093" s="1"/>
  <c r="F19" i="13093"/>
  <c r="F38" i="13093" s="1"/>
  <c r="E19" i="13093"/>
  <c r="E38" i="13093" s="1"/>
  <c r="H18" i="13093"/>
  <c r="H37" i="13093" s="1"/>
  <c r="F18" i="13093"/>
  <c r="F37" i="13093" s="1"/>
  <c r="E18" i="13093"/>
  <c r="E37" i="13093" s="1"/>
  <c r="H17" i="13093"/>
  <c r="H36" i="13093" s="1"/>
  <c r="F17" i="13093"/>
  <c r="F36" i="13093" s="1"/>
  <c r="E17" i="13093"/>
  <c r="E36" i="13093" s="1"/>
  <c r="H16" i="13093"/>
  <c r="H35" i="13093" s="1"/>
  <c r="F16" i="13093"/>
  <c r="F35" i="13093" s="1"/>
  <c r="E16" i="13093"/>
  <c r="E35" i="13093" s="1"/>
  <c r="C27" i="13093"/>
  <c r="C46" i="13093" s="1"/>
  <c r="B27" i="13093"/>
  <c r="B46" i="13093" s="1"/>
  <c r="A27" i="13093"/>
  <c r="A46" i="13093" s="1"/>
  <c r="C26" i="13093"/>
  <c r="C45" i="13093" s="1"/>
  <c r="B26" i="13093"/>
  <c r="B45" i="13093" s="1"/>
  <c r="A26" i="13093"/>
  <c r="A45" i="13093" s="1"/>
  <c r="C25" i="13093"/>
  <c r="C44" i="13093" s="1"/>
  <c r="U44" i="13093" s="1"/>
  <c r="B25" i="13093"/>
  <c r="B44" i="13093" s="1"/>
  <c r="A25" i="13093"/>
  <c r="A44" i="13093" s="1"/>
  <c r="C24" i="13093"/>
  <c r="C43" i="13093" s="1"/>
  <c r="B24" i="13093"/>
  <c r="B43" i="13093" s="1"/>
  <c r="A24" i="13093"/>
  <c r="A43" i="13093" s="1"/>
  <c r="C23" i="13093"/>
  <c r="C42" i="13093" s="1"/>
  <c r="B23" i="13093"/>
  <c r="B42" i="13093" s="1"/>
  <c r="A23" i="13093"/>
  <c r="A42" i="13093" s="1"/>
  <c r="C22" i="13093"/>
  <c r="C41" i="13093" s="1"/>
  <c r="B22" i="13093"/>
  <c r="B41" i="13093" s="1"/>
  <c r="A22" i="13093"/>
  <c r="A41" i="13093" s="1"/>
  <c r="C21" i="13093"/>
  <c r="C40" i="13093" s="1"/>
  <c r="B21" i="13093"/>
  <c r="B40" i="13093" s="1"/>
  <c r="A21" i="13093"/>
  <c r="A40" i="13093" s="1"/>
  <c r="C20" i="13093"/>
  <c r="C39" i="13093" s="1"/>
  <c r="B20" i="13093"/>
  <c r="B39" i="13093" s="1"/>
  <c r="A20" i="13093"/>
  <c r="A39" i="13093" s="1"/>
  <c r="C19" i="13093"/>
  <c r="C38" i="13093" s="1"/>
  <c r="B19" i="13093"/>
  <c r="B38" i="13093" s="1"/>
  <c r="A19" i="13093"/>
  <c r="A38" i="13093" s="1"/>
  <c r="C18" i="13093"/>
  <c r="C37" i="13093" s="1"/>
  <c r="B18" i="13093"/>
  <c r="B37" i="13093" s="1"/>
  <c r="A18" i="13093"/>
  <c r="A37" i="13093" s="1"/>
  <c r="C17" i="13093"/>
  <c r="C36" i="13093" s="1"/>
  <c r="B17" i="13093"/>
  <c r="B36" i="13093" s="1"/>
  <c r="A17" i="13093"/>
  <c r="A36" i="13093" s="1"/>
  <c r="C16" i="13093"/>
  <c r="B16" i="13093"/>
  <c r="A16" i="13093"/>
  <c r="A35" i="13093" s="1"/>
  <c r="I10" i="13093"/>
  <c r="I9" i="13093"/>
  <c r="I8" i="13093"/>
  <c r="T31" i="13101"/>
  <c r="P46" i="13093" s="1"/>
  <c r="T30" i="13101"/>
  <c r="P45" i="13093" s="1"/>
  <c r="T29" i="13101"/>
  <c r="P44" i="13093" s="1"/>
  <c r="T28" i="13101"/>
  <c r="P43" i="13093" s="1"/>
  <c r="T27" i="13101"/>
  <c r="P42" i="13093" s="1"/>
  <c r="T26" i="13101"/>
  <c r="P41" i="13093" s="1"/>
  <c r="T25" i="13101"/>
  <c r="P40" i="13093" s="1"/>
  <c r="T24" i="13101"/>
  <c r="P39" i="13093" s="1"/>
  <c r="T23" i="13101"/>
  <c r="P38" i="13093" s="1"/>
  <c r="T22" i="13101"/>
  <c r="P37" i="13093" s="1"/>
  <c r="T21" i="13101"/>
  <c r="P36" i="13093" s="1"/>
  <c r="T20" i="13101"/>
  <c r="M67" i="13101"/>
  <c r="F67" i="13101"/>
  <c r="M66" i="13101"/>
  <c r="F66" i="13101"/>
  <c r="M65" i="13101"/>
  <c r="F65" i="13101"/>
  <c r="M64" i="13101"/>
  <c r="F64" i="13101"/>
  <c r="M63" i="13101"/>
  <c r="F63" i="13101"/>
  <c r="D69" i="13101"/>
  <c r="M62" i="13101"/>
  <c r="F62" i="13101"/>
  <c r="M61" i="13101"/>
  <c r="F61" i="13101"/>
  <c r="M60" i="13101"/>
  <c r="F60" i="13101"/>
  <c r="M59" i="13101"/>
  <c r="F59" i="13101"/>
  <c r="M58" i="13101"/>
  <c r="F58" i="13101"/>
  <c r="M57" i="13101"/>
  <c r="F57" i="13101"/>
  <c r="M56" i="13101"/>
  <c r="F56" i="13101"/>
  <c r="A4" i="13093"/>
  <c r="A3" i="13093"/>
  <c r="A2" i="13093"/>
  <c r="A1" i="13093"/>
  <c r="N88" i="13101"/>
  <c r="M88" i="13101"/>
  <c r="L88" i="13101"/>
  <c r="K88" i="13101"/>
  <c r="G88" i="13101"/>
  <c r="N51" i="13101"/>
  <c r="L51" i="13101"/>
  <c r="M49" i="13101"/>
  <c r="P65" i="13093" s="1"/>
  <c r="F49" i="13101"/>
  <c r="G65" i="13093" s="1"/>
  <c r="M48" i="13101"/>
  <c r="P64" i="13093" s="1"/>
  <c r="F48" i="13101"/>
  <c r="G64" i="13093" s="1"/>
  <c r="M47" i="13101"/>
  <c r="P63" i="13093" s="1"/>
  <c r="N63" i="13093"/>
  <c r="F47" i="13101"/>
  <c r="G63" i="13093" s="1"/>
  <c r="M46" i="13101"/>
  <c r="P62" i="13093" s="1"/>
  <c r="F46" i="13101"/>
  <c r="G62" i="13093" s="1"/>
  <c r="M45" i="13101"/>
  <c r="P61" i="13093" s="1"/>
  <c r="N61" i="13093"/>
  <c r="F45" i="13101"/>
  <c r="G61" i="13093" s="1"/>
  <c r="D51" i="13101"/>
  <c r="M44" i="13101"/>
  <c r="P60" i="13093" s="1"/>
  <c r="F44" i="13101"/>
  <c r="G60" i="13093" s="1"/>
  <c r="M43" i="13101"/>
  <c r="P59" i="13093" s="1"/>
  <c r="N59" i="13093"/>
  <c r="F43" i="13101"/>
  <c r="G59" i="13093" s="1"/>
  <c r="M42" i="13101"/>
  <c r="P58" i="13093" s="1"/>
  <c r="N58" i="13093"/>
  <c r="F42" i="13101"/>
  <c r="G58" i="13093" s="1"/>
  <c r="M41" i="13101"/>
  <c r="P57" i="13093" s="1"/>
  <c r="F41" i="13101"/>
  <c r="G57" i="13093" s="1"/>
  <c r="M40" i="13101"/>
  <c r="P56" i="13093" s="1"/>
  <c r="N56" i="13093"/>
  <c r="F40" i="13101"/>
  <c r="G56" i="13093" s="1"/>
  <c r="M39" i="13101"/>
  <c r="P55" i="13093" s="1"/>
  <c r="F39" i="13101"/>
  <c r="G55" i="13093" s="1"/>
  <c r="M38" i="13101"/>
  <c r="F38" i="13101"/>
  <c r="M31" i="13101"/>
  <c r="P27" i="13093" s="1"/>
  <c r="N27" i="13093"/>
  <c r="K27" i="13093"/>
  <c r="F31" i="13101"/>
  <c r="G27" i="13093" s="1"/>
  <c r="G46" i="13093" s="1"/>
  <c r="M30" i="13101"/>
  <c r="P26" i="13093" s="1"/>
  <c r="K26" i="13093"/>
  <c r="F30" i="13101"/>
  <c r="G26" i="13093" s="1"/>
  <c r="G45" i="13093" s="1"/>
  <c r="O25" i="13093"/>
  <c r="F29" i="13101"/>
  <c r="G25" i="13093" s="1"/>
  <c r="G44" i="13093" s="1"/>
  <c r="M28" i="13101"/>
  <c r="P24" i="13093" s="1"/>
  <c r="F28" i="13101"/>
  <c r="G24" i="13093" s="1"/>
  <c r="G43" i="13093" s="1"/>
  <c r="M27" i="13101"/>
  <c r="P23" i="13093" s="1"/>
  <c r="F27" i="13101"/>
  <c r="G23" i="13093" s="1"/>
  <c r="G42" i="13093" s="1"/>
  <c r="M26" i="13101"/>
  <c r="P22" i="13093" s="1"/>
  <c r="F26" i="13101"/>
  <c r="G22" i="13093" s="1"/>
  <c r="G41" i="13093" s="1"/>
  <c r="M25" i="13101"/>
  <c r="P21" i="13093" s="1"/>
  <c r="F25" i="13101"/>
  <c r="G21" i="13093" s="1"/>
  <c r="G40" i="13093" s="1"/>
  <c r="M24" i="13101"/>
  <c r="P20" i="13093" s="1"/>
  <c r="F24" i="13101"/>
  <c r="G20" i="13093" s="1"/>
  <c r="G39" i="13093" s="1"/>
  <c r="M23" i="13101"/>
  <c r="P19" i="13093" s="1"/>
  <c r="F23" i="13101"/>
  <c r="G19" i="13093" s="1"/>
  <c r="G38" i="13093" s="1"/>
  <c r="M22" i="13101"/>
  <c r="P18" i="13093" s="1"/>
  <c r="F22" i="13101"/>
  <c r="G18" i="13093" s="1"/>
  <c r="G37" i="13093" s="1"/>
  <c r="M21" i="13101"/>
  <c r="P17" i="13093" s="1"/>
  <c r="F21" i="13101"/>
  <c r="F20" i="13101"/>
  <c r="G16" i="13093" s="1"/>
  <c r="P54" i="13093" l="1"/>
  <c r="P67" i="13093" s="1"/>
  <c r="M51" i="13101"/>
  <c r="AA47" i="13093"/>
  <c r="AA66" i="13093"/>
  <c r="N26" i="13093"/>
  <c r="K33" i="13101"/>
  <c r="P35" i="13093"/>
  <c r="R35" i="13093" s="1"/>
  <c r="T33" i="13101"/>
  <c r="K25" i="13093"/>
  <c r="M25" i="13093" s="1"/>
  <c r="I33" i="13101"/>
  <c r="O16" i="13093"/>
  <c r="L33" i="13101"/>
  <c r="G54" i="13093"/>
  <c r="G67" i="13093" s="1"/>
  <c r="F51" i="13101"/>
  <c r="F69" i="13101"/>
  <c r="M69" i="13101"/>
  <c r="K69" i="13101"/>
  <c r="O67" i="13093"/>
  <c r="Q67" i="13093"/>
  <c r="E29" i="13098" s="1"/>
  <c r="N67" i="13093"/>
  <c r="U41" i="13093"/>
  <c r="F67" i="13093"/>
  <c r="H67" i="13093"/>
  <c r="E30" i="13098" s="1"/>
  <c r="AA28" i="13093"/>
  <c r="H29" i="13093"/>
  <c r="E29" i="13093"/>
  <c r="F29" i="13093"/>
  <c r="Z38" i="13093"/>
  <c r="X41" i="13093"/>
  <c r="Z46" i="13093"/>
  <c r="C35" i="13093"/>
  <c r="C48" i="13093" s="1"/>
  <c r="C29" i="13093"/>
  <c r="G35" i="13093"/>
  <c r="B35" i="13093"/>
  <c r="B48" i="13093" s="1"/>
  <c r="B29" i="13093"/>
  <c r="Z43" i="13093"/>
  <c r="U42" i="13093"/>
  <c r="R43" i="13093"/>
  <c r="T38" i="13093"/>
  <c r="T46" i="13093"/>
  <c r="G17" i="13093"/>
  <c r="G36" i="13093" s="1"/>
  <c r="Y36" i="13093" s="1"/>
  <c r="F33" i="13101"/>
  <c r="X37" i="13093"/>
  <c r="X45" i="13093"/>
  <c r="M38" i="13093"/>
  <c r="M42" i="13093"/>
  <c r="M46" i="13093"/>
  <c r="Y43" i="13093"/>
  <c r="Z41" i="13093"/>
  <c r="T41" i="13093"/>
  <c r="Z39" i="13093"/>
  <c r="W42" i="13093"/>
  <c r="Y37" i="13093"/>
  <c r="Y45" i="13093"/>
  <c r="Y41" i="13093"/>
  <c r="M41" i="13093"/>
  <c r="E61" i="13093"/>
  <c r="E67" i="13093" s="1"/>
  <c r="M43" i="13093"/>
  <c r="M40" i="13093"/>
  <c r="Y38" i="13093"/>
  <c r="Y46" i="13093"/>
  <c r="T45" i="13093"/>
  <c r="W39" i="13093"/>
  <c r="W41" i="13093"/>
  <c r="M39" i="13093"/>
  <c r="T43" i="13093"/>
  <c r="Z44" i="13093"/>
  <c r="X36" i="13093"/>
  <c r="X40" i="13093"/>
  <c r="R46" i="13093"/>
  <c r="R39" i="13093"/>
  <c r="Z40" i="13093"/>
  <c r="X42" i="13093"/>
  <c r="R41" i="13093"/>
  <c r="Z42" i="13093"/>
  <c r="T39" i="13093"/>
  <c r="H48" i="13093"/>
  <c r="K48" i="13093"/>
  <c r="U36" i="13093"/>
  <c r="R36" i="13093"/>
  <c r="Y42" i="13093"/>
  <c r="R44" i="13093"/>
  <c r="U38" i="13093"/>
  <c r="U46" i="13093"/>
  <c r="L48" i="13093"/>
  <c r="Z37" i="13093"/>
  <c r="O48" i="13093"/>
  <c r="M37" i="13093"/>
  <c r="R38" i="13093"/>
  <c r="T42" i="13093"/>
  <c r="Y44" i="13093"/>
  <c r="M45" i="13093"/>
  <c r="W36" i="13093"/>
  <c r="Z45" i="13093"/>
  <c r="W35" i="13093"/>
  <c r="Z36" i="13093"/>
  <c r="T37" i="13093"/>
  <c r="R37" i="13093"/>
  <c r="Y39" i="13093"/>
  <c r="W43" i="13093"/>
  <c r="R45" i="13093"/>
  <c r="U39" i="13093"/>
  <c r="Y40" i="13093"/>
  <c r="W44" i="13093"/>
  <c r="X35" i="13093"/>
  <c r="Q48" i="13093"/>
  <c r="M36" i="13093"/>
  <c r="X38" i="13093"/>
  <c r="T40" i="13093"/>
  <c r="R40" i="13093"/>
  <c r="R42" i="13093"/>
  <c r="X43" i="13093"/>
  <c r="M44" i="13093"/>
  <c r="X46" i="13093"/>
  <c r="W37" i="13093"/>
  <c r="W45" i="13093"/>
  <c r="Z35" i="13093"/>
  <c r="W38" i="13093"/>
  <c r="U40" i="13093"/>
  <c r="W46" i="13093"/>
  <c r="E48" i="13093"/>
  <c r="N48" i="13093"/>
  <c r="X44" i="13093"/>
  <c r="F48" i="13093"/>
  <c r="T35" i="13093"/>
  <c r="X39" i="13093"/>
  <c r="W40" i="13093"/>
  <c r="T36" i="13093"/>
  <c r="U43" i="13093"/>
  <c r="T44" i="13093"/>
  <c r="M35" i="13093"/>
  <c r="U37" i="13093"/>
  <c r="U45" i="13093"/>
  <c r="M20" i="13093"/>
  <c r="M22" i="13093"/>
  <c r="M17" i="13093"/>
  <c r="M19" i="13093"/>
  <c r="M24" i="13093"/>
  <c r="M23" i="13093"/>
  <c r="M27" i="13093"/>
  <c r="M18" i="13093"/>
  <c r="M26" i="13093"/>
  <c r="M21" i="13093"/>
  <c r="M20" i="13101"/>
  <c r="E10" i="13098"/>
  <c r="K51" i="13101"/>
  <c r="C10" i="13098"/>
  <c r="H10" i="13098"/>
  <c r="M29" i="13101"/>
  <c r="P25" i="13093" s="1"/>
  <c r="T29" i="13095"/>
  <c r="U28" i="13095"/>
  <c r="M29" i="13095"/>
  <c r="N28" i="13095"/>
  <c r="F29" i="13095"/>
  <c r="G28" i="13095"/>
  <c r="T16" i="13095"/>
  <c r="U15" i="13095"/>
  <c r="M16" i="13095"/>
  <c r="N15" i="13095"/>
  <c r="G15" i="13095"/>
  <c r="F16" i="13095"/>
  <c r="F31" i="13098"/>
  <c r="L29" i="13093"/>
  <c r="C9" i="13098" s="1"/>
  <c r="M16" i="13093"/>
  <c r="I84" i="13093"/>
  <c r="I83" i="13093"/>
  <c r="I82" i="13093"/>
  <c r="I81" i="13093"/>
  <c r="I80" i="13093"/>
  <c r="I79" i="13093"/>
  <c r="I78" i="13093"/>
  <c r="I77" i="13093"/>
  <c r="I76" i="13093"/>
  <c r="I75" i="13093"/>
  <c r="I74" i="13093"/>
  <c r="I73" i="13093"/>
  <c r="Q85" i="13093"/>
  <c r="H85" i="13093"/>
  <c r="Q29" i="13093"/>
  <c r="H9" i="13098" s="1"/>
  <c r="H11" i="13098"/>
  <c r="P48" i="13093" l="1"/>
  <c r="Y35" i="13093"/>
  <c r="P16" i="13093"/>
  <c r="M33" i="13101"/>
  <c r="Z48" i="13093"/>
  <c r="Y48" i="13093"/>
  <c r="Y49" i="13093" s="1"/>
  <c r="X48" i="13093"/>
  <c r="X49" i="13093" s="1"/>
  <c r="W48" i="13093"/>
  <c r="T48" i="13093"/>
  <c r="T49" i="13093" s="1"/>
  <c r="U35" i="13093"/>
  <c r="U48" i="13093" s="1"/>
  <c r="U49" i="13093" s="1"/>
  <c r="G29" i="13093"/>
  <c r="G48" i="13093"/>
  <c r="C24" i="13099"/>
  <c r="J31" i="13098"/>
  <c r="C70" i="13099" s="1"/>
  <c r="AA41" i="13093"/>
  <c r="AA39" i="13093"/>
  <c r="AA42" i="13093"/>
  <c r="R48" i="13093"/>
  <c r="AA37" i="13093"/>
  <c r="AA44" i="13093"/>
  <c r="AA46" i="13093"/>
  <c r="AA45" i="13093"/>
  <c r="AA36" i="13093"/>
  <c r="AA43" i="13093"/>
  <c r="AA38" i="13093"/>
  <c r="Z49" i="13093"/>
  <c r="M48" i="13093"/>
  <c r="C16" i="13099" s="1"/>
  <c r="AA40" i="13093"/>
  <c r="AA35" i="13093"/>
  <c r="G10" i="13098"/>
  <c r="B10" i="13098"/>
  <c r="C25" i="13099" s="1"/>
  <c r="F10" i="13098"/>
  <c r="E38" i="13098"/>
  <c r="E39" i="13098" s="1"/>
  <c r="E35" i="13098"/>
  <c r="E36" i="13098" s="1"/>
  <c r="E32" i="13098"/>
  <c r="E33" i="13098" s="1"/>
  <c r="H18" i="13098"/>
  <c r="H19" i="13098" s="1"/>
  <c r="H12" i="13098"/>
  <c r="H13" i="13098" s="1"/>
  <c r="H15" i="13098"/>
  <c r="H16" i="13098" s="1"/>
  <c r="C12" i="13098"/>
  <c r="C13" i="13098" s="1"/>
  <c r="I12" i="13094"/>
  <c r="F12" i="13094"/>
  <c r="I11" i="13094"/>
  <c r="F11" i="13094"/>
  <c r="I10" i="13094"/>
  <c r="K29" i="13095"/>
  <c r="D29" i="13095"/>
  <c r="C29" i="13095"/>
  <c r="B29" i="13095"/>
  <c r="R27" i="13095"/>
  <c r="S27" i="13095" s="1"/>
  <c r="Q27" i="13095"/>
  <c r="P27" i="13095"/>
  <c r="L27" i="13095"/>
  <c r="N27" i="13095" s="1"/>
  <c r="E27" i="13095"/>
  <c r="G27" i="13095" s="1"/>
  <c r="R26" i="13095"/>
  <c r="S26" i="13095" s="1"/>
  <c r="Q26" i="13095"/>
  <c r="P26" i="13095"/>
  <c r="L26" i="13095"/>
  <c r="N26" i="13095" s="1"/>
  <c r="E26" i="13095"/>
  <c r="G26" i="13095" s="1"/>
  <c r="R25" i="13095"/>
  <c r="S25" i="13095" s="1"/>
  <c r="Q25" i="13095"/>
  <c r="P25" i="13095"/>
  <c r="L25" i="13095"/>
  <c r="N25" i="13095" s="1"/>
  <c r="E25" i="13095"/>
  <c r="G25" i="13095" s="1"/>
  <c r="R24" i="13095"/>
  <c r="S24" i="13095" s="1"/>
  <c r="L24" i="13095"/>
  <c r="I29" i="13095"/>
  <c r="G24" i="13095"/>
  <c r="R23" i="13095"/>
  <c r="S23" i="13095" s="1"/>
  <c r="Q23" i="13095"/>
  <c r="P23" i="13095"/>
  <c r="L23" i="13095"/>
  <c r="N23" i="13095" s="1"/>
  <c r="E23" i="13095"/>
  <c r="G23" i="13095" s="1"/>
  <c r="R14" i="13095"/>
  <c r="S14" i="13095" s="1"/>
  <c r="P14" i="13095"/>
  <c r="L14" i="13095"/>
  <c r="N14" i="13095" s="1"/>
  <c r="Q14" i="13095"/>
  <c r="E14" i="13095"/>
  <c r="G14" i="13095" s="1"/>
  <c r="R13" i="13095"/>
  <c r="S13" i="13095" s="1"/>
  <c r="P13" i="13095"/>
  <c r="N13" i="13095"/>
  <c r="Q13" i="13095"/>
  <c r="E13" i="13095"/>
  <c r="G13" i="13095" s="1"/>
  <c r="R12" i="13095"/>
  <c r="S12" i="13095" s="1"/>
  <c r="P12" i="13095"/>
  <c r="N12" i="13095"/>
  <c r="Q12" i="13095"/>
  <c r="E12" i="13095"/>
  <c r="G12" i="13095" s="1"/>
  <c r="K16" i="13095"/>
  <c r="D16" i="13095"/>
  <c r="C16" i="13095"/>
  <c r="B16" i="13095"/>
  <c r="O111" i="13093"/>
  <c r="O107" i="13093"/>
  <c r="J11" i="13094" l="1"/>
  <c r="U14" i="13095"/>
  <c r="J12" i="13094"/>
  <c r="U25" i="13095"/>
  <c r="AA48" i="13093"/>
  <c r="AA49" i="13093" s="1"/>
  <c r="W49" i="13093"/>
  <c r="U13" i="13095"/>
  <c r="G29" i="13095"/>
  <c r="C17" i="13099"/>
  <c r="R49" i="13093"/>
  <c r="C44" i="13099" s="1"/>
  <c r="I10" i="13098"/>
  <c r="M49" i="13093"/>
  <c r="C43" i="13099" s="1"/>
  <c r="D10" i="13098"/>
  <c r="K10" i="13098" s="1"/>
  <c r="C63" i="13099" s="1"/>
  <c r="U12" i="13095"/>
  <c r="U26" i="13095"/>
  <c r="U23" i="13095"/>
  <c r="J29" i="13095"/>
  <c r="N24" i="13095"/>
  <c r="N29" i="13095" s="1"/>
  <c r="U27" i="13095"/>
  <c r="E29" i="13095"/>
  <c r="L29" i="13095"/>
  <c r="S29" i="13095"/>
  <c r="A3" i="13099"/>
  <c r="A4" i="13099"/>
  <c r="A2" i="13099"/>
  <c r="A1" i="13099"/>
  <c r="A4" i="13098"/>
  <c r="A1" i="13098"/>
  <c r="A2" i="13098"/>
  <c r="A3" i="13098"/>
  <c r="J10" i="13094"/>
  <c r="R29" i="13095"/>
  <c r="P24" i="13095"/>
  <c r="P29" i="13095" s="1"/>
  <c r="V30" i="13095" s="1"/>
  <c r="C34" i="13099" s="1"/>
  <c r="Q24" i="13095"/>
  <c r="U86" i="13093"/>
  <c r="T86" i="13093"/>
  <c r="O85" i="13093"/>
  <c r="F85" i="13093"/>
  <c r="Z84" i="13093"/>
  <c r="X84" i="13093"/>
  <c r="W84" i="13093"/>
  <c r="R84" i="13093"/>
  <c r="Z83" i="13093"/>
  <c r="Y83" i="13093"/>
  <c r="X83" i="13093"/>
  <c r="W83" i="13093"/>
  <c r="R83" i="13093"/>
  <c r="Z82" i="13093"/>
  <c r="X82" i="13093"/>
  <c r="W82" i="13093"/>
  <c r="R82" i="13093"/>
  <c r="Z81" i="13093"/>
  <c r="X81" i="13093"/>
  <c r="W81" i="13093"/>
  <c r="R81" i="13093"/>
  <c r="Z80" i="13093"/>
  <c r="X80" i="13093"/>
  <c r="W80" i="13093"/>
  <c r="E85" i="13093"/>
  <c r="Z79" i="13093"/>
  <c r="X79" i="13093"/>
  <c r="W79" i="13093"/>
  <c r="R79" i="13093"/>
  <c r="Z78" i="13093"/>
  <c r="X78" i="13093"/>
  <c r="R78" i="13093"/>
  <c r="AA78" i="13093" s="1"/>
  <c r="W78" i="13093"/>
  <c r="Z77" i="13093"/>
  <c r="X77" i="13093"/>
  <c r="Y77" i="13093"/>
  <c r="W77" i="13093"/>
  <c r="Z76" i="13093"/>
  <c r="X76" i="13093"/>
  <c r="W76" i="13093"/>
  <c r="R76" i="13093"/>
  <c r="Z75" i="13093"/>
  <c r="X75" i="13093"/>
  <c r="W75" i="13093"/>
  <c r="R75" i="13093"/>
  <c r="Z74" i="13093"/>
  <c r="X74" i="13093"/>
  <c r="W74" i="13093"/>
  <c r="R74" i="13093"/>
  <c r="Z73" i="13093"/>
  <c r="X73" i="13093"/>
  <c r="W73" i="13093"/>
  <c r="R73" i="13093"/>
  <c r="Z27" i="13093"/>
  <c r="Z26" i="13093"/>
  <c r="Z25" i="13093"/>
  <c r="Z24" i="13093"/>
  <c r="Z23" i="13093"/>
  <c r="Z22" i="13093"/>
  <c r="Z21" i="13093"/>
  <c r="Z20" i="13093"/>
  <c r="Z19" i="13093"/>
  <c r="Z18" i="13093"/>
  <c r="Z17" i="13093"/>
  <c r="Z16" i="13093"/>
  <c r="Z65" i="13093"/>
  <c r="Z64" i="13093"/>
  <c r="Z63" i="13093"/>
  <c r="Z62" i="13093"/>
  <c r="Z61" i="13093"/>
  <c r="Z60" i="13093"/>
  <c r="Z59" i="13093"/>
  <c r="Z58" i="13093"/>
  <c r="Z57" i="13093"/>
  <c r="Z56" i="13093"/>
  <c r="Z55" i="13093"/>
  <c r="Z54" i="13093"/>
  <c r="X65" i="13093"/>
  <c r="X64" i="13093"/>
  <c r="X63" i="13093"/>
  <c r="X62" i="13093"/>
  <c r="X61" i="13093"/>
  <c r="X60" i="13093"/>
  <c r="X59" i="13093"/>
  <c r="X58" i="13093"/>
  <c r="X57" i="13093"/>
  <c r="X56" i="13093"/>
  <c r="X55" i="13093"/>
  <c r="X54" i="13093"/>
  <c r="W65" i="13093"/>
  <c r="W64" i="13093"/>
  <c r="W63" i="13093"/>
  <c r="W62" i="13093"/>
  <c r="W61" i="13093"/>
  <c r="W60" i="13093"/>
  <c r="W59" i="13093"/>
  <c r="W58" i="13093"/>
  <c r="W57" i="13093"/>
  <c r="W56" i="13093"/>
  <c r="W55" i="13093"/>
  <c r="W54" i="13093"/>
  <c r="U69" i="13093"/>
  <c r="T69" i="13093"/>
  <c r="B26" i="13096"/>
  <c r="F25" i="13096"/>
  <c r="F24" i="13096"/>
  <c r="F23" i="13096"/>
  <c r="F22" i="13096"/>
  <c r="F21" i="13096"/>
  <c r="F20" i="13096"/>
  <c r="F19" i="13096"/>
  <c r="F18" i="13096"/>
  <c r="F17" i="13096"/>
  <c r="F16" i="13096"/>
  <c r="F15" i="13096"/>
  <c r="F14" i="13096"/>
  <c r="F13" i="13096"/>
  <c r="F12" i="13096"/>
  <c r="F10" i="13096"/>
  <c r="D26" i="13096"/>
  <c r="R11" i="13095"/>
  <c r="S11" i="13095" s="1"/>
  <c r="E11" i="13095"/>
  <c r="G11" i="13095" s="1"/>
  <c r="R10" i="13095"/>
  <c r="Q10" i="13095"/>
  <c r="P10" i="13095"/>
  <c r="L10" i="13095"/>
  <c r="N10" i="13095" s="1"/>
  <c r="E10" i="13095"/>
  <c r="G10" i="13095" s="1"/>
  <c r="I21" i="13094"/>
  <c r="F21" i="13094"/>
  <c r="J21" i="13094" s="1"/>
  <c r="I20" i="13094"/>
  <c r="F20" i="13094"/>
  <c r="I19" i="13094"/>
  <c r="F19" i="13094"/>
  <c r="I18" i="13094"/>
  <c r="F18" i="13094"/>
  <c r="I17" i="13094"/>
  <c r="F17" i="13094"/>
  <c r="I16" i="13094"/>
  <c r="F16" i="13094"/>
  <c r="I15" i="13094"/>
  <c r="F15" i="13094"/>
  <c r="I14" i="13094"/>
  <c r="F14" i="13094"/>
  <c r="I13" i="13094"/>
  <c r="J15" i="13094" l="1"/>
  <c r="J20" i="13094"/>
  <c r="L20" i="13094" s="1"/>
  <c r="G16" i="13095"/>
  <c r="Z67" i="13093"/>
  <c r="X67" i="13093"/>
  <c r="X69" i="13093" s="1"/>
  <c r="W67" i="13093"/>
  <c r="Z29" i="13093"/>
  <c r="Z30" i="13093" s="1"/>
  <c r="C26" i="13099"/>
  <c r="J10" i="13098"/>
  <c r="C57" i="13099" s="1"/>
  <c r="AB48" i="13093"/>
  <c r="C45" i="13099" s="1"/>
  <c r="J16" i="13094"/>
  <c r="J19" i="13094"/>
  <c r="L19" i="13094" s="1"/>
  <c r="J16" i="13095"/>
  <c r="N11" i="13095"/>
  <c r="N16" i="13095" s="1"/>
  <c r="Z85" i="13093"/>
  <c r="Z86" i="13093" s="1"/>
  <c r="Q29" i="13095"/>
  <c r="U24" i="13095"/>
  <c r="U29" i="13095" s="1"/>
  <c r="V29" i="13095" s="1"/>
  <c r="C33" i="13099" s="1"/>
  <c r="L16" i="13095"/>
  <c r="R16" i="13095"/>
  <c r="E16" i="13095"/>
  <c r="P11" i="13095"/>
  <c r="P16" i="13095" s="1"/>
  <c r="I16" i="13095"/>
  <c r="Z69" i="13093"/>
  <c r="J18" i="13094"/>
  <c r="L18" i="13094" s="1"/>
  <c r="L22" i="13094" s="1"/>
  <c r="J17" i="13094"/>
  <c r="J14" i="13094"/>
  <c r="F9" i="13096"/>
  <c r="AA82" i="13093"/>
  <c r="Y84" i="13093"/>
  <c r="Y79" i="13093"/>
  <c r="Y81" i="13093"/>
  <c r="Y76" i="13093"/>
  <c r="AA74" i="13093"/>
  <c r="AA83" i="13093"/>
  <c r="G85" i="13093"/>
  <c r="Y74" i="13093"/>
  <c r="X85" i="13093"/>
  <c r="X86" i="13093" s="1"/>
  <c r="Y73" i="13093"/>
  <c r="Y78" i="13093"/>
  <c r="Y82" i="13093"/>
  <c r="W85" i="13093"/>
  <c r="AA76" i="13093"/>
  <c r="AA84" i="13093"/>
  <c r="AA75" i="13093"/>
  <c r="AA79" i="13093"/>
  <c r="N85" i="13093"/>
  <c r="P85" i="13093"/>
  <c r="Y75" i="13093"/>
  <c r="R77" i="13093"/>
  <c r="AA81" i="13093"/>
  <c r="R80" i="13093"/>
  <c r="AA80" i="13093" s="1"/>
  <c r="Y80" i="13093"/>
  <c r="E26" i="13096"/>
  <c r="F11" i="13096"/>
  <c r="C26" i="13096"/>
  <c r="Q11" i="13095"/>
  <c r="S10" i="13095"/>
  <c r="S16" i="13095" s="1"/>
  <c r="F13" i="13094"/>
  <c r="F22" i="13094" s="1"/>
  <c r="V17" i="13095" l="1"/>
  <c r="C32" i="13099" s="1"/>
  <c r="W86" i="13093"/>
  <c r="W69" i="13093"/>
  <c r="Q16" i="13095"/>
  <c r="U11" i="13095"/>
  <c r="U10" i="13095"/>
  <c r="F26" i="13096"/>
  <c r="G26" i="13096" s="1"/>
  <c r="C53" i="13099" s="1"/>
  <c r="R85" i="13093"/>
  <c r="R86" i="13093" s="1"/>
  <c r="C50" i="13099" s="1"/>
  <c r="Y85" i="13093"/>
  <c r="Y86" i="13093" s="1"/>
  <c r="AA77" i="13093"/>
  <c r="I85" i="13093"/>
  <c r="I86" i="13093" s="1"/>
  <c r="C49" i="13099" s="1"/>
  <c r="AA73" i="13093"/>
  <c r="J13" i="13094"/>
  <c r="U16" i="13095" l="1"/>
  <c r="V16" i="13095" s="1"/>
  <c r="C31" i="13099" s="1"/>
  <c r="I117" i="13093"/>
  <c r="C15" i="13099"/>
  <c r="I107" i="13093"/>
  <c r="C11" i="13099"/>
  <c r="AA85" i="13093"/>
  <c r="AB85" i="13093" s="1"/>
  <c r="C51" i="13099" s="1"/>
  <c r="J22" i="13094"/>
  <c r="J24" i="13094" s="1"/>
  <c r="M24" i="13094" s="1"/>
  <c r="N24" i="13094" s="1"/>
  <c r="L24" i="13094"/>
  <c r="O24" i="13094" l="1"/>
  <c r="C54" i="13099" s="1"/>
  <c r="AA86" i="13093"/>
  <c r="I96" i="13093"/>
  <c r="I95" i="13093"/>
  <c r="M29" i="13093"/>
  <c r="C8" i="13099" s="1"/>
  <c r="D9" i="13098" l="1"/>
  <c r="I114" i="13093"/>
  <c r="I104" i="13093"/>
  <c r="I99" i="13093"/>
  <c r="C29" i="13098"/>
  <c r="C30" i="13098"/>
  <c r="C38" i="13098" s="1"/>
  <c r="C39" i="13098" s="1"/>
  <c r="B30" i="13098"/>
  <c r="R65" i="13093"/>
  <c r="R64" i="13093"/>
  <c r="R63" i="13093"/>
  <c r="I63" i="13093"/>
  <c r="R62" i="13093"/>
  <c r="R61" i="13093"/>
  <c r="R60" i="13093"/>
  <c r="R59" i="13093"/>
  <c r="I59" i="13093"/>
  <c r="R58" i="13093"/>
  <c r="R57" i="13093"/>
  <c r="R56" i="13093"/>
  <c r="I56" i="13093"/>
  <c r="R55" i="13093"/>
  <c r="I55" i="13093"/>
  <c r="R54" i="13093"/>
  <c r="N29" i="13093"/>
  <c r="E9" i="13098" s="1"/>
  <c r="E12" i="13098" s="1"/>
  <c r="E13" i="13098" s="1"/>
  <c r="F11" i="13098"/>
  <c r="E11" i="13098"/>
  <c r="C11" i="13098"/>
  <c r="X27" i="13093"/>
  <c r="W27" i="13093"/>
  <c r="U27" i="13093"/>
  <c r="T27" i="13093"/>
  <c r="R27" i="13093"/>
  <c r="I27" i="13093"/>
  <c r="I46" i="13093" s="1"/>
  <c r="D27" i="13093"/>
  <c r="X26" i="13093"/>
  <c r="W26" i="13093"/>
  <c r="U26" i="13093"/>
  <c r="T26" i="13093"/>
  <c r="R26" i="13093"/>
  <c r="I26" i="13093"/>
  <c r="I45" i="13093" s="1"/>
  <c r="D26" i="13093"/>
  <c r="W25" i="13093"/>
  <c r="U25" i="13093"/>
  <c r="O29" i="13093"/>
  <c r="F9" i="13098" s="1"/>
  <c r="F12" i="13098" s="1"/>
  <c r="F13" i="13098" s="1"/>
  <c r="K29" i="13093"/>
  <c r="M30" i="13093" s="1"/>
  <c r="C38" i="13099" s="1"/>
  <c r="I25" i="13093"/>
  <c r="I44" i="13093" s="1"/>
  <c r="D25" i="13093"/>
  <c r="X24" i="13093"/>
  <c r="W24" i="13093"/>
  <c r="U24" i="13093"/>
  <c r="T24" i="13093"/>
  <c r="R24" i="13093"/>
  <c r="I24" i="13093"/>
  <c r="I43" i="13093" s="1"/>
  <c r="D24" i="13093"/>
  <c r="X23" i="13093"/>
  <c r="W23" i="13093"/>
  <c r="U23" i="13093"/>
  <c r="T23" i="13093"/>
  <c r="R23" i="13093"/>
  <c r="I23" i="13093"/>
  <c r="I42" i="13093" s="1"/>
  <c r="D23" i="13093"/>
  <c r="X22" i="13093"/>
  <c r="W22" i="13093"/>
  <c r="U22" i="13093"/>
  <c r="T22" i="13093"/>
  <c r="R22" i="13093"/>
  <c r="D22" i="13093"/>
  <c r="X21" i="13093"/>
  <c r="W21" i="13093"/>
  <c r="U21" i="13093"/>
  <c r="T21" i="13093"/>
  <c r="R21" i="13093"/>
  <c r="I21" i="13093"/>
  <c r="I40" i="13093" s="1"/>
  <c r="D21" i="13093"/>
  <c r="X20" i="13093"/>
  <c r="W20" i="13093"/>
  <c r="U20" i="13093"/>
  <c r="T20" i="13093"/>
  <c r="R20" i="13093"/>
  <c r="I20" i="13093"/>
  <c r="I39" i="13093" s="1"/>
  <c r="D20" i="13093"/>
  <c r="X19" i="13093"/>
  <c r="W19" i="13093"/>
  <c r="U19" i="13093"/>
  <c r="T19" i="13093"/>
  <c r="R19" i="13093"/>
  <c r="I19" i="13093"/>
  <c r="I38" i="13093" s="1"/>
  <c r="D19" i="13093"/>
  <c r="X18" i="13093"/>
  <c r="W18" i="13093"/>
  <c r="U18" i="13093"/>
  <c r="T18" i="13093"/>
  <c r="R18" i="13093"/>
  <c r="I18" i="13093"/>
  <c r="I37" i="13093" s="1"/>
  <c r="D18" i="13093"/>
  <c r="X17" i="13093"/>
  <c r="W17" i="13093"/>
  <c r="U17" i="13093"/>
  <c r="T17" i="13093"/>
  <c r="R17" i="13093"/>
  <c r="I17" i="13093"/>
  <c r="I36" i="13093" s="1"/>
  <c r="D17" i="13093"/>
  <c r="X16" i="13093"/>
  <c r="W16" i="13093"/>
  <c r="U16" i="13093"/>
  <c r="T16" i="13093"/>
  <c r="R16" i="13093"/>
  <c r="I16" i="13093"/>
  <c r="D16" i="13093"/>
  <c r="I11" i="13093"/>
  <c r="I90" i="13093" s="1"/>
  <c r="W29" i="13093" l="1"/>
  <c r="R67" i="13093"/>
  <c r="D29" i="13093"/>
  <c r="I35" i="13093"/>
  <c r="U29" i="13093"/>
  <c r="U30" i="13093" s="1"/>
  <c r="C18" i="13099"/>
  <c r="V25" i="13093"/>
  <c r="D44" i="13093"/>
  <c r="V44" i="13093" s="1"/>
  <c r="V18" i="13093"/>
  <c r="D37" i="13093"/>
  <c r="V37" i="13093" s="1"/>
  <c r="V24" i="13093"/>
  <c r="D43" i="13093"/>
  <c r="V43" i="13093" s="1"/>
  <c r="V23" i="13093"/>
  <c r="D42" i="13093"/>
  <c r="V42" i="13093" s="1"/>
  <c r="V22" i="13093"/>
  <c r="D41" i="13093"/>
  <c r="V41" i="13093" s="1"/>
  <c r="V17" i="13093"/>
  <c r="D36" i="13093"/>
  <c r="V36" i="13093" s="1"/>
  <c r="V16" i="13093"/>
  <c r="D35" i="13093"/>
  <c r="V21" i="13093"/>
  <c r="D40" i="13093"/>
  <c r="V40" i="13093" s="1"/>
  <c r="V27" i="13093"/>
  <c r="D46" i="13093"/>
  <c r="V46" i="13093" s="1"/>
  <c r="V20" i="13093"/>
  <c r="D39" i="13093"/>
  <c r="V39" i="13093" s="1"/>
  <c r="V26" i="13093"/>
  <c r="D45" i="13093"/>
  <c r="V45" i="13093" s="1"/>
  <c r="V19" i="13093"/>
  <c r="D38" i="13093"/>
  <c r="V38" i="13093" s="1"/>
  <c r="B38" i="13098"/>
  <c r="B39" i="13098" s="1"/>
  <c r="B9" i="13098"/>
  <c r="B12" i="13098" s="1"/>
  <c r="B13" i="13098" s="1"/>
  <c r="C27" i="13099"/>
  <c r="Y64" i="13093"/>
  <c r="I64" i="13093"/>
  <c r="Y57" i="13093"/>
  <c r="I57" i="13093"/>
  <c r="AA57" i="13093" s="1"/>
  <c r="Y61" i="13093"/>
  <c r="I61" i="13093"/>
  <c r="AA61" i="13093" s="1"/>
  <c r="Y65" i="13093"/>
  <c r="I65" i="13093"/>
  <c r="AA65" i="13093" s="1"/>
  <c r="C35" i="13098"/>
  <c r="C36" i="13098" s="1"/>
  <c r="C32" i="13098"/>
  <c r="C33" i="13098" s="1"/>
  <c r="C18" i="13098"/>
  <c r="C19" i="13098" s="1"/>
  <c r="C15" i="13098"/>
  <c r="C16" i="13098" s="1"/>
  <c r="Y54" i="13093"/>
  <c r="I54" i="13093"/>
  <c r="Y58" i="13093"/>
  <c r="I58" i="13093"/>
  <c r="AA58" i="13093" s="1"/>
  <c r="Y60" i="13093"/>
  <c r="I60" i="13093"/>
  <c r="AA60" i="13093" s="1"/>
  <c r="Y62" i="13093"/>
  <c r="I62" i="13093"/>
  <c r="AA62" i="13093" s="1"/>
  <c r="B11" i="13098"/>
  <c r="B18" i="13098" s="1"/>
  <c r="B19" i="13098" s="1"/>
  <c r="F18" i="13098"/>
  <c r="F19" i="13098" s="1"/>
  <c r="F15" i="13098"/>
  <c r="F16" i="13098" s="1"/>
  <c r="E18" i="13098"/>
  <c r="E19" i="13098" s="1"/>
  <c r="E15" i="13098"/>
  <c r="E16" i="13098" s="1"/>
  <c r="Y55" i="13093"/>
  <c r="Y59" i="13093"/>
  <c r="Y63" i="13093"/>
  <c r="Y56" i="13093"/>
  <c r="Y22" i="13093"/>
  <c r="AA22" i="13093" s="1"/>
  <c r="I22" i="13093"/>
  <c r="I41" i="13093" s="1"/>
  <c r="Y18" i="13093"/>
  <c r="AA18" i="13093" s="1"/>
  <c r="D30" i="13098"/>
  <c r="D38" i="13098" s="1"/>
  <c r="D39" i="13098" s="1"/>
  <c r="D29" i="13098"/>
  <c r="G11" i="13098"/>
  <c r="W30" i="13093"/>
  <c r="Y20" i="13093"/>
  <c r="AA20" i="13093" s="1"/>
  <c r="Y24" i="13093"/>
  <c r="AA24" i="13093" s="1"/>
  <c r="Y27" i="13093"/>
  <c r="AA27" i="13093" s="1"/>
  <c r="B29" i="13098"/>
  <c r="Y19" i="13093"/>
  <c r="AA19" i="13093" s="1"/>
  <c r="Y23" i="13093"/>
  <c r="AA23" i="13093" s="1"/>
  <c r="Y26" i="13093"/>
  <c r="AA26" i="13093" s="1"/>
  <c r="C12" i="13099"/>
  <c r="Y17" i="13093"/>
  <c r="AA17" i="13093" s="1"/>
  <c r="Y21" i="13093"/>
  <c r="AA21" i="13093" s="1"/>
  <c r="Y16" i="13093"/>
  <c r="T25" i="13093"/>
  <c r="T29" i="13093" s="1"/>
  <c r="X25" i="13093"/>
  <c r="X29" i="13093" s="1"/>
  <c r="AA55" i="13093"/>
  <c r="AA56" i="13093"/>
  <c r="AA59" i="13093"/>
  <c r="AA63" i="13093"/>
  <c r="AA64" i="13093"/>
  <c r="Y67" i="13093" l="1"/>
  <c r="AA54" i="13093"/>
  <c r="AA67" i="13093" s="1"/>
  <c r="I67" i="13093"/>
  <c r="I29" i="13093"/>
  <c r="C13" i="13099" s="1"/>
  <c r="V29" i="13093"/>
  <c r="V30" i="13093" s="1"/>
  <c r="X30" i="13093"/>
  <c r="T30" i="13093"/>
  <c r="AA16" i="13093"/>
  <c r="I48" i="13093"/>
  <c r="I49" i="13093" s="1"/>
  <c r="C42" i="13099" s="1"/>
  <c r="C10" i="13099"/>
  <c r="R68" i="13093"/>
  <c r="C47" i="13099" s="1"/>
  <c r="K9" i="13098"/>
  <c r="C62" i="13099" s="1"/>
  <c r="D30" i="13093"/>
  <c r="C36" i="13099" s="1"/>
  <c r="V35" i="13093"/>
  <c r="D48" i="13093"/>
  <c r="D49" i="13093" s="1"/>
  <c r="C41" i="13099" s="1"/>
  <c r="B15" i="13098"/>
  <c r="B16" i="13098" s="1"/>
  <c r="D32" i="13098"/>
  <c r="D33" i="13098" s="1"/>
  <c r="D35" i="13098"/>
  <c r="D36" i="13098" s="1"/>
  <c r="I106" i="13093"/>
  <c r="C29" i="13099"/>
  <c r="D11" i="13098"/>
  <c r="F29" i="13098"/>
  <c r="J29" i="13098" s="1"/>
  <c r="C68" i="13099" s="1"/>
  <c r="B35" i="13098"/>
  <c r="B36" i="13098" s="1"/>
  <c r="B32" i="13098"/>
  <c r="B33" i="13098" s="1"/>
  <c r="F30" i="13098"/>
  <c r="D12" i="13098"/>
  <c r="G18" i="13098"/>
  <c r="G19" i="13098" s="1"/>
  <c r="P29" i="13093"/>
  <c r="G9" i="13098" s="1"/>
  <c r="G12" i="13098" s="1"/>
  <c r="G13" i="13098" s="1"/>
  <c r="R25" i="13093"/>
  <c r="R29" i="13093" s="1"/>
  <c r="Y25" i="13093"/>
  <c r="Y29" i="13093" s="1"/>
  <c r="V48" i="13093" l="1"/>
  <c r="V49" i="13093" s="1"/>
  <c r="Y30" i="13093"/>
  <c r="C14" i="13099"/>
  <c r="I68" i="13093"/>
  <c r="C46" i="13099" s="1"/>
  <c r="D18" i="13098"/>
  <c r="K11" i="13098"/>
  <c r="C64" i="13099" s="1"/>
  <c r="F38" i="13098"/>
  <c r="J30" i="13098"/>
  <c r="C69" i="13099" s="1"/>
  <c r="D13" i="13098"/>
  <c r="K12" i="13098"/>
  <c r="C65" i="13099" s="1"/>
  <c r="Y69" i="13093"/>
  <c r="AB67" i="13093"/>
  <c r="C48" i="13099" s="1"/>
  <c r="R30" i="13093"/>
  <c r="C39" i="13099" s="1"/>
  <c r="C9" i="13099"/>
  <c r="C21" i="13099"/>
  <c r="D15" i="13098"/>
  <c r="F35" i="13098"/>
  <c r="F32" i="13098"/>
  <c r="C28" i="13099"/>
  <c r="I9" i="13098"/>
  <c r="G15" i="13098"/>
  <c r="G16" i="13098" s="1"/>
  <c r="I116" i="13093"/>
  <c r="C23" i="13099"/>
  <c r="I11" i="13098"/>
  <c r="C20" i="13099"/>
  <c r="AA69" i="13093"/>
  <c r="I93" i="13093"/>
  <c r="I94" i="13093"/>
  <c r="AA25" i="13093"/>
  <c r="I115" i="13093"/>
  <c r="I30" i="13093"/>
  <c r="C37" i="13099" s="1"/>
  <c r="I105" i="13093"/>
  <c r="I109" i="13093" s="1"/>
  <c r="AA29" i="13093" l="1"/>
  <c r="AA30" i="13093" s="1"/>
  <c r="F36" i="13098"/>
  <c r="J35" i="13098"/>
  <c r="C72" i="13099" s="1"/>
  <c r="D16" i="13098"/>
  <c r="K15" i="13098"/>
  <c r="C66" i="13099" s="1"/>
  <c r="F33" i="13098"/>
  <c r="J32" i="13098"/>
  <c r="C71" i="13099" s="1"/>
  <c r="I18" i="13098"/>
  <c r="J11" i="13098"/>
  <c r="C58" i="13099" s="1"/>
  <c r="D19" i="13098"/>
  <c r="K18" i="13098"/>
  <c r="C67" i="13099" s="1"/>
  <c r="I12" i="13098"/>
  <c r="J9" i="13098"/>
  <c r="C56" i="13099" s="1"/>
  <c r="F39" i="13098"/>
  <c r="J38" i="13098"/>
  <c r="C73" i="13099" s="1"/>
  <c r="I15" i="13098"/>
  <c r="C22" i="13099"/>
  <c r="I118" i="13093"/>
  <c r="I121" i="13093" s="1"/>
  <c r="C19" i="13099"/>
  <c r="I111" i="13093"/>
  <c r="I89" i="13093"/>
  <c r="I91" i="13093" l="1"/>
  <c r="I92" i="13093"/>
  <c r="AA31" i="13093"/>
  <c r="C40" i="13099" s="1"/>
  <c r="I13" i="13098"/>
  <c r="J12" i="13098"/>
  <c r="C59" i="13099" s="1"/>
  <c r="I16" i="13098"/>
  <c r="J15" i="13098"/>
  <c r="C60" i="13099" s="1"/>
  <c r="I19" i="13098"/>
  <c r="J18" i="13098"/>
  <c r="C61" i="13099" s="1"/>
  <c r="I97" i="13093" l="1"/>
  <c r="I100" i="1309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MANAV ANDANI</author>
  </authors>
  <commentList>
    <comment ref="A32" authorId="0" shapeId="0" xr:uid="{00000000-0006-0000-0000-000001000000}">
      <text>
        <r>
          <rPr>
            <b/>
            <sz val="9"/>
            <color indexed="81"/>
            <rFont val="Tahoma"/>
            <family val="2"/>
          </rPr>
          <t>MANAV ANDANI:</t>
        </r>
        <r>
          <rPr>
            <sz val="9"/>
            <color indexed="81"/>
            <rFont val="Tahoma"/>
            <family val="2"/>
          </rPr>
          <t xml:space="preserve">
IF ADDED DEDUCT HERE AND VISE VERSA</t>
        </r>
      </text>
    </comment>
    <comment ref="A50" authorId="0" shapeId="0" xr:uid="{00000000-0006-0000-0000-000002000000}">
      <text>
        <r>
          <rPr>
            <b/>
            <sz val="9"/>
            <color indexed="81"/>
            <rFont val="Tahoma"/>
            <family val="2"/>
          </rPr>
          <t>MANAV ANDANI:</t>
        </r>
        <r>
          <rPr>
            <sz val="9"/>
            <color indexed="81"/>
            <rFont val="Tahoma"/>
            <family val="2"/>
          </rPr>
          <t xml:space="preserve">
IF ADDED DEDUCT HERE AND VISE VERSA</t>
        </r>
      </text>
    </comment>
    <comment ref="A68" authorId="0" shapeId="0" xr:uid="{00000000-0006-0000-0000-000003000000}">
      <text>
        <r>
          <rPr>
            <b/>
            <sz val="9"/>
            <color indexed="81"/>
            <rFont val="Tahoma"/>
            <family val="2"/>
          </rPr>
          <t>MANAV ANDANI:</t>
        </r>
        <r>
          <rPr>
            <sz val="9"/>
            <color indexed="81"/>
            <rFont val="Tahoma"/>
            <family val="2"/>
          </rPr>
          <t xml:space="preserve">
IF ADDED DEDUCT HERE AND VISE VERSA</t>
        </r>
      </text>
    </comment>
  </commentList>
</comments>
</file>

<file path=xl/sharedStrings.xml><?xml version="1.0" encoding="utf-8"?>
<sst xmlns="http://schemas.openxmlformats.org/spreadsheetml/2006/main" count="381" uniqueCount="194">
  <si>
    <t>PLACE: RAIPUR</t>
  </si>
  <si>
    <t>TOTAL:</t>
  </si>
  <si>
    <t>TOTAL</t>
  </si>
  <si>
    <t>TRAVELLING EXPENSES</t>
  </si>
  <si>
    <t>PARTICULARS</t>
  </si>
  <si>
    <t>AMOUNT (Rs.)</t>
  </si>
  <si>
    <t>GST PAYABLE</t>
  </si>
  <si>
    <t>AUDIT FEES</t>
  </si>
  <si>
    <t>FINANCIAL YEAR 2018-2019</t>
  </si>
  <si>
    <t>+</t>
  </si>
  <si>
    <t>ITC RECEIVABLE</t>
  </si>
  <si>
    <t>-</t>
  </si>
  <si>
    <t>OPENING BALANCE DIFFERENCE</t>
  </si>
  <si>
    <t>ENTER ONLY YELLOW CELLS</t>
  </si>
  <si>
    <t>GST PAYABLE/ (ITC CREDIT &amp; CASH LEDGER) AS PER BOOKS</t>
  </si>
  <si>
    <t>BEFORE PAYING CHALLANS FOR MARCH OF LAST YEAR</t>
  </si>
  <si>
    <t>GST PAYABLE/ (ITC CREDIT &amp; CASH LEDGER) AS PER PORTAL</t>
  </si>
  <si>
    <t>AFTER PAYING CHALLANS FOR MARCH OF LAST YEAR</t>
  </si>
  <si>
    <t>LESS: CHALLANS PAID IN CURRENT YEAR FOR GST PAYABLE OF LAST YEAR</t>
  </si>
  <si>
    <t>DIFFERENCE</t>
  </si>
  <si>
    <t>OUTPUT TAX LIABILITY</t>
  </si>
  <si>
    <t>AS PER GSTR 3B</t>
  </si>
  <si>
    <t>MONTH</t>
  </si>
  <si>
    <t>TAXABLE SALES</t>
  </si>
  <si>
    <t>GROSS SALES</t>
  </si>
  <si>
    <t>IGST</t>
  </si>
  <si>
    <t>CGST</t>
  </si>
  <si>
    <t>SGST</t>
  </si>
  <si>
    <t>TOTALTAX</t>
  </si>
  <si>
    <t>APRIL</t>
  </si>
  <si>
    <t>MAY</t>
  </si>
  <si>
    <t>JUNE</t>
  </si>
  <si>
    <t>JULY</t>
  </si>
  <si>
    <t>AUG</t>
  </si>
  <si>
    <t>SEP</t>
  </si>
  <si>
    <t>OCT</t>
  </si>
  <si>
    <t>NOV</t>
  </si>
  <si>
    <t>DEC</t>
  </si>
  <si>
    <t>JAN</t>
  </si>
  <si>
    <t>FEB</t>
  </si>
  <si>
    <t>MARCH</t>
  </si>
  <si>
    <t>INPUT TAX CREDIT (OTHER THAN RCM)</t>
  </si>
  <si>
    <t>OPENING GST PAYABLE/ (ITC CREDIT &amp; CASH LEDGER) AS PER BOOKS</t>
  </si>
  <si>
    <t>OUTPUT TAX LIABILITY LESS SHOWN IN BOOKS</t>
  </si>
  <si>
    <t>OUTPUT TAX LIABILITY EXCESS SHOWN IN BOOKS</t>
  </si>
  <si>
    <t>ITC LESS SHOWN IN BOOKS</t>
  </si>
  <si>
    <t>ITC EXCESS SHOWN IN BOOKS</t>
  </si>
  <si>
    <t>CHALLANS PAID LESS SHOWN IN BOOKS</t>
  </si>
  <si>
    <t>CHALLANS PAID EXCESS SHOWN IN BOOKS</t>
  </si>
  <si>
    <t>BALANCE AS PER 3B</t>
  </si>
  <si>
    <t>BALANCE AS PER PORTAL</t>
  </si>
  <si>
    <t>BEFORE PAYING CHALLAN FOR MARCH OF C.Y.</t>
  </si>
  <si>
    <t>ADD: OUTPUT TAX LIABILITY</t>
  </si>
  <si>
    <t>LESS: ITC</t>
  </si>
  <si>
    <t>LESS: CHALLANS PAID IN C.Y. FOR C.Y.</t>
  </si>
  <si>
    <t>CLOSING BALANCE AS PER BOOKS</t>
  </si>
  <si>
    <t>CLOSING BALANCE AS PER TALLY</t>
  </si>
  <si>
    <t>OPENING GST PAYABLE/ (ITC CREDIT &amp; CASH LEDGER) AS PER 3B</t>
  </si>
  <si>
    <t>LESS: ITC (OTHER THAN RCM)</t>
  </si>
  <si>
    <t>LESS: CHALLANS PAID (INCLUDING RCM PAID)</t>
  </si>
  <si>
    <t>CLOSING BALANCE AS PER 3B</t>
  </si>
  <si>
    <t>CLOSING BALANCE AS PER PORTAL</t>
  </si>
  <si>
    <t>(CHECK THAT SAME AMOUNT HAS BEEN PAID IN APRIL, 2019)</t>
  </si>
  <si>
    <t>LESS: CHALLANS PAID IN C.Y. FOR L.Y.</t>
  </si>
  <si>
    <t>RCM CHALLAN PAID IN APRIL, 2019, HENCE RCM GIVEN BY PORTAL IN APRIL, 19</t>
  </si>
  <si>
    <t>LESS:</t>
  </si>
  <si>
    <t>DATE   : 19-10-2019</t>
  </si>
  <si>
    <t>CLOSING GST PAYABLE/ (ITC CREDIT &amp; CASH LEDGER) AS PER BOOKS</t>
  </si>
  <si>
    <t>TOTAL TAX</t>
  </si>
  <si>
    <t>INTEREST CALCULATION</t>
  </si>
  <si>
    <t>RATE OF INTEREST</t>
  </si>
  <si>
    <t>DELAY DAYS</t>
  </si>
  <si>
    <t>LESS: INT. PAID</t>
  </si>
  <si>
    <t>NET PAYABLE</t>
  </si>
  <si>
    <t>RATE WISE CHART</t>
  </si>
  <si>
    <t xml:space="preserve">RATE  </t>
  </si>
  <si>
    <t>B2C</t>
  </si>
  <si>
    <t>B2B</t>
  </si>
  <si>
    <t>TAXABLE VALUE</t>
  </si>
  <si>
    <t>TOTAL  TAX</t>
  </si>
  <si>
    <t>PURCHASE</t>
  </si>
  <si>
    <t>PRINTING &amp; STATIONERY</t>
  </si>
  <si>
    <t>POSTAGE &amp; COURIER</t>
  </si>
  <si>
    <t>FREIGHT CHARGES</t>
  </si>
  <si>
    <t>COMPUTER REPAIR &amp; MAINTENANCE</t>
  </si>
  <si>
    <t>CONSUMABLE GOODS</t>
  </si>
  <si>
    <t>MACHINERY ON RENT</t>
  </si>
  <si>
    <t>LEGAL EXPENSES</t>
  </si>
  <si>
    <t>MOBILE</t>
  </si>
  <si>
    <t>PRINTER</t>
  </si>
  <si>
    <t>AIR PURIFIER</t>
  </si>
  <si>
    <t>MISC. INCOME</t>
  </si>
  <si>
    <t xml:space="preserve">COMPUTER  </t>
  </si>
  <si>
    <t>OTHERS</t>
  </si>
  <si>
    <t>REVERSE CHARGE</t>
  </si>
  <si>
    <t>CESS</t>
  </si>
  <si>
    <t>AS PER  BOOKS</t>
  </si>
  <si>
    <t>DIFFERENCES 3B - BOOKS</t>
  </si>
  <si>
    <t>AS PER BOOKS</t>
  </si>
  <si>
    <t xml:space="preserve"> RECONCILIATION</t>
  </si>
  <si>
    <t>CROSS CHECK -  BOOKS</t>
  </si>
  <si>
    <t>CROSS CHECK -  GST PORTAL</t>
  </si>
  <si>
    <t>ITC BIFURCATION</t>
  </si>
  <si>
    <t>AMOUNT PAYABLE</t>
  </si>
  <si>
    <t>DUE DATE</t>
  </si>
  <si>
    <t>PAID ON (3B DATE)</t>
  </si>
  <si>
    <t>INTEREST</t>
  </si>
  <si>
    <t>INTEREST BIFURCATION</t>
  </si>
  <si>
    <t>`</t>
  </si>
  <si>
    <t>OUTWARD SUPPLY</t>
  </si>
  <si>
    <t>TAXABLE</t>
  </si>
  <si>
    <t>TAX FREE</t>
  </si>
  <si>
    <t>TOTAL SALE</t>
  </si>
  <si>
    <t>BOOKS</t>
  </si>
  <si>
    <t>R-1</t>
  </si>
  <si>
    <t>3B</t>
  </si>
  <si>
    <t>DIFFERENCE (R1-3B)</t>
  </si>
  <si>
    <t>ITC (OTHER THAN RCM)</t>
  </si>
  <si>
    <t>2A</t>
  </si>
  <si>
    <t>DIFFERENCE (3B-2A)</t>
  </si>
  <si>
    <t>DIFFERENCE (BOOKS-2A)</t>
  </si>
  <si>
    <t>DIFFERENCE (BOOKS-3B)</t>
  </si>
  <si>
    <t>DIFFERENCE (BOOKS-R1)</t>
  </si>
  <si>
    <t>COMMENTS:</t>
  </si>
  <si>
    <t>RATE WISE CHART- RCM (TAKE RCM AS PER 3B ONLY)</t>
  </si>
  <si>
    <t>CROSS CHECKS</t>
  </si>
  <si>
    <t>AS PER R-1</t>
  </si>
  <si>
    <t>INPUT TAX CREDIT (RCM)</t>
  </si>
  <si>
    <t>CLOSING GST PAYABLE/ (ITC CREDIT &amp; CASH LEDGER) AS PER PORTAL</t>
  </si>
  <si>
    <t>OPENING GST PAYABLE/ (ITC CREDIT &amp; CASH LEDGER) AS PER PORTAL</t>
  </si>
  <si>
    <t>BEFORE PAYING CHALLANS IN C.Y. FOR L.Y.</t>
  </si>
  <si>
    <t>BEFORE PAYING CHALLANS IN N.Y. FOR C.Y.</t>
  </si>
  <si>
    <t>CHALLANS PAID IN C.Y. FOR L.Y. - AS PER BOOKS</t>
  </si>
  <si>
    <t>CHALLANS PAID IN N.Y. FOR C.Y. - AS PER BOOKS</t>
  </si>
  <si>
    <t>CHALLANS PAID (INCLUDING RCM BUT AS PER BOOKS EXCLUDING CHALLANS PAID FOR LIABILITY OF LAST YEAR)</t>
  </si>
  <si>
    <t>OPENING BALANCES AND CLOSING BALANCES</t>
  </si>
  <si>
    <t>DIFFERENCES 3B - R-1</t>
  </si>
  <si>
    <t>AS PER 2A</t>
  </si>
  <si>
    <t>ITC AS PER 2A (DATA - SUMMARY)</t>
  </si>
  <si>
    <t>OTHER CROSS CHECKS</t>
  </si>
  <si>
    <t>AS PER R-1 (INCLUDE AMENDMENT)</t>
  </si>
  <si>
    <t>L.Y. SALE ADDED/DEDUCTED IN 3B OF C.Y.</t>
  </si>
  <si>
    <t>L.Y. RCM ITC ADDED/DEDUCTED IN 3B OF C.Y.</t>
  </si>
  <si>
    <t>L.Y. ITC ADDED/DEDUCTED IN C.Y.</t>
  </si>
  <si>
    <t>INTEREST CALCULATION TAKEN ON CHALLANS PAID AS PER 3B, BUT REMEMBER IF CHALLAN PAID IS IN EXCESS WHAT IS PAYABLE THEN NO INTEREST PAYABLE ON EXCESS AMT.</t>
  </si>
  <si>
    <t>AND IF THERE IS HUGE DIFFERENCE BETWEEN GST PAYABLE AS PER BOOKS AND 3B THEN INTEREST HAS TO BE TAKEN ON ACTUAL PAYABLE AMOUNT AS PER BOOKS.</t>
  </si>
  <si>
    <t>DON’T DO ANY CUT PASTE</t>
  </si>
  <si>
    <t>ABC LTD.</t>
  </si>
  <si>
    <t>ADDRESS OR PROPRIETOR NAME</t>
  </si>
  <si>
    <t>GST NO.</t>
  </si>
  <si>
    <t>PREPARED BY:</t>
  </si>
  <si>
    <t>CA MUKESH KUMAR ANDANI</t>
  </si>
  <si>
    <t>MASC &amp; ASSOCIATES</t>
  </si>
  <si>
    <t>CHARTERED ACCOUNTANTS</t>
  </si>
  <si>
    <t>SHOP NO. 205B, 2 ND FLOOR MIDAS COMPLEX,</t>
  </si>
  <si>
    <t>FAFADIH, RAIPUR (C.G.) - M. NO. 98261-95001</t>
  </si>
  <si>
    <t>AFTER PAYING CHALLANS IN CURRENT YEAR FOR LAST YEAR</t>
  </si>
  <si>
    <t>AFTER PAYING CHALLANS IN NEXT YEAR FOR CURRENT YEAR</t>
  </si>
  <si>
    <t>THE YELLOW CELLS ARE FOR DATA ENTRY REST CALCULATIONS WILL BE DONE AUTOMATICALLY.</t>
  </si>
  <si>
    <t>RATE WISE SHEET IS TO INPUT RATE WISE DETAILS OF OUTWARD SUPPLY TO FILL IN GSTR-9C.</t>
  </si>
  <si>
    <t>ITC BIFURCATION SHEET IS TO INPUT THE DETAILS OF ITC TO BE FILLED IN 9C.</t>
  </si>
  <si>
    <t>THE DATA SHEET IS TO INPUT ALL THE FIGURES AS PER 3B, R-1. INSTRUCTIONS ARE GIVEN IN THIS SHEET ITSELF TO ENTER THE OPENING BALANCES AS PER BOOKS AND GST PORTAL.</t>
  </si>
  <si>
    <t>INTEREST SHEET WILL CALCULATE THE INTEREST PAYABLE AUTOMATICALLY, WHILE ENTERING ONLY THE DATE OF FILING 3B.</t>
  </si>
  <si>
    <t>RECONCILE SHEET WILL CROSS CHECK THE CLOSING BALANCE AS PER BOOKS AND CLOSING BALANCE AS PER DATA, TO CONFIRM THAT DATA AS PER BOOKS AND 3B ARE ENTERED CORRECTLY. NO INPUT IS REQUIRED HERE, IT WILL ALSO SUMMARISE THE DIFFERENCES BETWEEN BOOKS AND PORTAL.</t>
  </si>
  <si>
    <t>SUMMARY SHEET WILL GIVE A SUMMARY OF DIFFERENCES IN  OUTPUT SUPPLY AND ITC AMONG 3B, R-1 AND BOOKS. YOU CAN ENTER THE COMMENTS BELOW REGARDING HOW THE DIFFERENCES TO BE DEALT WHILE FILING 9/9C. NO INPUT IS REQUIRED IN THIS SHEET.</t>
  </si>
  <si>
    <t>THIS EXCEL WORKSHEET HAS BEEN PREPARED TO HELP IN GST AUDIT.</t>
  </si>
  <si>
    <t>CROSS CHECK SHEET WILL CROSS CHECK THE SAME FIGURE ENTERED IN DIFFERENT SHEETS ARE SAME OR NOT. FOR EXAMPLE THE ITC ENTERED IN DATA SHEET AND ITC ENTERED IN ITC BIFURCATION SHEET.</t>
  </si>
  <si>
    <t>GROSS SALE AS PER BOOKS (DATA - RECONCILE)</t>
  </si>
  <si>
    <t>TOTAL TAX AS PER BOOKS (DATA - RECONCILE)</t>
  </si>
  <si>
    <t>ITC AS PER BOOKS (DATA - RECONCILE)</t>
  </si>
  <si>
    <t>CHALLANS PAID AS PER BOOKS (DATA - RECONCILE)</t>
  </si>
  <si>
    <t>GROSS SALE AS PER 3-B (DATA - RECONCILE)</t>
  </si>
  <si>
    <t>TOTAL TAX AS PER 3-B (DATA - RECONCILE)</t>
  </si>
  <si>
    <t>ITC AS PER 3-B (DATA - RECONCILE)</t>
  </si>
  <si>
    <t>CHALLANS PAID AS PER 3-B (DATA - RECONCILE)</t>
  </si>
  <si>
    <t>GROSS SALE AS PER R-1 (DATA - RECONCILE)</t>
  </si>
  <si>
    <t>TOTAL TAX AS PER R-1 (DATA - RECONCILE)</t>
  </si>
  <si>
    <t>GROSS SALE AS PER BOOKS (RECONCILE - SUMMARY)</t>
  </si>
  <si>
    <t>TOTAL TAX AS PER BOOKS (RECONCILE - SUMMARY)</t>
  </si>
  <si>
    <t>ITC AS PER BOOKS (RECONCILE - SUMMARY)</t>
  </si>
  <si>
    <t>GROSS SALE AS PER 3-B (RECONCILE - SUMMARY)</t>
  </si>
  <si>
    <t>TOTAL TAX AS 3-B (RECONCILE - SUMMARY)</t>
  </si>
  <si>
    <t>ITC AS PER 3-B (RECONCILE - SUMMARY)</t>
  </si>
  <si>
    <t>TAXABLE SALE AS PER R-1 (RECONCILE - SUMMARY)</t>
  </si>
  <si>
    <t>TOTAL TAX AS PER R-1 (RECONCILE - SUMMARY)</t>
  </si>
  <si>
    <t>TAXABLE SALES AS PER BOOKS (RECONCILE - RATE WISE)</t>
  </si>
  <si>
    <t>TOTAL TAX AS PER BOOKS (RECONCILE - RATE WISE)</t>
  </si>
  <si>
    <t>ITC AS PER BOOKS (RECONCILE - ITC BIFURCATION)</t>
  </si>
  <si>
    <t>RECONCILE SHEET</t>
  </si>
  <si>
    <t>RATE WISE SHEET</t>
  </si>
  <si>
    <t>ITC BIFURCATION SHEET</t>
  </si>
  <si>
    <t>INTEREST SHEET</t>
  </si>
  <si>
    <t>SUMMARY SHEET</t>
  </si>
  <si>
    <t>HOW TO USE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</si>
</sst>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_);\(&quot;$&quot;#,##0\)"/>
    <numFmt numFmtId="43" formatCode="_(* #,##0.00_);_(* \(#,##0.00\);_(* &quot;-&quot;??_);_(@_)"/>
    <numFmt numFmtId="164" formatCode="0.00_)"/>
    <numFmt numFmtId="165" formatCode="0_)"/>
  </numFmts>
  <fonts count="62" x14ac:knownFonts="1">
    <font>
      <b/>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u/>
      <sz val="10"/>
      <name val="Times New Roman"/>
      <family val="1"/>
    </font>
    <font>
      <sz val="10"/>
      <name val="Times New Roman"/>
      <family val="1"/>
    </font>
    <font>
      <b/>
      <sz val="10"/>
      <name val="Times New Roman"/>
      <family val="1"/>
    </font>
    <font>
      <sz val="10"/>
      <color rgb="FF0070C0"/>
      <name val="Times New Roman"/>
      <family val="1"/>
    </font>
    <font>
      <b/>
      <sz val="16"/>
      <color rgb="FF0070C0"/>
      <name val="Times New Roman"/>
      <family val="1"/>
    </font>
    <font>
      <b/>
      <u/>
      <sz val="14"/>
      <color theme="1"/>
      <name val="Calibri"/>
      <family val="2"/>
      <scheme val="minor"/>
    </font>
    <font>
      <sz val="12"/>
      <color theme="1"/>
      <name val="Calibri"/>
      <family val="2"/>
      <scheme val="minor"/>
    </font>
    <font>
      <b/>
      <sz val="12"/>
      <color theme="1"/>
      <name val="Calibri"/>
      <family val="2"/>
      <scheme val="minor"/>
    </font>
    <font>
      <b/>
      <sz val="16"/>
      <name val="Times New Roman"/>
      <family val="1"/>
    </font>
    <font>
      <b/>
      <u/>
      <sz val="16"/>
      <name val="Times New Roman"/>
      <family val="1"/>
    </font>
    <font>
      <b/>
      <sz val="14"/>
      <name val="Times New Roman"/>
      <family val="1"/>
    </font>
    <font>
      <sz val="14"/>
      <name val="Times New Roman"/>
      <family val="1"/>
    </font>
    <font>
      <b/>
      <sz val="12"/>
      <name val="Times New Roman"/>
      <family val="1"/>
    </font>
    <font>
      <b/>
      <sz val="16"/>
      <name val="Arial"/>
      <family val="2"/>
    </font>
    <font>
      <b/>
      <u/>
      <sz val="16"/>
      <color theme="1"/>
      <name val="Calibri"/>
      <family val="2"/>
      <scheme val="minor"/>
    </font>
    <font>
      <b/>
      <u/>
      <sz val="16"/>
      <name val="Arial"/>
      <family val="2"/>
    </font>
    <font>
      <b/>
      <u/>
      <sz val="16"/>
      <name val="Calibri"/>
      <family val="2"/>
      <scheme val="minor"/>
    </font>
    <font>
      <b/>
      <u/>
      <sz val="10"/>
      <name val="Arial"/>
      <family val="2"/>
    </font>
    <font>
      <b/>
      <u/>
      <sz val="14"/>
      <name val="Times New Roman"/>
      <family val="1"/>
    </font>
    <font>
      <sz val="12"/>
      <name val="Times New Roman"/>
      <family val="1"/>
    </font>
    <font>
      <b/>
      <u/>
      <sz val="12"/>
      <name val="Times New Roman"/>
      <family val="1"/>
    </font>
    <font>
      <sz val="12"/>
      <color rgb="FF0070C0"/>
      <name val="Times New Roman"/>
      <family val="1"/>
    </font>
    <font>
      <b/>
      <sz val="12"/>
      <color rgb="FF0070C0"/>
      <name val="Times New Roman"/>
      <family val="1"/>
    </font>
    <font>
      <u/>
      <sz val="10"/>
      <name val="Arial"/>
      <family val="2"/>
    </font>
    <font>
      <sz val="9"/>
      <color indexed="81"/>
      <name val="Tahoma"/>
      <family val="2"/>
    </font>
    <font>
      <b/>
      <sz val="9"/>
      <color indexed="81"/>
      <name val="Tahoma"/>
      <family val="2"/>
    </font>
    <font>
      <sz val="11"/>
      <color theme="1"/>
      <name val="Arial"/>
      <family val="2"/>
    </font>
    <font>
      <sz val="11"/>
      <name val="Arial"/>
      <family val="2"/>
    </font>
    <font>
      <b/>
      <u/>
      <sz val="11"/>
      <color theme="1"/>
      <name val="Calibri"/>
      <family val="2"/>
      <scheme val="minor"/>
    </font>
    <font>
      <b/>
      <sz val="14"/>
      <color theme="1"/>
      <name val="Calibri"/>
      <family val="2"/>
      <scheme val="minor"/>
    </font>
    <font>
      <b/>
      <sz val="16"/>
      <color theme="1"/>
      <name val="Calibri"/>
      <family val="2"/>
      <scheme val="minor"/>
    </font>
    <font>
      <b/>
      <sz val="22"/>
      <color theme="1"/>
      <name val="Calibri"/>
      <family val="2"/>
      <scheme val="minor"/>
    </font>
    <font>
      <i/>
      <sz val="11"/>
      <color theme="1"/>
      <name val="Calibri"/>
      <family val="2"/>
      <scheme val="minor"/>
    </font>
    <font>
      <sz val="10"/>
      <color theme="1"/>
      <name val="Calibri"/>
      <family val="2"/>
      <scheme val="minor"/>
    </font>
  </fonts>
  <fills count="57">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00"/>
        <bgColor indexed="64"/>
      </patternFill>
    </fill>
    <fill>
      <patternFill patternType="solid">
        <fgColor rgb="FF00B050"/>
        <bgColor indexed="64"/>
      </patternFill>
    </fill>
    <fill>
      <patternFill patternType="solid">
        <fgColor rgb="FFFFC000"/>
        <bgColor indexed="64"/>
      </patternFill>
    </fill>
    <fill>
      <patternFill patternType="solid">
        <fgColor rgb="FF00B0F0"/>
        <bgColor indexed="64"/>
      </patternFill>
    </fill>
    <fill>
      <patternFill patternType="solid">
        <fgColor theme="2" tint="-0.499984740745262"/>
        <bgColor indexed="64"/>
      </patternFill>
    </fill>
    <fill>
      <patternFill patternType="solid">
        <fgColor rgb="FF92D050"/>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theme="9" tint="0.39997558519241921"/>
        <bgColor indexed="64"/>
      </patternFill>
    </fill>
    <fill>
      <patternFill patternType="solid">
        <fgColor theme="9"/>
        <bgColor indexed="64"/>
      </patternFill>
    </fill>
    <fill>
      <patternFill patternType="solid">
        <fgColor theme="4"/>
        <bgColor indexed="64"/>
      </patternFill>
    </fill>
    <fill>
      <patternFill patternType="solid">
        <fgColor theme="4" tint="0.59999389629810485"/>
        <bgColor indexed="64"/>
      </patternFill>
    </fill>
    <fill>
      <patternFill patternType="solid">
        <fgColor theme="0" tint="-0.34998626667073579"/>
        <bgColor indexed="64"/>
      </patternFill>
    </fill>
    <fill>
      <patternFill patternType="solid">
        <fgColor theme="3" tint="0.39997558519241921"/>
        <bgColor indexed="64"/>
      </patternFill>
    </fill>
    <fill>
      <patternFill patternType="solid">
        <fgColor theme="2"/>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2" tint="-0.249977111117893"/>
        <bgColor indexed="64"/>
      </patternFill>
    </fill>
    <fill>
      <patternFill patternType="solid">
        <fgColor theme="5" tint="0.79998168889431442"/>
        <bgColor indexed="64"/>
      </patternFill>
    </fill>
    <fill>
      <patternFill patternType="solid">
        <fgColor rgb="FFFF0000"/>
        <bgColor indexed="64"/>
      </patternFill>
    </fill>
    <fill>
      <patternFill patternType="solid">
        <fgColor theme="6" tint="0.59999389629810485"/>
        <bgColor indexed="64"/>
      </patternFill>
    </fill>
    <fill>
      <patternFill patternType="solid">
        <fgColor theme="8" tint="0.39997558519241921"/>
        <bgColor indexed="64"/>
      </patternFill>
    </fill>
  </fills>
  <borders count="25">
    <border>
      <left/>
      <right/>
      <top/>
      <bottom/>
      <diagonal/>
    </border>
    <border>
      <left/>
      <right/>
      <top style="thin">
        <color indexed="64"/>
      </top>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s>
  <cellStyleXfs count="120">
    <xf numFmtId="164" fontId="0"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13" fillId="26" borderId="0" applyNumberFormat="0" applyBorder="0" applyAlignment="0" applyProtection="0"/>
    <xf numFmtId="0" fontId="14" fillId="27" borderId="3" applyNumberFormat="0" applyAlignment="0" applyProtection="0"/>
    <xf numFmtId="0" fontId="15" fillId="28" borderId="4" applyNumberFormat="0" applyAlignment="0" applyProtection="0"/>
    <xf numFmtId="5" fontId="9" fillId="0" borderId="0" applyFont="0" applyFill="0" applyBorder="0" applyAlignment="0" applyProtection="0"/>
    <xf numFmtId="0" fontId="16" fillId="0" borderId="0" applyNumberFormat="0" applyFill="0" applyBorder="0" applyAlignment="0" applyProtection="0"/>
    <xf numFmtId="0" fontId="17" fillId="29" borderId="0" applyNumberFormat="0" applyBorder="0" applyAlignment="0" applyProtection="0"/>
    <xf numFmtId="0" fontId="18" fillId="0" borderId="5" applyNumberFormat="0" applyFill="0" applyAlignment="0" applyProtection="0"/>
    <xf numFmtId="0" fontId="19" fillId="0" borderId="6" applyNumberFormat="0" applyFill="0" applyAlignment="0" applyProtection="0"/>
    <xf numFmtId="0" fontId="20" fillId="0" borderId="7" applyNumberFormat="0" applyFill="0" applyAlignment="0" applyProtection="0"/>
    <xf numFmtId="0" fontId="20" fillId="0" borderId="0" applyNumberFormat="0" applyFill="0" applyBorder="0" applyAlignment="0" applyProtection="0"/>
    <xf numFmtId="0" fontId="21" fillId="30" borderId="3" applyNumberFormat="0" applyAlignment="0" applyProtection="0"/>
    <xf numFmtId="0" fontId="22" fillId="0" borderId="8" applyNumberFormat="0" applyFill="0" applyAlignment="0" applyProtection="0"/>
    <xf numFmtId="0" fontId="23" fillId="31"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2" borderId="9" applyNumberFormat="0" applyFont="0" applyAlignment="0" applyProtection="0"/>
    <xf numFmtId="0" fontId="11" fillId="32" borderId="9" applyNumberFormat="0" applyFont="0" applyAlignment="0" applyProtection="0"/>
    <xf numFmtId="0" fontId="11" fillId="32" borderId="9" applyNumberFormat="0" applyFont="0" applyAlignment="0" applyProtection="0"/>
    <xf numFmtId="0" fontId="11" fillId="32" borderId="9" applyNumberFormat="0" applyFont="0" applyAlignment="0" applyProtection="0"/>
    <xf numFmtId="0" fontId="11" fillId="32" borderId="9" applyNumberFormat="0" applyFont="0" applyAlignment="0" applyProtection="0"/>
    <xf numFmtId="0" fontId="11" fillId="32" borderId="9" applyNumberFormat="0" applyFont="0" applyAlignment="0" applyProtection="0"/>
    <xf numFmtId="0" fontId="11" fillId="32" borderId="9" applyNumberFormat="0" applyFont="0" applyAlignment="0" applyProtection="0"/>
    <xf numFmtId="0" fontId="11" fillId="32" borderId="9" applyNumberFormat="0" applyFont="0" applyAlignment="0" applyProtection="0"/>
    <xf numFmtId="0" fontId="11" fillId="32" borderId="9" applyNumberFormat="0" applyFont="0" applyAlignment="0" applyProtection="0"/>
    <xf numFmtId="0" fontId="24" fillId="27" borderId="10" applyNumberFormat="0" applyAlignment="0" applyProtection="0"/>
    <xf numFmtId="0" fontId="25" fillId="0" borderId="0" applyNumberFormat="0" applyFill="0" applyBorder="0" applyAlignment="0" applyProtection="0"/>
    <xf numFmtId="0" fontId="26" fillId="0" borderId="11" applyNumberFormat="0" applyFill="0" applyAlignment="0" applyProtection="0"/>
    <xf numFmtId="0" fontId="27" fillId="0" borderId="0" applyNumberFormat="0" applyFill="0" applyBorder="0" applyAlignment="0" applyProtection="0"/>
    <xf numFmtId="0" fontId="8" fillId="0" borderId="0"/>
    <xf numFmtId="0" fontId="8" fillId="32" borderId="9" applyNumberFormat="0" applyFont="0" applyAlignment="0" applyProtection="0"/>
    <xf numFmtId="0" fontId="8" fillId="2" borderId="0" applyNumberFormat="0" applyBorder="0" applyAlignment="0" applyProtection="0"/>
    <xf numFmtId="0" fontId="8" fillId="8" borderId="0" applyNumberFormat="0" applyBorder="0" applyAlignment="0" applyProtection="0"/>
    <xf numFmtId="0" fontId="8" fillId="3" borderId="0" applyNumberFormat="0" applyBorder="0" applyAlignment="0" applyProtection="0"/>
    <xf numFmtId="0" fontId="8" fillId="9"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13" borderId="0" applyNumberFormat="0" applyBorder="0" applyAlignment="0" applyProtection="0"/>
    <xf numFmtId="0" fontId="7" fillId="0" borderId="0"/>
    <xf numFmtId="0" fontId="7" fillId="32" borderId="9" applyNumberFormat="0" applyFont="0" applyAlignment="0" applyProtection="0"/>
    <xf numFmtId="0" fontId="7" fillId="2" borderId="0" applyNumberFormat="0" applyBorder="0" applyAlignment="0" applyProtection="0"/>
    <xf numFmtId="0" fontId="7" fillId="8" borderId="0" applyNumberFormat="0" applyBorder="0" applyAlignment="0" applyProtection="0"/>
    <xf numFmtId="0" fontId="7" fillId="3" borderId="0" applyNumberFormat="0" applyBorder="0" applyAlignment="0" applyProtection="0"/>
    <xf numFmtId="0" fontId="7" fillId="9" borderId="0" applyNumberFormat="0" applyBorder="0" applyAlignment="0" applyProtection="0"/>
    <xf numFmtId="0" fontId="7" fillId="4"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11" borderId="0" applyNumberFormat="0" applyBorder="0" applyAlignment="0" applyProtection="0"/>
    <xf numFmtId="0" fontId="7" fillId="6" borderId="0" applyNumberFormat="0" applyBorder="0" applyAlignment="0" applyProtection="0"/>
    <xf numFmtId="0" fontId="7" fillId="12" borderId="0" applyNumberFormat="0" applyBorder="0" applyAlignment="0" applyProtection="0"/>
    <xf numFmtId="0" fontId="7" fillId="7" borderId="0" applyNumberFormat="0" applyBorder="0" applyAlignment="0" applyProtection="0"/>
    <xf numFmtId="0" fontId="7" fillId="13" borderId="0" applyNumberFormat="0" applyBorder="0" applyAlignment="0" applyProtection="0"/>
    <xf numFmtId="0" fontId="6" fillId="0" borderId="0"/>
    <xf numFmtId="0" fontId="6" fillId="32" borderId="9" applyNumberFormat="0" applyFont="0" applyAlignment="0" applyProtection="0"/>
    <xf numFmtId="0" fontId="6" fillId="2" borderId="0" applyNumberFormat="0" applyBorder="0" applyAlignment="0" applyProtection="0"/>
    <xf numFmtId="0" fontId="6" fillId="8"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5" fillId="0" borderId="0"/>
    <xf numFmtId="0" fontId="5" fillId="32" borderId="9" applyNumberFormat="0" applyFont="0" applyAlignment="0" applyProtection="0"/>
    <xf numFmtId="0" fontId="5" fillId="2" borderId="0" applyNumberFormat="0" applyBorder="0" applyAlignment="0" applyProtection="0"/>
    <xf numFmtId="0" fontId="5" fillId="8"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43" fontId="10" fillId="0" borderId="0" applyFont="0" applyFill="0" applyBorder="0" applyAlignment="0" applyProtection="0"/>
    <xf numFmtId="0" fontId="4" fillId="0" borderId="0"/>
    <xf numFmtId="0" fontId="3" fillId="0" borderId="0"/>
    <xf numFmtId="0" fontId="2" fillId="0" borderId="0"/>
  </cellStyleXfs>
  <cellXfs count="319">
    <xf numFmtId="164" fontId="0" fillId="0" borderId="0" xfId="0"/>
    <xf numFmtId="164" fontId="29" fillId="0" borderId="0" xfId="0" applyFont="1"/>
    <xf numFmtId="164" fontId="28" fillId="0" borderId="0" xfId="0" applyFont="1"/>
    <xf numFmtId="164" fontId="29" fillId="0" borderId="2" xfId="0" applyFont="1" applyBorder="1" applyAlignment="1">
      <alignment horizontal="center"/>
    </xf>
    <xf numFmtId="164" fontId="30" fillId="0" borderId="0" xfId="0" applyFont="1"/>
    <xf numFmtId="164" fontId="29" fillId="0" borderId="22" xfId="0" applyFont="1" applyBorder="1"/>
    <xf numFmtId="164" fontId="30" fillId="0" borderId="24" xfId="0" applyFont="1" applyBorder="1" applyAlignment="1">
      <alignment horizontal="center"/>
    </xf>
    <xf numFmtId="164" fontId="30" fillId="0" borderId="15" xfId="0" applyFont="1" applyBorder="1"/>
    <xf numFmtId="164" fontId="30" fillId="36" borderId="19" xfId="0" applyFont="1" applyFill="1" applyBorder="1" applyAlignment="1">
      <alignment horizontal="center" vertical="top" wrapText="1"/>
    </xf>
    <xf numFmtId="164" fontId="30" fillId="36" borderId="19" xfId="0" applyFont="1" applyFill="1" applyBorder="1" applyAlignment="1">
      <alignment horizontal="center" vertical="top"/>
    </xf>
    <xf numFmtId="164" fontId="30" fillId="0" borderId="20" xfId="0" applyFont="1" applyBorder="1" applyAlignment="1">
      <alignment horizontal="center" vertical="top"/>
    </xf>
    <xf numFmtId="164" fontId="29" fillId="0" borderId="24" xfId="0" applyFont="1" applyBorder="1" applyAlignment="1">
      <alignment horizontal="center"/>
    </xf>
    <xf numFmtId="43" fontId="29" fillId="0" borderId="24" xfId="116" applyFont="1" applyBorder="1"/>
    <xf numFmtId="164" fontId="30" fillId="37" borderId="19" xfId="0" applyFont="1" applyFill="1" applyBorder="1"/>
    <xf numFmtId="43" fontId="30" fillId="37" borderId="19" xfId="116" applyFont="1" applyFill="1" applyBorder="1"/>
    <xf numFmtId="43" fontId="30" fillId="0" borderId="24" xfId="116" applyFont="1" applyBorder="1"/>
    <xf numFmtId="164" fontId="30" fillId="0" borderId="0" xfId="0" applyFont="1" applyAlignment="1">
      <alignment horizontal="right"/>
    </xf>
    <xf numFmtId="164" fontId="29" fillId="0" borderId="12" xfId="0" applyFont="1" applyBorder="1"/>
    <xf numFmtId="4" fontId="29" fillId="0" borderId="12" xfId="0" applyNumberFormat="1" applyFont="1" applyBorder="1"/>
    <xf numFmtId="4" fontId="29" fillId="0" borderId="0" xfId="0" applyNumberFormat="1" applyFont="1"/>
    <xf numFmtId="4" fontId="29" fillId="0" borderId="17" xfId="0" applyNumberFormat="1" applyFont="1" applyBorder="1"/>
    <xf numFmtId="4" fontId="29" fillId="0" borderId="2" xfId="0" applyNumberFormat="1" applyFont="1" applyBorder="1"/>
    <xf numFmtId="4" fontId="30" fillId="0" borderId="2" xfId="0" applyNumberFormat="1" applyFont="1" applyBorder="1"/>
    <xf numFmtId="4" fontId="29" fillId="0" borderId="13" xfId="0" applyNumberFormat="1" applyFont="1" applyBorder="1"/>
    <xf numFmtId="4" fontId="29" fillId="0" borderId="1" xfId="0" applyNumberFormat="1" applyFont="1" applyBorder="1"/>
    <xf numFmtId="4" fontId="29" fillId="0" borderId="16" xfId="0" applyNumberFormat="1" applyFont="1" applyBorder="1" applyAlignment="1">
      <alignment horizontal="center"/>
    </xf>
    <xf numFmtId="4" fontId="29" fillId="33" borderId="15" xfId="0" applyNumberFormat="1" applyFont="1" applyFill="1" applyBorder="1"/>
    <xf numFmtId="164" fontId="30" fillId="0" borderId="0" xfId="0" applyFont="1" applyAlignment="1">
      <alignment horizontal="center"/>
    </xf>
    <xf numFmtId="164" fontId="30" fillId="0" borderId="0" xfId="0" applyFont="1" applyAlignment="1">
      <alignment horizontal="center"/>
    </xf>
    <xf numFmtId="164" fontId="33" fillId="0" borderId="0" xfId="0" applyFont="1" applyAlignment="1">
      <alignment horizontal="center"/>
    </xf>
    <xf numFmtId="164" fontId="34" fillId="0" borderId="0" xfId="0" applyFont="1"/>
    <xf numFmtId="164" fontId="35" fillId="0" borderId="19" xfId="0" applyFont="1" applyBorder="1" applyAlignment="1">
      <alignment horizontal="center"/>
    </xf>
    <xf numFmtId="164" fontId="34" fillId="0" borderId="19" xfId="0" applyFont="1" applyBorder="1"/>
    <xf numFmtId="14" fontId="34" fillId="0" borderId="19" xfId="0" applyNumberFormat="1" applyFont="1" applyBorder="1"/>
    <xf numFmtId="164" fontId="34" fillId="0" borderId="19" xfId="0" applyFont="1" applyBorder="1" applyAlignment="1">
      <alignment horizontal="center"/>
    </xf>
    <xf numFmtId="43" fontId="34" fillId="0" borderId="19" xfId="116" applyFont="1" applyBorder="1" applyAlignment="1">
      <alignment horizontal="right"/>
    </xf>
    <xf numFmtId="43" fontId="0" fillId="0" borderId="0" xfId="0" applyNumberFormat="1"/>
    <xf numFmtId="164" fontId="0" fillId="0" borderId="0" xfId="0"/>
    <xf numFmtId="164" fontId="30" fillId="38" borderId="0" xfId="0" applyFont="1" applyFill="1" applyAlignment="1">
      <alignment horizontal="center"/>
    </xf>
    <xf numFmtId="164" fontId="29" fillId="0" borderId="19" xfId="0" applyFont="1" applyBorder="1"/>
    <xf numFmtId="164" fontId="29" fillId="0" borderId="19" xfId="0" applyFont="1" applyBorder="1" applyAlignment="1">
      <alignment horizontal="center"/>
    </xf>
    <xf numFmtId="43" fontId="29" fillId="0" borderId="19" xfId="116" applyFont="1" applyBorder="1"/>
    <xf numFmtId="43" fontId="30" fillId="0" borderId="19" xfId="116" applyFont="1" applyFill="1" applyBorder="1"/>
    <xf numFmtId="164" fontId="29" fillId="0" borderId="19" xfId="0" applyFont="1" applyFill="1" applyBorder="1"/>
    <xf numFmtId="43" fontId="29" fillId="0" borderId="19" xfId="116" applyFont="1" applyFill="1" applyBorder="1"/>
    <xf numFmtId="164" fontId="30" fillId="36" borderId="19" xfId="0" applyFont="1" applyFill="1" applyBorder="1" applyAlignment="1">
      <alignment horizontal="center"/>
    </xf>
    <xf numFmtId="164" fontId="30" fillId="36" borderId="19" xfId="0" applyFont="1" applyFill="1" applyBorder="1" applyAlignment="1">
      <alignment horizontal="center"/>
    </xf>
    <xf numFmtId="164" fontId="0" fillId="0" borderId="0" xfId="0"/>
    <xf numFmtId="164" fontId="30" fillId="0" borderId="18" xfId="0" applyFont="1" applyBorder="1" applyAlignment="1">
      <alignment horizontal="center"/>
    </xf>
    <xf numFmtId="164" fontId="38" fillId="0" borderId="0" xfId="0" applyFont="1" applyAlignment="1">
      <alignment horizontal="center"/>
    </xf>
    <xf numFmtId="164" fontId="39" fillId="0" borderId="0" xfId="0" applyFont="1"/>
    <xf numFmtId="164" fontId="38" fillId="0" borderId="0" xfId="0" applyFont="1" applyAlignment="1"/>
    <xf numFmtId="164" fontId="38" fillId="0" borderId="0" xfId="0" applyFont="1" applyAlignment="1">
      <alignment horizontal="left"/>
    </xf>
    <xf numFmtId="9" fontId="9" fillId="0" borderId="19" xfId="0" applyNumberFormat="1" applyFont="1" applyBorder="1" applyAlignment="1">
      <alignment horizontal="center"/>
    </xf>
    <xf numFmtId="43" fontId="9" fillId="0" borderId="19" xfId="116" applyFont="1" applyBorder="1"/>
    <xf numFmtId="164" fontId="42" fillId="0" borderId="0" xfId="0" applyFont="1" applyAlignment="1">
      <alignment horizontal="center"/>
    </xf>
    <xf numFmtId="164" fontId="43" fillId="0" borderId="0" xfId="0" applyFont="1" applyAlignment="1">
      <alignment horizontal="center"/>
    </xf>
    <xf numFmtId="164" fontId="26" fillId="36" borderId="19" xfId="0" applyFont="1" applyFill="1" applyBorder="1" applyAlignment="1">
      <alignment horizontal="center"/>
    </xf>
    <xf numFmtId="43" fontId="26" fillId="36" borderId="19" xfId="116" applyFont="1" applyFill="1" applyBorder="1"/>
    <xf numFmtId="164" fontId="35" fillId="40" borderId="19" xfId="0" applyFont="1" applyFill="1" applyBorder="1" applyAlignment="1">
      <alignment horizontal="center"/>
    </xf>
    <xf numFmtId="164" fontId="41" fillId="0" borderId="0" xfId="0" applyFont="1" applyAlignment="1">
      <alignment horizontal="center"/>
    </xf>
    <xf numFmtId="164" fontId="35" fillId="36" borderId="19" xfId="0" applyFont="1" applyFill="1" applyBorder="1" applyAlignment="1">
      <alignment horizontal="center"/>
    </xf>
    <xf numFmtId="164" fontId="26" fillId="41" borderId="19" xfId="0" applyFont="1" applyFill="1" applyBorder="1"/>
    <xf numFmtId="43" fontId="26" fillId="41" borderId="19" xfId="0" applyNumberFormat="1" applyFont="1" applyFill="1" applyBorder="1"/>
    <xf numFmtId="164" fontId="9" fillId="0" borderId="19" xfId="0" applyFont="1" applyBorder="1"/>
    <xf numFmtId="164" fontId="41" fillId="0" borderId="0" xfId="0" applyFont="1" applyAlignment="1"/>
    <xf numFmtId="164" fontId="33" fillId="0" borderId="0" xfId="0" applyFont="1" applyAlignment="1"/>
    <xf numFmtId="164" fontId="35" fillId="41" borderId="19" xfId="0" applyFont="1" applyFill="1" applyBorder="1"/>
    <xf numFmtId="164" fontId="34" fillId="41" borderId="19" xfId="0" applyFont="1" applyFill="1" applyBorder="1"/>
    <xf numFmtId="9" fontId="35" fillId="41" borderId="19" xfId="0" applyNumberFormat="1" applyFont="1" applyFill="1" applyBorder="1"/>
    <xf numFmtId="164" fontId="35" fillId="36" borderId="16" xfId="0" applyFont="1" applyFill="1" applyBorder="1" applyAlignment="1">
      <alignment horizontal="center"/>
    </xf>
    <xf numFmtId="164" fontId="35" fillId="36" borderId="19" xfId="0" applyFont="1" applyFill="1" applyBorder="1" applyAlignment="1">
      <alignment horizontal="center" wrapText="1"/>
    </xf>
    <xf numFmtId="164" fontId="34" fillId="0" borderId="0" xfId="0" applyFont="1" applyFill="1"/>
    <xf numFmtId="164" fontId="35" fillId="42" borderId="19" xfId="0" applyFont="1" applyFill="1" applyBorder="1"/>
    <xf numFmtId="43" fontId="35" fillId="42" borderId="19" xfId="0" applyNumberFormat="1" applyFont="1" applyFill="1" applyBorder="1"/>
    <xf numFmtId="164" fontId="34" fillId="42" borderId="0" xfId="0" applyFont="1" applyFill="1"/>
    <xf numFmtId="43" fontId="34" fillId="42" borderId="19" xfId="116" applyFont="1" applyFill="1" applyBorder="1" applyAlignment="1">
      <alignment horizontal="right"/>
    </xf>
    <xf numFmtId="43" fontId="34" fillId="33" borderId="19" xfId="116" applyFont="1" applyFill="1" applyBorder="1"/>
    <xf numFmtId="164" fontId="35" fillId="43" borderId="19" xfId="0" applyFont="1" applyFill="1" applyBorder="1"/>
    <xf numFmtId="43" fontId="35" fillId="43" borderId="19" xfId="116" applyFont="1" applyFill="1" applyBorder="1"/>
    <xf numFmtId="43" fontId="9" fillId="33" borderId="19" xfId="116" applyFont="1" applyFill="1" applyBorder="1"/>
    <xf numFmtId="164" fontId="43" fillId="0" borderId="0" xfId="0" applyFont="1" applyFill="1" applyAlignment="1">
      <alignment horizontal="center"/>
    </xf>
    <xf numFmtId="164" fontId="42" fillId="0" borderId="0" xfId="0" applyFont="1" applyFill="1" applyAlignment="1">
      <alignment horizontal="center"/>
    </xf>
    <xf numFmtId="164" fontId="0" fillId="0" borderId="0" xfId="0" applyFill="1"/>
    <xf numFmtId="164" fontId="35" fillId="0" borderId="24" xfId="0" applyFont="1" applyFill="1" applyBorder="1" applyAlignment="1">
      <alignment horizontal="center"/>
    </xf>
    <xf numFmtId="43" fontId="9" fillId="0" borderId="24" xfId="116" applyFont="1" applyFill="1" applyBorder="1"/>
    <xf numFmtId="43" fontId="26" fillId="0" borderId="24" xfId="116" applyFont="1" applyFill="1" applyBorder="1"/>
    <xf numFmtId="164" fontId="0" fillId="0" borderId="0" xfId="0" applyFill="1" applyBorder="1"/>
    <xf numFmtId="43" fontId="9" fillId="0" borderId="16" xfId="116" applyFont="1" applyBorder="1"/>
    <xf numFmtId="43" fontId="9" fillId="0" borderId="12" xfId="116" applyFont="1" applyFill="1" applyBorder="1"/>
    <xf numFmtId="164" fontId="35" fillId="40" borderId="16" xfId="0" applyFont="1" applyFill="1" applyBorder="1" applyAlignment="1">
      <alignment horizontal="center"/>
    </xf>
    <xf numFmtId="164" fontId="35" fillId="0" borderId="12" xfId="0" applyFont="1" applyFill="1" applyBorder="1" applyAlignment="1">
      <alignment horizontal="center"/>
    </xf>
    <xf numFmtId="43" fontId="9" fillId="33" borderId="16" xfId="116" applyFont="1" applyFill="1" applyBorder="1"/>
    <xf numFmtId="14" fontId="34" fillId="33" borderId="19" xfId="0" applyNumberFormat="1" applyFont="1" applyFill="1" applyBorder="1"/>
    <xf numFmtId="164" fontId="9" fillId="0" borderId="0" xfId="0" applyFont="1"/>
    <xf numFmtId="164" fontId="9" fillId="0" borderId="19" xfId="0" applyFont="1" applyBorder="1" applyAlignment="1">
      <alignment horizontal="center"/>
    </xf>
    <xf numFmtId="164" fontId="0" fillId="36" borderId="19" xfId="0" applyFill="1" applyBorder="1" applyAlignment="1">
      <alignment horizontal="center"/>
    </xf>
    <xf numFmtId="164" fontId="9" fillId="0" borderId="0" xfId="0" applyFont="1" applyBorder="1" applyAlignment="1">
      <alignment horizontal="center"/>
    </xf>
    <xf numFmtId="164" fontId="9" fillId="0" borderId="0" xfId="0" applyFont="1" applyBorder="1"/>
    <xf numFmtId="164" fontId="45" fillId="0" borderId="0" xfId="0" applyFont="1" applyBorder="1" applyAlignment="1">
      <alignment horizontal="center"/>
    </xf>
    <xf numFmtId="165" fontId="9" fillId="0" borderId="0" xfId="0" applyNumberFormat="1" applyFont="1" applyBorder="1" applyAlignment="1">
      <alignment horizontal="center" vertical="top"/>
    </xf>
    <xf numFmtId="165" fontId="9" fillId="0" borderId="0" xfId="0" applyNumberFormat="1" applyFont="1" applyAlignment="1">
      <alignment horizontal="center" vertical="top"/>
    </xf>
    <xf numFmtId="164" fontId="0" fillId="0" borderId="19" xfId="0" applyFont="1" applyBorder="1"/>
    <xf numFmtId="164" fontId="0" fillId="39" borderId="19" xfId="0" applyFont="1" applyFill="1" applyBorder="1" applyAlignment="1">
      <alignment horizontal="center"/>
    </xf>
    <xf numFmtId="164" fontId="9" fillId="45" borderId="19" xfId="0" applyFont="1" applyFill="1" applyBorder="1" applyAlignment="1">
      <alignment horizontal="center"/>
    </xf>
    <xf numFmtId="164" fontId="42" fillId="0" borderId="0" xfId="0" applyFont="1" applyFill="1" applyAlignment="1"/>
    <xf numFmtId="164" fontId="30" fillId="0" borderId="19" xfId="0" applyFont="1" applyFill="1" applyBorder="1"/>
    <xf numFmtId="164" fontId="30" fillId="0" borderId="19" xfId="0" applyFont="1" applyFill="1" applyBorder="1" applyAlignment="1">
      <alignment horizontal="center"/>
    </xf>
    <xf numFmtId="164" fontId="32" fillId="44" borderId="19" xfId="0" applyFont="1" applyFill="1" applyBorder="1" applyAlignment="1">
      <alignment horizontal="center"/>
    </xf>
    <xf numFmtId="43" fontId="9" fillId="0" borderId="19" xfId="116" applyFont="1" applyFill="1" applyBorder="1"/>
    <xf numFmtId="43" fontId="9" fillId="44" borderId="19" xfId="116" applyFont="1" applyFill="1" applyBorder="1"/>
    <xf numFmtId="43" fontId="0" fillId="39" borderId="19" xfId="116" applyFont="1" applyFill="1" applyBorder="1" applyAlignment="1">
      <alignment horizontal="center"/>
    </xf>
    <xf numFmtId="43" fontId="0" fillId="0" borderId="0" xfId="116" applyFont="1"/>
    <xf numFmtId="164" fontId="30" fillId="0" borderId="19" xfId="0" applyFont="1" applyFill="1" applyBorder="1" applyAlignment="1">
      <alignment horizontal="center"/>
    </xf>
    <xf numFmtId="164" fontId="40" fillId="0" borderId="0" xfId="0" applyFont="1" applyAlignment="1">
      <alignment horizontal="center"/>
    </xf>
    <xf numFmtId="164" fontId="0" fillId="0" borderId="0" xfId="0"/>
    <xf numFmtId="164" fontId="0" fillId="0" borderId="0" xfId="0" applyBorder="1"/>
    <xf numFmtId="43" fontId="30" fillId="0" borderId="0" xfId="116" applyFont="1" applyFill="1" applyBorder="1"/>
    <xf numFmtId="164" fontId="29" fillId="0" borderId="0" xfId="0" applyFont="1" applyFill="1"/>
    <xf numFmtId="164" fontId="29" fillId="0" borderId="0" xfId="0" applyFont="1" applyFill="1" applyBorder="1"/>
    <xf numFmtId="164" fontId="30" fillId="0" borderId="0" xfId="0" applyFont="1" applyFill="1" applyBorder="1"/>
    <xf numFmtId="164" fontId="39" fillId="0" borderId="22" xfId="0" applyFont="1" applyBorder="1"/>
    <xf numFmtId="164" fontId="38" fillId="0" borderId="24" xfId="0" applyFont="1" applyBorder="1" applyAlignment="1">
      <alignment horizontal="center"/>
    </xf>
    <xf numFmtId="164" fontId="38" fillId="0" borderId="15" xfId="0" applyFont="1" applyBorder="1"/>
    <xf numFmtId="164" fontId="47" fillId="0" borderId="0" xfId="0" applyFont="1"/>
    <xf numFmtId="164" fontId="48" fillId="0" borderId="0" xfId="0" applyFont="1"/>
    <xf numFmtId="164" fontId="50" fillId="44" borderId="19" xfId="0" applyFont="1" applyFill="1" applyBorder="1" applyAlignment="1">
      <alignment horizontal="center"/>
    </xf>
    <xf numFmtId="164" fontId="40" fillId="0" borderId="0" xfId="0" applyFont="1"/>
    <xf numFmtId="164" fontId="40" fillId="36" borderId="19" xfId="0" applyFont="1" applyFill="1" applyBorder="1" applyAlignment="1">
      <alignment horizontal="center" vertical="top"/>
    </xf>
    <xf numFmtId="164" fontId="40" fillId="36" borderId="19" xfId="0" applyFont="1" applyFill="1" applyBorder="1" applyAlignment="1">
      <alignment horizontal="center" vertical="top" wrapText="1"/>
    </xf>
    <xf numFmtId="164" fontId="40" fillId="0" borderId="20" xfId="0" applyFont="1" applyBorder="1" applyAlignment="1">
      <alignment horizontal="center" vertical="top"/>
    </xf>
    <xf numFmtId="164" fontId="47" fillId="0" borderId="24" xfId="0" applyFont="1" applyBorder="1" applyAlignment="1">
      <alignment horizontal="center"/>
    </xf>
    <xf numFmtId="164" fontId="47" fillId="0" borderId="19" xfId="0" applyFont="1" applyBorder="1" applyAlignment="1">
      <alignment horizontal="center"/>
    </xf>
    <xf numFmtId="43" fontId="47" fillId="33" borderId="19" xfId="116" applyFont="1" applyFill="1" applyBorder="1"/>
    <xf numFmtId="43" fontId="47" fillId="0" borderId="24" xfId="116" applyFont="1" applyBorder="1"/>
    <xf numFmtId="164" fontId="47" fillId="0" borderId="19" xfId="0" applyFont="1" applyBorder="1"/>
    <xf numFmtId="164" fontId="40" fillId="37" borderId="19" xfId="0" applyFont="1" applyFill="1" applyBorder="1"/>
    <xf numFmtId="43" fontId="40" fillId="37" borderId="19" xfId="116" applyFont="1" applyFill="1" applyBorder="1"/>
    <xf numFmtId="43" fontId="40" fillId="0" borderId="24" xfId="116" applyFont="1" applyBorder="1"/>
    <xf numFmtId="164" fontId="48" fillId="0" borderId="0" xfId="0" applyFont="1" applyFill="1" applyBorder="1" applyAlignment="1"/>
    <xf numFmtId="164" fontId="47" fillId="0" borderId="0" xfId="0" applyFont="1" applyFill="1" applyBorder="1"/>
    <xf numFmtId="164" fontId="40" fillId="36" borderId="19" xfId="0" applyFont="1" applyFill="1" applyBorder="1" applyAlignment="1">
      <alignment horizontal="center"/>
    </xf>
    <xf numFmtId="164" fontId="40" fillId="0" borderId="19" xfId="0" applyFont="1" applyFill="1" applyBorder="1" applyAlignment="1">
      <alignment horizontal="center"/>
    </xf>
    <xf numFmtId="164" fontId="40" fillId="0" borderId="19" xfId="0" applyFont="1" applyFill="1" applyBorder="1"/>
    <xf numFmtId="164" fontId="40" fillId="36" borderId="23" xfId="0" applyFont="1" applyFill="1" applyBorder="1" applyAlignment="1">
      <alignment horizontal="center"/>
    </xf>
    <xf numFmtId="164" fontId="40" fillId="0" borderId="0" xfId="0" applyFont="1" applyFill="1" applyBorder="1" applyAlignment="1">
      <alignment horizontal="center"/>
    </xf>
    <xf numFmtId="164" fontId="40" fillId="0" borderId="0" xfId="0" applyFont="1" applyFill="1" applyBorder="1"/>
    <xf numFmtId="43" fontId="47" fillId="0" borderId="19" xfId="116" applyFont="1" applyBorder="1"/>
    <xf numFmtId="43" fontId="47" fillId="33" borderId="23" xfId="116" applyFont="1" applyFill="1" applyBorder="1"/>
    <xf numFmtId="43" fontId="47" fillId="0" borderId="0" xfId="116" applyFont="1" applyFill="1" applyBorder="1"/>
    <xf numFmtId="43" fontId="40" fillId="0" borderId="19" xfId="116" applyFont="1" applyFill="1" applyBorder="1"/>
    <xf numFmtId="43" fontId="40" fillId="37" borderId="23" xfId="116" applyFont="1" applyFill="1" applyBorder="1"/>
    <xf numFmtId="43" fontId="40" fillId="0" borderId="0" xfId="116" applyFont="1" applyFill="1" applyBorder="1"/>
    <xf numFmtId="164" fontId="47" fillId="0" borderId="0" xfId="0" applyFont="1" applyFill="1"/>
    <xf numFmtId="164" fontId="40" fillId="0" borderId="13" xfId="0" applyFont="1" applyFill="1" applyBorder="1"/>
    <xf numFmtId="43" fontId="40" fillId="0" borderId="1" xfId="116" applyFont="1" applyFill="1" applyBorder="1"/>
    <xf numFmtId="4" fontId="29" fillId="46" borderId="15" xfId="0" applyNumberFormat="1" applyFont="1" applyFill="1" applyBorder="1"/>
    <xf numFmtId="4" fontId="47" fillId="0" borderId="0" xfId="0" applyNumberFormat="1" applyFont="1" applyBorder="1"/>
    <xf numFmtId="164" fontId="49" fillId="0" borderId="0" xfId="0" applyFont="1" applyFill="1" applyBorder="1" applyAlignment="1">
      <alignment horizontal="center"/>
    </xf>
    <xf numFmtId="164" fontId="47" fillId="0" borderId="0" xfId="0" applyFont="1" applyBorder="1"/>
    <xf numFmtId="43" fontId="47" fillId="0" borderId="0" xfId="116" applyFont="1" applyBorder="1"/>
    <xf numFmtId="43" fontId="47" fillId="33" borderId="0" xfId="116" applyFont="1" applyFill="1" applyBorder="1"/>
    <xf numFmtId="164" fontId="29" fillId="53" borderId="0" xfId="0" applyFont="1" applyFill="1"/>
    <xf numFmtId="164" fontId="30" fillId="50" borderId="21" xfId="0" applyFont="1" applyFill="1" applyBorder="1"/>
    <xf numFmtId="43" fontId="29" fillId="48" borderId="19" xfId="116" applyFont="1" applyFill="1" applyBorder="1"/>
    <xf numFmtId="43" fontId="29" fillId="38" borderId="19" xfId="116" applyFont="1" applyFill="1" applyBorder="1"/>
    <xf numFmtId="43" fontId="29" fillId="47" borderId="19" xfId="116" applyFont="1" applyFill="1" applyBorder="1"/>
    <xf numFmtId="164" fontId="29" fillId="51" borderId="19" xfId="0" applyFont="1" applyFill="1" applyBorder="1"/>
    <xf numFmtId="43" fontId="29" fillId="51" borderId="19" xfId="116" applyFont="1" applyFill="1" applyBorder="1"/>
    <xf numFmtId="43" fontId="29" fillId="55" borderId="19" xfId="116" applyFont="1" applyFill="1" applyBorder="1"/>
    <xf numFmtId="43" fontId="29" fillId="35" borderId="19" xfId="116" applyFont="1" applyFill="1" applyBorder="1"/>
    <xf numFmtId="43" fontId="29" fillId="44" borderId="19" xfId="116" applyFont="1" applyFill="1" applyBorder="1"/>
    <xf numFmtId="43" fontId="29" fillId="50" borderId="19" xfId="116" applyFont="1" applyFill="1" applyBorder="1"/>
    <xf numFmtId="4" fontId="29" fillId="44" borderId="15" xfId="0" applyNumberFormat="1" applyFont="1" applyFill="1" applyBorder="1"/>
    <xf numFmtId="4" fontId="29" fillId="44" borderId="15" xfId="0" quotePrefix="1" applyNumberFormat="1" applyFont="1" applyFill="1" applyBorder="1"/>
    <xf numFmtId="4" fontId="29" fillId="36" borderId="14" xfId="0" applyNumberFormat="1" applyFont="1" applyFill="1" applyBorder="1"/>
    <xf numFmtId="4" fontId="29" fillId="38" borderId="18" xfId="0" applyNumberFormat="1" applyFont="1" applyFill="1" applyBorder="1"/>
    <xf numFmtId="4" fontId="30" fillId="54" borderId="16" xfId="0" applyNumberFormat="1" applyFont="1" applyFill="1" applyBorder="1"/>
    <xf numFmtId="4" fontId="29" fillId="48" borderId="15" xfId="0" applyNumberFormat="1" applyFont="1" applyFill="1" applyBorder="1"/>
    <xf numFmtId="4" fontId="29" fillId="56" borderId="14" xfId="0" applyNumberFormat="1" applyFont="1" applyFill="1" applyBorder="1"/>
    <xf numFmtId="4" fontId="29" fillId="39" borderId="15" xfId="0" applyNumberFormat="1" applyFont="1" applyFill="1" applyBorder="1"/>
    <xf numFmtId="4" fontId="29" fillId="35" borderId="15" xfId="0" applyNumberFormat="1" applyFont="1" applyFill="1" applyBorder="1"/>
    <xf numFmtId="4" fontId="29" fillId="34" borderId="14" xfId="0" applyNumberFormat="1" applyFont="1" applyFill="1" applyBorder="1"/>
    <xf numFmtId="164" fontId="29" fillId="0" borderId="19" xfId="0" applyFont="1" applyFill="1" applyBorder="1" applyAlignment="1">
      <alignment horizontal="center"/>
    </xf>
    <xf numFmtId="43" fontId="40" fillId="37" borderId="0" xfId="116" applyFont="1" applyFill="1" applyBorder="1"/>
    <xf numFmtId="164" fontId="40" fillId="49" borderId="19" xfId="0" applyFont="1" applyFill="1" applyBorder="1"/>
    <xf numFmtId="43" fontId="40" fillId="49" borderId="19" xfId="116" applyFont="1" applyFill="1" applyBorder="1"/>
    <xf numFmtId="165" fontId="0" fillId="0" borderId="0" xfId="0" applyNumberFormat="1"/>
    <xf numFmtId="43" fontId="26" fillId="36" borderId="23" xfId="116" applyFont="1" applyFill="1" applyBorder="1"/>
    <xf numFmtId="43" fontId="26" fillId="36" borderId="0" xfId="116" applyFont="1" applyFill="1" applyBorder="1"/>
    <xf numFmtId="43" fontId="26" fillId="41" borderId="12" xfId="116" applyFont="1" applyFill="1" applyBorder="1"/>
    <xf numFmtId="164" fontId="45" fillId="0" borderId="0" xfId="0" applyFont="1"/>
    <xf numFmtId="165" fontId="9" fillId="0" borderId="0" xfId="0" applyNumberFormat="1" applyFont="1"/>
    <xf numFmtId="43" fontId="9" fillId="0" borderId="0" xfId="116" applyFont="1"/>
    <xf numFmtId="164" fontId="9" fillId="0" borderId="0" xfId="0" applyFont="1" applyFill="1"/>
    <xf numFmtId="164" fontId="33" fillId="0" borderId="0" xfId="0" applyFont="1" applyAlignment="1">
      <alignment horizontal="center"/>
    </xf>
    <xf numFmtId="164" fontId="29" fillId="0" borderId="19" xfId="0" applyFont="1" applyBorder="1" applyAlignment="1">
      <alignment horizontal="center" wrapText="1"/>
    </xf>
    <xf numFmtId="43" fontId="47" fillId="0" borderId="19" xfId="116" applyFont="1" applyFill="1" applyBorder="1"/>
    <xf numFmtId="43" fontId="34" fillId="0" borderId="19" xfId="116" applyFont="1" applyFill="1" applyBorder="1"/>
    <xf numFmtId="43" fontId="29" fillId="38" borderId="19" xfId="116" applyFont="1" applyFill="1" applyBorder="1" applyAlignment="1">
      <alignment horizontal="right" vertical="center"/>
    </xf>
    <xf numFmtId="43" fontId="29" fillId="38" borderId="19" xfId="116" applyFont="1" applyFill="1" applyBorder="1" applyAlignment="1">
      <alignment vertical="center"/>
    </xf>
    <xf numFmtId="43" fontId="47" fillId="33" borderId="19" xfId="116" applyFont="1" applyFill="1" applyBorder="1" applyAlignment="1">
      <alignment vertical="center"/>
    </xf>
    <xf numFmtId="164" fontId="29" fillId="51" borderId="19" xfId="0" applyFont="1" applyFill="1" applyBorder="1" applyAlignment="1">
      <alignment vertical="center"/>
    </xf>
    <xf numFmtId="43" fontId="29" fillId="51" borderId="19" xfId="116" applyFont="1" applyFill="1" applyBorder="1" applyAlignment="1">
      <alignment vertical="center"/>
    </xf>
    <xf numFmtId="43" fontId="29" fillId="0" borderId="19" xfId="116" applyFont="1" applyFill="1" applyBorder="1" applyAlignment="1">
      <alignment horizontal="right" vertical="center"/>
    </xf>
    <xf numFmtId="43" fontId="29" fillId="47" borderId="19" xfId="116" applyFont="1" applyFill="1" applyBorder="1" applyAlignment="1">
      <alignment vertical="center"/>
    </xf>
    <xf numFmtId="164" fontId="29" fillId="0" borderId="19" xfId="0" applyFont="1" applyFill="1" applyBorder="1" applyAlignment="1">
      <alignment vertical="center"/>
    </xf>
    <xf numFmtId="43" fontId="29" fillId="50" borderId="19" xfId="116" applyFont="1" applyFill="1" applyBorder="1" applyAlignment="1">
      <alignment vertical="center"/>
    </xf>
    <xf numFmtId="43" fontId="47" fillId="0" borderId="19" xfId="116" applyFont="1" applyFill="1" applyBorder="1" applyAlignment="1">
      <alignment vertical="center"/>
    </xf>
    <xf numFmtId="4" fontId="54" fillId="33" borderId="19" xfId="0" applyNumberFormat="1" applyFont="1" applyFill="1" applyBorder="1"/>
    <xf numFmtId="4" fontId="54" fillId="33" borderId="23" xfId="0" applyNumberFormat="1" applyFont="1" applyFill="1" applyBorder="1" applyAlignment="1">
      <alignment horizontal="right"/>
    </xf>
    <xf numFmtId="4" fontId="54" fillId="33" borderId="19" xfId="0" applyNumberFormat="1" applyFont="1" applyFill="1" applyBorder="1" applyAlignment="1">
      <alignment horizontal="right"/>
    </xf>
    <xf numFmtId="4" fontId="54" fillId="33" borderId="22" xfId="0" applyNumberFormat="1" applyFont="1" applyFill="1" applyBorder="1"/>
    <xf numFmtId="4" fontId="54" fillId="33" borderId="23" xfId="0" applyNumberFormat="1" applyFont="1" applyFill="1" applyBorder="1"/>
    <xf numFmtId="4" fontId="54" fillId="33" borderId="23" xfId="0" applyNumberFormat="1" applyFont="1" applyFill="1" applyBorder="1" applyAlignment="1">
      <alignment horizontal="center"/>
    </xf>
    <xf numFmtId="4" fontId="54" fillId="33" borderId="13" xfId="0" applyNumberFormat="1" applyFont="1" applyFill="1" applyBorder="1" applyAlignment="1">
      <alignment horizontal="center"/>
    </xf>
    <xf numFmtId="4" fontId="54" fillId="33" borderId="0" xfId="0" applyNumberFormat="1" applyFont="1" applyFill="1"/>
    <xf numFmtId="164" fontId="47" fillId="33" borderId="0" xfId="0" applyFont="1" applyFill="1"/>
    <xf numFmtId="4" fontId="55" fillId="33" borderId="19" xfId="0" applyNumberFormat="1" applyFont="1" applyFill="1" applyBorder="1"/>
    <xf numFmtId="4" fontId="1" fillId="33" borderId="19" xfId="0" applyNumberFormat="1" applyFont="1" applyFill="1" applyBorder="1"/>
    <xf numFmtId="164" fontId="47" fillId="33" borderId="19" xfId="0" applyFont="1" applyFill="1" applyBorder="1"/>
    <xf numFmtId="164" fontId="47" fillId="0" borderId="0" xfId="0" applyFont="1" applyFill="1" applyBorder="1" applyAlignment="1"/>
    <xf numFmtId="164" fontId="47" fillId="0" borderId="0" xfId="0" applyFont="1" applyFill="1" applyBorder="1" applyAlignment="1">
      <alignment horizontal="left"/>
    </xf>
    <xf numFmtId="43" fontId="47" fillId="0" borderId="0" xfId="116" applyFont="1" applyFill="1" applyBorder="1" applyAlignment="1"/>
    <xf numFmtId="43" fontId="47" fillId="0" borderId="0" xfId="116" applyFont="1" applyFill="1" applyBorder="1" applyAlignment="1">
      <alignment horizontal="right"/>
    </xf>
    <xf numFmtId="43" fontId="47" fillId="0" borderId="0" xfId="116" applyFont="1"/>
    <xf numFmtId="43" fontId="9" fillId="0" borderId="19" xfId="0" applyNumberFormat="1" applyFont="1" applyFill="1" applyBorder="1"/>
    <xf numFmtId="43" fontId="9" fillId="33" borderId="19" xfId="116" applyNumberFormat="1" applyFont="1" applyFill="1" applyBorder="1"/>
    <xf numFmtId="164" fontId="0" fillId="33" borderId="0" xfId="0" applyFill="1"/>
    <xf numFmtId="164" fontId="0" fillId="0" borderId="0" xfId="0" applyAlignment="1">
      <alignment horizontal="justify" vertical="top"/>
    </xf>
    <xf numFmtId="164" fontId="56" fillId="0" borderId="0" xfId="0" applyFont="1"/>
    <xf numFmtId="164" fontId="57" fillId="36" borderId="13" xfId="0" applyFont="1" applyFill="1" applyBorder="1"/>
    <xf numFmtId="164" fontId="58" fillId="36" borderId="1" xfId="0" applyFont="1" applyFill="1" applyBorder="1"/>
    <xf numFmtId="164" fontId="0" fillId="36" borderId="14" xfId="0" applyFill="1" applyBorder="1"/>
    <xf numFmtId="164" fontId="60" fillId="41" borderId="12" xfId="0" applyFont="1" applyFill="1" applyBorder="1"/>
    <xf numFmtId="164" fontId="0" fillId="41" borderId="0" xfId="0" applyFill="1"/>
    <xf numFmtId="164" fontId="0" fillId="41" borderId="15" xfId="0" applyFill="1" applyBorder="1"/>
    <xf numFmtId="164" fontId="0" fillId="41" borderId="12" xfId="0" applyFill="1" applyBorder="1"/>
    <xf numFmtId="164" fontId="0" fillId="41" borderId="17" xfId="0" applyFill="1" applyBorder="1"/>
    <xf numFmtId="164" fontId="0" fillId="41" borderId="2" xfId="0" applyFill="1" applyBorder="1"/>
    <xf numFmtId="164" fontId="0" fillId="41" borderId="18" xfId="0" applyFill="1" applyBorder="1"/>
    <xf numFmtId="165" fontId="0" fillId="0" borderId="0" xfId="0" applyNumberFormat="1" applyAlignment="1">
      <alignment horizontal="center" vertical="top"/>
    </xf>
    <xf numFmtId="165" fontId="0" fillId="0" borderId="0" xfId="0" applyNumberFormat="1" applyAlignment="1">
      <alignment horizontal="center"/>
    </xf>
    <xf numFmtId="165" fontId="42" fillId="33" borderId="0" xfId="0" applyNumberFormat="1" applyFont="1" applyFill="1" applyAlignment="1">
      <alignment horizontal="left"/>
    </xf>
    <xf numFmtId="164" fontId="0" fillId="0" borderId="0" xfId="0" applyFill="1" applyAlignment="1">
      <alignment horizontal="justify" vertical="top"/>
    </xf>
    <xf numFmtId="164" fontId="9" fillId="0" borderId="0" xfId="0" applyFont="1" applyFill="1" applyAlignment="1">
      <alignment vertical="top"/>
    </xf>
    <xf numFmtId="165" fontId="61" fillId="36" borderId="0" xfId="0" applyNumberFormat="1" applyFont="1" applyFill="1" applyAlignment="1">
      <alignment horizontal="center" vertical="top"/>
    </xf>
    <xf numFmtId="165" fontId="42" fillId="0" borderId="0" xfId="0" applyNumberFormat="1" applyFont="1" applyFill="1" applyAlignment="1">
      <alignment horizontal="left"/>
    </xf>
    <xf numFmtId="164" fontId="59" fillId="38" borderId="12" xfId="0" applyFont="1" applyFill="1" applyBorder="1" applyAlignment="1">
      <alignment horizontal="left"/>
    </xf>
    <xf numFmtId="164" fontId="59" fillId="38" borderId="0" xfId="0" applyFont="1" applyFill="1" applyAlignment="1">
      <alignment horizontal="left"/>
    </xf>
    <xf numFmtId="164" fontId="59" fillId="38" borderId="15" xfId="0" applyFont="1" applyFill="1" applyBorder="1" applyAlignment="1">
      <alignment horizontal="left"/>
    </xf>
    <xf numFmtId="164" fontId="9" fillId="38" borderId="0" xfId="0" applyFont="1" applyFill="1" applyAlignment="1">
      <alignment horizontal="left" vertical="top"/>
    </xf>
    <xf numFmtId="164" fontId="9" fillId="38" borderId="0" xfId="0" applyFont="1" applyFill="1" applyAlignment="1">
      <alignment horizontal="left" vertical="top" wrapText="1"/>
    </xf>
    <xf numFmtId="164" fontId="40" fillId="33" borderId="0" xfId="0" applyFont="1" applyFill="1" applyAlignment="1">
      <alignment horizontal="center"/>
    </xf>
    <xf numFmtId="164" fontId="48" fillId="33" borderId="0" xfId="0" applyFont="1" applyFill="1" applyAlignment="1">
      <alignment horizontal="center"/>
    </xf>
    <xf numFmtId="164" fontId="46" fillId="34" borderId="0" xfId="0" applyFont="1" applyFill="1" applyAlignment="1">
      <alignment horizontal="center"/>
    </xf>
    <xf numFmtId="164" fontId="49" fillId="44" borderId="23" xfId="0" applyFont="1" applyFill="1" applyBorder="1" applyAlignment="1">
      <alignment horizontal="center"/>
    </xf>
    <xf numFmtId="164" fontId="49" fillId="44" borderId="16" xfId="0" applyFont="1" applyFill="1" applyBorder="1" applyAlignment="1">
      <alignment horizontal="center"/>
    </xf>
    <xf numFmtId="164" fontId="38" fillId="35" borderId="17" xfId="0" applyFont="1" applyFill="1" applyBorder="1" applyAlignment="1">
      <alignment horizontal="center"/>
    </xf>
    <xf numFmtId="164" fontId="38" fillId="35" borderId="2" xfId="0" applyFont="1" applyFill="1" applyBorder="1" applyAlignment="1">
      <alignment horizontal="center"/>
    </xf>
    <xf numFmtId="164" fontId="40" fillId="0" borderId="0" xfId="0" applyFont="1" applyFill="1" applyBorder="1" applyAlignment="1">
      <alignment horizontal="center"/>
    </xf>
    <xf numFmtId="164" fontId="38" fillId="35" borderId="0" xfId="0" applyFont="1" applyFill="1" applyBorder="1" applyAlignment="1">
      <alignment horizontal="center"/>
    </xf>
    <xf numFmtId="164" fontId="49" fillId="44" borderId="21" xfId="0" applyFont="1" applyFill="1" applyBorder="1" applyAlignment="1">
      <alignment horizontal="center"/>
    </xf>
    <xf numFmtId="164" fontId="38" fillId="35" borderId="23" xfId="0" applyFont="1" applyFill="1" applyBorder="1" applyAlignment="1">
      <alignment horizontal="center"/>
    </xf>
    <xf numFmtId="164" fontId="38" fillId="35" borderId="21" xfId="0" applyFont="1" applyFill="1" applyBorder="1" applyAlignment="1">
      <alignment horizontal="center"/>
    </xf>
    <xf numFmtId="4" fontId="47" fillId="38" borderId="12" xfId="0" applyNumberFormat="1" applyFont="1" applyFill="1" applyBorder="1" applyAlignment="1">
      <alignment horizontal="center"/>
    </xf>
    <xf numFmtId="4" fontId="47" fillId="38" borderId="0" xfId="0" applyNumberFormat="1" applyFont="1" applyFill="1" applyBorder="1" applyAlignment="1">
      <alignment horizontal="center"/>
    </xf>
    <xf numFmtId="164" fontId="29" fillId="52" borderId="0" xfId="0" applyFont="1" applyFill="1" applyAlignment="1">
      <alignment horizontal="center"/>
    </xf>
    <xf numFmtId="4" fontId="47" fillId="54" borderId="12" xfId="0" applyNumberFormat="1" applyFont="1" applyFill="1" applyBorder="1" applyAlignment="1">
      <alignment horizontal="center"/>
    </xf>
    <xf numFmtId="4" fontId="47" fillId="54" borderId="0" xfId="0" applyNumberFormat="1" applyFont="1" applyFill="1" applyBorder="1" applyAlignment="1">
      <alignment horizontal="center"/>
    </xf>
    <xf numFmtId="164" fontId="46" fillId="34" borderId="0" xfId="0" applyFont="1" applyFill="1" applyBorder="1" applyAlignment="1">
      <alignment horizontal="center"/>
    </xf>
    <xf numFmtId="4" fontId="47" fillId="35" borderId="12" xfId="0" applyNumberFormat="1" applyFont="1" applyFill="1" applyBorder="1" applyAlignment="1">
      <alignment horizontal="center"/>
    </xf>
    <xf numFmtId="4" fontId="47" fillId="35" borderId="0" xfId="0" applyNumberFormat="1" applyFont="1" applyFill="1" applyBorder="1" applyAlignment="1">
      <alignment horizontal="center"/>
    </xf>
    <xf numFmtId="164" fontId="47" fillId="36" borderId="0" xfId="0" applyFont="1" applyFill="1" applyAlignment="1">
      <alignment horizontal="center"/>
    </xf>
    <xf numFmtId="164" fontId="40" fillId="54" borderId="23" xfId="0" applyFont="1" applyFill="1" applyBorder="1" applyAlignment="1">
      <alignment horizontal="center"/>
    </xf>
    <xf numFmtId="164" fontId="40" fillId="54" borderId="21" xfId="0" applyFont="1" applyFill="1" applyBorder="1" applyAlignment="1">
      <alignment horizontal="center"/>
    </xf>
    <xf numFmtId="164" fontId="40" fillId="54" borderId="16" xfId="0" applyFont="1" applyFill="1" applyBorder="1" applyAlignment="1">
      <alignment horizontal="center"/>
    </xf>
    <xf numFmtId="164" fontId="41" fillId="0" borderId="0" xfId="0" applyFont="1" applyAlignment="1">
      <alignment horizontal="center"/>
    </xf>
    <xf numFmtId="164" fontId="35" fillId="36" borderId="12" xfId="0" applyFont="1" applyFill="1" applyBorder="1" applyAlignment="1">
      <alignment horizontal="center"/>
    </xf>
    <xf numFmtId="164" fontId="35" fillId="36" borderId="0" xfId="0" applyFont="1" applyFill="1" applyBorder="1" applyAlignment="1">
      <alignment horizontal="center"/>
    </xf>
    <xf numFmtId="164" fontId="35" fillId="36" borderId="15" xfId="0" applyFont="1" applyFill="1" applyBorder="1" applyAlignment="1">
      <alignment horizontal="center"/>
    </xf>
    <xf numFmtId="164" fontId="35" fillId="39" borderId="12" xfId="0" applyFont="1" applyFill="1" applyBorder="1" applyAlignment="1">
      <alignment horizontal="center"/>
    </xf>
    <xf numFmtId="164" fontId="35" fillId="39" borderId="0" xfId="0" applyFont="1" applyFill="1" applyBorder="1" applyAlignment="1">
      <alignment horizontal="center"/>
    </xf>
    <xf numFmtId="164" fontId="35" fillId="39" borderId="15" xfId="0" applyFont="1" applyFill="1" applyBorder="1" applyAlignment="1">
      <alignment horizontal="center"/>
    </xf>
    <xf numFmtId="164" fontId="35" fillId="38" borderId="12" xfId="0" applyFont="1" applyFill="1" applyBorder="1" applyAlignment="1">
      <alignment horizontal="center"/>
    </xf>
    <xf numFmtId="164" fontId="35" fillId="38" borderId="0" xfId="0" applyFont="1" applyFill="1" applyBorder="1" applyAlignment="1">
      <alignment horizontal="center"/>
    </xf>
    <xf numFmtId="164" fontId="42" fillId="34" borderId="0" xfId="0" applyFont="1" applyFill="1" applyAlignment="1">
      <alignment horizontal="center"/>
    </xf>
    <xf numFmtId="164" fontId="35" fillId="40" borderId="19" xfId="0" applyFont="1" applyFill="1" applyBorder="1" applyAlignment="1">
      <alignment horizontal="center" vertical="center"/>
    </xf>
    <xf numFmtId="164" fontId="44" fillId="34" borderId="0" xfId="0" applyFont="1" applyFill="1" applyAlignment="1">
      <alignment horizontal="center"/>
    </xf>
    <xf numFmtId="164" fontId="33" fillId="0" borderId="0" xfId="0" applyFont="1" applyAlignment="1">
      <alignment horizontal="center"/>
    </xf>
    <xf numFmtId="164" fontId="35" fillId="34" borderId="23" xfId="0" applyFont="1" applyFill="1" applyBorder="1" applyAlignment="1">
      <alignment horizontal="center"/>
    </xf>
    <xf numFmtId="164" fontId="35" fillId="34" borderId="21" xfId="0" applyFont="1" applyFill="1" applyBorder="1" applyAlignment="1">
      <alignment horizontal="center"/>
    </xf>
    <xf numFmtId="164" fontId="35" fillId="34" borderId="16" xfId="0" applyFont="1" applyFill="1" applyBorder="1" applyAlignment="1">
      <alignment horizontal="center"/>
    </xf>
    <xf numFmtId="164" fontId="31" fillId="44" borderId="23" xfId="0" applyFont="1" applyFill="1" applyBorder="1" applyAlignment="1">
      <alignment horizontal="center"/>
    </xf>
    <xf numFmtId="164" fontId="31" fillId="44" borderId="16" xfId="0" applyFont="1" applyFill="1" applyBorder="1" applyAlignment="1">
      <alignment horizontal="center"/>
    </xf>
    <xf numFmtId="164" fontId="28" fillId="34" borderId="0" xfId="0" applyFont="1" applyFill="1" applyAlignment="1">
      <alignment horizontal="center"/>
    </xf>
    <xf numFmtId="164" fontId="36" fillId="0" borderId="0" xfId="0" applyFont="1" applyAlignment="1">
      <alignment horizontal="center"/>
    </xf>
    <xf numFmtId="164" fontId="37" fillId="0" borderId="0" xfId="0" applyFont="1" applyAlignment="1">
      <alignment horizontal="center"/>
    </xf>
    <xf numFmtId="164" fontId="28" fillId="34" borderId="0" xfId="0" applyFont="1" applyFill="1" applyBorder="1" applyAlignment="1">
      <alignment horizontal="center" wrapText="1"/>
    </xf>
    <xf numFmtId="164" fontId="30" fillId="35" borderId="17" xfId="0" applyFont="1" applyFill="1" applyBorder="1" applyAlignment="1">
      <alignment horizontal="center"/>
    </xf>
    <xf numFmtId="164" fontId="30" fillId="35" borderId="2" xfId="0" applyFont="1" applyFill="1" applyBorder="1" applyAlignment="1">
      <alignment horizontal="center"/>
    </xf>
    <xf numFmtId="164" fontId="30" fillId="35" borderId="18" xfId="0" applyFont="1" applyFill="1" applyBorder="1" applyAlignment="1">
      <alignment horizontal="center"/>
    </xf>
    <xf numFmtId="164" fontId="30" fillId="0" borderId="19" xfId="0" applyFont="1" applyFill="1" applyBorder="1" applyAlignment="1">
      <alignment horizontal="center"/>
    </xf>
    <xf numFmtId="164" fontId="31" fillId="44" borderId="21" xfId="0" applyFont="1" applyFill="1" applyBorder="1" applyAlignment="1">
      <alignment horizontal="center"/>
    </xf>
    <xf numFmtId="164" fontId="28" fillId="34" borderId="2" xfId="0" applyFont="1" applyFill="1" applyBorder="1" applyAlignment="1">
      <alignment horizontal="center"/>
    </xf>
    <xf numFmtId="164" fontId="30" fillId="35" borderId="23" xfId="0" applyFont="1" applyFill="1" applyBorder="1" applyAlignment="1">
      <alignment horizontal="center"/>
    </xf>
    <xf numFmtId="164" fontId="30" fillId="35" borderId="21" xfId="0" applyFont="1" applyFill="1" applyBorder="1" applyAlignment="1">
      <alignment horizontal="center"/>
    </xf>
    <xf numFmtId="164" fontId="30" fillId="35" borderId="16" xfId="0" applyFont="1" applyFill="1" applyBorder="1" applyAlignment="1">
      <alignment horizontal="center"/>
    </xf>
    <xf numFmtId="4" fontId="28" fillId="34" borderId="2" xfId="0" applyNumberFormat="1" applyFont="1" applyFill="1" applyBorder="1" applyAlignment="1">
      <alignment horizontal="center"/>
    </xf>
    <xf numFmtId="164" fontId="28" fillId="34" borderId="0" xfId="0" applyFont="1" applyFill="1" applyBorder="1" applyAlignment="1">
      <alignment horizontal="center"/>
    </xf>
    <xf numFmtId="164" fontId="38" fillId="0" borderId="0" xfId="0" applyFont="1" applyAlignment="1">
      <alignment horizontal="center"/>
    </xf>
    <xf numFmtId="164" fontId="40" fillId="0" borderId="0" xfId="0" applyFont="1" applyAlignment="1">
      <alignment horizontal="center"/>
    </xf>
    <xf numFmtId="164" fontId="28" fillId="34" borderId="13" xfId="0" applyFont="1" applyFill="1" applyBorder="1" applyAlignment="1">
      <alignment horizontal="center"/>
    </xf>
    <xf numFmtId="164" fontId="28" fillId="34" borderId="1" xfId="0" applyFont="1" applyFill="1" applyBorder="1" applyAlignment="1">
      <alignment horizontal="center"/>
    </xf>
    <xf numFmtId="164" fontId="28" fillId="34" borderId="14" xfId="0" applyFont="1" applyFill="1" applyBorder="1" applyAlignment="1">
      <alignment horizontal="center"/>
    </xf>
    <xf numFmtId="164" fontId="9" fillId="0" borderId="0" xfId="0" applyFont="1" applyBorder="1" applyAlignment="1">
      <alignment horizontal="justify" vertical="top" wrapText="1"/>
    </xf>
    <xf numFmtId="164" fontId="0" fillId="0" borderId="0" xfId="0" applyAlignment="1">
      <alignment horizontal="justify" vertical="top" wrapText="1"/>
    </xf>
    <xf numFmtId="164" fontId="51" fillId="0" borderId="0" xfId="0" applyFont="1" applyAlignment="1">
      <alignment horizontal="left" vertical="center"/>
    </xf>
    <xf numFmtId="164" fontId="43" fillId="0" borderId="0" xfId="0" applyFont="1" applyAlignment="1">
      <alignment horizontal="center"/>
    </xf>
  </cellXfs>
  <cellStyles count="120">
    <cellStyle name="20% - Accent1" xfId="1" builtinId="30" customBuiltin="1"/>
    <cellStyle name="20% - Accent1 2" xfId="62" xr:uid="{00000000-0005-0000-0000-000001000000}"/>
    <cellStyle name="20% - Accent1 3" xfId="76" xr:uid="{00000000-0005-0000-0000-000002000000}"/>
    <cellStyle name="20% - Accent1 4" xfId="90" xr:uid="{00000000-0005-0000-0000-000003000000}"/>
    <cellStyle name="20% - Accent1 5" xfId="104" xr:uid="{00000000-0005-0000-0000-000004000000}"/>
    <cellStyle name="20% - Accent2" xfId="2" builtinId="34" customBuiltin="1"/>
    <cellStyle name="20% - Accent2 2" xfId="64" xr:uid="{00000000-0005-0000-0000-000006000000}"/>
    <cellStyle name="20% - Accent2 3" xfId="78" xr:uid="{00000000-0005-0000-0000-000007000000}"/>
    <cellStyle name="20% - Accent2 4" xfId="92" xr:uid="{00000000-0005-0000-0000-000008000000}"/>
    <cellStyle name="20% - Accent2 5" xfId="106" xr:uid="{00000000-0005-0000-0000-000009000000}"/>
    <cellStyle name="20% - Accent3" xfId="3" builtinId="38" customBuiltin="1"/>
    <cellStyle name="20% - Accent3 2" xfId="66" xr:uid="{00000000-0005-0000-0000-00000B000000}"/>
    <cellStyle name="20% - Accent3 3" xfId="80" xr:uid="{00000000-0005-0000-0000-00000C000000}"/>
    <cellStyle name="20% - Accent3 4" xfId="94" xr:uid="{00000000-0005-0000-0000-00000D000000}"/>
    <cellStyle name="20% - Accent3 5" xfId="108" xr:uid="{00000000-0005-0000-0000-00000E000000}"/>
    <cellStyle name="20% - Accent4" xfId="4" builtinId="42" customBuiltin="1"/>
    <cellStyle name="20% - Accent4 2" xfId="68" xr:uid="{00000000-0005-0000-0000-000010000000}"/>
    <cellStyle name="20% - Accent4 3" xfId="82" xr:uid="{00000000-0005-0000-0000-000011000000}"/>
    <cellStyle name="20% - Accent4 4" xfId="96" xr:uid="{00000000-0005-0000-0000-000012000000}"/>
    <cellStyle name="20% - Accent4 5" xfId="110" xr:uid="{00000000-0005-0000-0000-000013000000}"/>
    <cellStyle name="20% - Accent5" xfId="5" builtinId="46" customBuiltin="1"/>
    <cellStyle name="20% - Accent5 2" xfId="70" xr:uid="{00000000-0005-0000-0000-000015000000}"/>
    <cellStyle name="20% - Accent5 3" xfId="84" xr:uid="{00000000-0005-0000-0000-000016000000}"/>
    <cellStyle name="20% - Accent5 4" xfId="98" xr:uid="{00000000-0005-0000-0000-000017000000}"/>
    <cellStyle name="20% - Accent5 5" xfId="112" xr:uid="{00000000-0005-0000-0000-000018000000}"/>
    <cellStyle name="20% - Accent6" xfId="6" builtinId="50" customBuiltin="1"/>
    <cellStyle name="20% - Accent6 2" xfId="72" xr:uid="{00000000-0005-0000-0000-00001A000000}"/>
    <cellStyle name="20% - Accent6 3" xfId="86" xr:uid="{00000000-0005-0000-0000-00001B000000}"/>
    <cellStyle name="20% - Accent6 4" xfId="100" xr:uid="{00000000-0005-0000-0000-00001C000000}"/>
    <cellStyle name="20% - Accent6 5" xfId="114" xr:uid="{00000000-0005-0000-0000-00001D000000}"/>
    <cellStyle name="40% - Accent1" xfId="7" builtinId="31" customBuiltin="1"/>
    <cellStyle name="40% - Accent1 2" xfId="63" xr:uid="{00000000-0005-0000-0000-00001F000000}"/>
    <cellStyle name="40% - Accent1 3" xfId="77" xr:uid="{00000000-0005-0000-0000-000020000000}"/>
    <cellStyle name="40% - Accent1 4" xfId="91" xr:uid="{00000000-0005-0000-0000-000021000000}"/>
    <cellStyle name="40% - Accent1 5" xfId="105" xr:uid="{00000000-0005-0000-0000-000022000000}"/>
    <cellStyle name="40% - Accent2" xfId="8" builtinId="35" customBuiltin="1"/>
    <cellStyle name="40% - Accent2 2" xfId="65" xr:uid="{00000000-0005-0000-0000-000024000000}"/>
    <cellStyle name="40% - Accent2 3" xfId="79" xr:uid="{00000000-0005-0000-0000-000025000000}"/>
    <cellStyle name="40% - Accent2 4" xfId="93" xr:uid="{00000000-0005-0000-0000-000026000000}"/>
    <cellStyle name="40% - Accent2 5" xfId="107" xr:uid="{00000000-0005-0000-0000-000027000000}"/>
    <cellStyle name="40% - Accent3" xfId="9" builtinId="39" customBuiltin="1"/>
    <cellStyle name="40% - Accent3 2" xfId="67" xr:uid="{00000000-0005-0000-0000-000029000000}"/>
    <cellStyle name="40% - Accent3 3" xfId="81" xr:uid="{00000000-0005-0000-0000-00002A000000}"/>
    <cellStyle name="40% - Accent3 4" xfId="95" xr:uid="{00000000-0005-0000-0000-00002B000000}"/>
    <cellStyle name="40% - Accent3 5" xfId="109" xr:uid="{00000000-0005-0000-0000-00002C000000}"/>
    <cellStyle name="40% - Accent4" xfId="10" builtinId="43" customBuiltin="1"/>
    <cellStyle name="40% - Accent4 2" xfId="69" xr:uid="{00000000-0005-0000-0000-00002E000000}"/>
    <cellStyle name="40% - Accent4 3" xfId="83" xr:uid="{00000000-0005-0000-0000-00002F000000}"/>
    <cellStyle name="40% - Accent4 4" xfId="97" xr:uid="{00000000-0005-0000-0000-000030000000}"/>
    <cellStyle name="40% - Accent4 5" xfId="111" xr:uid="{00000000-0005-0000-0000-000031000000}"/>
    <cellStyle name="40% - Accent5" xfId="11" builtinId="47" customBuiltin="1"/>
    <cellStyle name="40% - Accent5 2" xfId="71" xr:uid="{00000000-0005-0000-0000-000033000000}"/>
    <cellStyle name="40% - Accent5 3" xfId="85" xr:uid="{00000000-0005-0000-0000-000034000000}"/>
    <cellStyle name="40% - Accent5 4" xfId="99" xr:uid="{00000000-0005-0000-0000-000035000000}"/>
    <cellStyle name="40% - Accent5 5" xfId="113" xr:uid="{00000000-0005-0000-0000-000036000000}"/>
    <cellStyle name="40% - Accent6" xfId="12" builtinId="51" customBuiltin="1"/>
    <cellStyle name="40% - Accent6 2" xfId="73" xr:uid="{00000000-0005-0000-0000-000038000000}"/>
    <cellStyle name="40% - Accent6 3" xfId="87" xr:uid="{00000000-0005-0000-0000-000039000000}"/>
    <cellStyle name="40% - Accent6 4" xfId="101" xr:uid="{00000000-0005-0000-0000-00003A000000}"/>
    <cellStyle name="40% - Accent6 5" xfId="115" xr:uid="{00000000-0005-0000-0000-00003B000000}"/>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116" builtinId="3"/>
    <cellStyle name="Comma 2" xfId="28" xr:uid="{00000000-0005-0000-0000-00004C000000}"/>
    <cellStyle name="Explanatory Text" xfId="29" builtinId="53"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Input" xfId="35" builtinId="20" customBuiltin="1"/>
    <cellStyle name="Linked Cell" xfId="36" builtinId="24" customBuiltin="1"/>
    <cellStyle name="Neutral" xfId="37" builtinId="28" customBuiltin="1"/>
    <cellStyle name="Normal" xfId="0" builtinId="0" customBuiltin="1"/>
    <cellStyle name="Normal 10" xfId="38" xr:uid="{00000000-0005-0000-0000-000057000000}"/>
    <cellStyle name="Normal 11" xfId="60" xr:uid="{00000000-0005-0000-0000-000058000000}"/>
    <cellStyle name="Normal 12" xfId="74" xr:uid="{00000000-0005-0000-0000-000059000000}"/>
    <cellStyle name="Normal 13" xfId="88" xr:uid="{00000000-0005-0000-0000-00005A000000}"/>
    <cellStyle name="Normal 14" xfId="102" xr:uid="{00000000-0005-0000-0000-00005B000000}"/>
    <cellStyle name="Normal 15" xfId="117" xr:uid="{00000000-0005-0000-0000-00005C000000}"/>
    <cellStyle name="Normal 16" xfId="118" xr:uid="{00000000-0005-0000-0000-00005D000000}"/>
    <cellStyle name="Normal 17" xfId="119" xr:uid="{00000000-0005-0000-0000-00005E000000}"/>
    <cellStyle name="Normal 2" xfId="39" xr:uid="{00000000-0005-0000-0000-00005F000000}"/>
    <cellStyle name="Normal 3" xfId="40" xr:uid="{00000000-0005-0000-0000-000060000000}"/>
    <cellStyle name="Normal 4" xfId="41" xr:uid="{00000000-0005-0000-0000-000061000000}"/>
    <cellStyle name="Normal 5" xfId="42" xr:uid="{00000000-0005-0000-0000-000062000000}"/>
    <cellStyle name="Normal 6" xfId="43" xr:uid="{00000000-0005-0000-0000-000063000000}"/>
    <cellStyle name="Normal 7" xfId="44" xr:uid="{00000000-0005-0000-0000-000064000000}"/>
    <cellStyle name="Normal 8" xfId="45" xr:uid="{00000000-0005-0000-0000-000065000000}"/>
    <cellStyle name="Normal 9" xfId="46" xr:uid="{00000000-0005-0000-0000-000066000000}"/>
    <cellStyle name="Note 10" xfId="47" xr:uid="{00000000-0005-0000-0000-000067000000}"/>
    <cellStyle name="Note 11" xfId="61" xr:uid="{00000000-0005-0000-0000-000068000000}"/>
    <cellStyle name="Note 12" xfId="75" xr:uid="{00000000-0005-0000-0000-000069000000}"/>
    <cellStyle name="Note 13" xfId="89" xr:uid="{00000000-0005-0000-0000-00006A000000}"/>
    <cellStyle name="Note 14" xfId="103" xr:uid="{00000000-0005-0000-0000-00006B000000}"/>
    <cellStyle name="Note 2" xfId="48" xr:uid="{00000000-0005-0000-0000-00006C000000}"/>
    <cellStyle name="Note 3" xfId="49" xr:uid="{00000000-0005-0000-0000-00006D000000}"/>
    <cellStyle name="Note 4" xfId="50" xr:uid="{00000000-0005-0000-0000-00006E000000}"/>
    <cellStyle name="Note 5" xfId="51" xr:uid="{00000000-0005-0000-0000-00006F000000}"/>
    <cellStyle name="Note 6" xfId="52" xr:uid="{00000000-0005-0000-0000-000070000000}"/>
    <cellStyle name="Note 7" xfId="53" xr:uid="{00000000-0005-0000-0000-000071000000}"/>
    <cellStyle name="Note 8" xfId="54" xr:uid="{00000000-0005-0000-0000-000072000000}"/>
    <cellStyle name="Note 9" xfId="55" xr:uid="{00000000-0005-0000-0000-000073000000}"/>
    <cellStyle name="Output" xfId="56" builtinId="21" customBuiltin="1"/>
    <cellStyle name="Title" xfId="57" builtinId="15" customBuiltin="1"/>
    <cellStyle name="Total" xfId="58" builtinId="25" customBuiltin="1"/>
    <cellStyle name="Warning Text" xfId="59" builtinId="11" customBuiltin="1"/>
  </cellStyles>
  <dxfs count="0"/>
  <tableStyles count="0" defaultTableStyle="TableStyleMedium9" defaultPivotStyle="PivotStyleLight16"/>
  <colors>
    <mruColors>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609599</xdr:colOff>
      <xdr:row>11</xdr:row>
      <xdr:rowOff>171450</xdr:rowOff>
    </xdr:from>
    <xdr:to>
      <xdr:col>9</xdr:col>
      <xdr:colOff>66674</xdr:colOff>
      <xdr:row>20</xdr:row>
      <xdr:rowOff>97155</xdr:rowOff>
    </xdr:to>
    <xdr:pic>
      <xdr:nvPicPr>
        <xdr:cNvPr id="2" name="Picture 1" descr="MUKESH ANDANI PHOTO JPEG.jpg">
          <a:extLst>
            <a:ext uri="{FF2B5EF4-FFF2-40B4-BE49-F238E27FC236}">
              <a16:creationId xmlns:a16="http://schemas.microsoft.com/office/drawing/2014/main" id="{5599FAF5-EBBE-49CC-AB23-6E933D084CBA}"/>
            </a:ext>
          </a:extLst>
        </xdr:cNvPr>
        <xdr:cNvPicPr>
          <a:picLocks noChangeAspect="1"/>
        </xdr:cNvPicPr>
      </xdr:nvPicPr>
      <xdr:blipFill>
        <a:blip xmlns:r="http://schemas.openxmlformats.org/officeDocument/2006/relationships" r:embed="rId1" cstate="print"/>
        <a:stretch>
          <a:fillRect/>
        </a:stretch>
      </xdr:blipFill>
      <xdr:spPr>
        <a:xfrm>
          <a:off x="3924299" y="9368790"/>
          <a:ext cx="1285875" cy="176974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BFBAF-AFC9-4DD4-B270-493497D78083}">
  <dimension ref="A1:P18"/>
  <sheetViews>
    <sheetView tabSelected="1" workbookViewId="0">
      <selection activeCell="A2" sqref="A2"/>
    </sheetView>
  </sheetViews>
  <sheetFormatPr defaultRowHeight="13.2" x14ac:dyDescent="0.25"/>
  <cols>
    <col min="1" max="1" width="4.77734375" style="242" customWidth="1"/>
    <col min="2" max="2" width="8.88671875" style="115" customWidth="1"/>
    <col min="3" max="15" width="8.88671875" style="115"/>
    <col min="16" max="16" width="8.88671875" style="83" customWidth="1"/>
    <col min="17" max="16384" width="8.88671875" style="115"/>
  </cols>
  <sheetData>
    <row r="1" spans="1:16" ht="21" x14ac:dyDescent="0.4">
      <c r="A1" s="243" t="s">
        <v>193</v>
      </c>
      <c r="B1" s="228"/>
      <c r="C1" s="228"/>
      <c r="D1" s="228"/>
    </row>
    <row r="2" spans="1:16" ht="18.600000000000001" customHeight="1" x14ac:dyDescent="0.25">
      <c r="A2" s="246">
        <v>1</v>
      </c>
      <c r="B2" s="251" t="s">
        <v>165</v>
      </c>
      <c r="C2" s="251"/>
      <c r="D2" s="251"/>
      <c r="E2" s="251"/>
      <c r="F2" s="251"/>
      <c r="G2" s="251"/>
      <c r="H2" s="251"/>
      <c r="I2" s="251"/>
      <c r="J2" s="251"/>
      <c r="K2" s="251"/>
      <c r="L2" s="251"/>
      <c r="M2" s="251"/>
      <c r="N2" s="251"/>
      <c r="O2" s="251"/>
      <c r="P2" s="245"/>
    </row>
    <row r="3" spans="1:16" ht="21" customHeight="1" x14ac:dyDescent="0.25">
      <c r="A3" s="246">
        <v>2</v>
      </c>
      <c r="B3" s="251" t="s">
        <v>158</v>
      </c>
      <c r="C3" s="251"/>
      <c r="D3" s="251"/>
      <c r="E3" s="251"/>
      <c r="F3" s="251"/>
      <c r="G3" s="251"/>
      <c r="H3" s="251"/>
      <c r="I3" s="251"/>
      <c r="J3" s="251"/>
      <c r="K3" s="251"/>
      <c r="L3" s="251"/>
      <c r="M3" s="251"/>
      <c r="N3" s="251"/>
      <c r="O3" s="251"/>
      <c r="P3" s="194"/>
    </row>
    <row r="4" spans="1:16" ht="36" customHeight="1" x14ac:dyDescent="0.25">
      <c r="A4" s="246">
        <v>3</v>
      </c>
      <c r="B4" s="252" t="s">
        <v>161</v>
      </c>
      <c r="C4" s="252"/>
      <c r="D4" s="252"/>
      <c r="E4" s="252"/>
      <c r="F4" s="252"/>
      <c r="G4" s="252"/>
      <c r="H4" s="252"/>
      <c r="I4" s="252"/>
      <c r="J4" s="252"/>
      <c r="K4" s="252"/>
      <c r="L4" s="252"/>
      <c r="M4" s="252"/>
      <c r="N4" s="252"/>
      <c r="O4" s="252"/>
      <c r="P4" s="194"/>
    </row>
    <row r="5" spans="1:16" ht="19.8" customHeight="1" x14ac:dyDescent="0.25">
      <c r="A5" s="246">
        <v>4</v>
      </c>
      <c r="B5" s="251" t="s">
        <v>159</v>
      </c>
      <c r="C5" s="251"/>
      <c r="D5" s="251"/>
      <c r="E5" s="251"/>
      <c r="F5" s="251"/>
      <c r="G5" s="251"/>
      <c r="H5" s="251"/>
      <c r="I5" s="251"/>
      <c r="J5" s="251"/>
      <c r="K5" s="251"/>
      <c r="L5" s="251"/>
      <c r="M5" s="251"/>
      <c r="N5" s="251"/>
      <c r="O5" s="251"/>
      <c r="P5" s="194"/>
    </row>
    <row r="6" spans="1:16" ht="22.8" customHeight="1" x14ac:dyDescent="0.25">
      <c r="A6" s="246">
        <v>5</v>
      </c>
      <c r="B6" s="251" t="s">
        <v>160</v>
      </c>
      <c r="C6" s="251"/>
      <c r="D6" s="251"/>
      <c r="E6" s="251"/>
      <c r="F6" s="251"/>
      <c r="G6" s="251"/>
      <c r="H6" s="251"/>
      <c r="I6" s="251"/>
      <c r="J6" s="251"/>
      <c r="K6" s="251"/>
      <c r="L6" s="251"/>
      <c r="M6" s="251"/>
      <c r="N6" s="251"/>
      <c r="O6" s="251"/>
      <c r="P6" s="194"/>
    </row>
    <row r="7" spans="1:16" ht="17.399999999999999" customHeight="1" x14ac:dyDescent="0.25">
      <c r="A7" s="246">
        <v>6</v>
      </c>
      <c r="B7" s="252" t="s">
        <v>162</v>
      </c>
      <c r="C7" s="252"/>
      <c r="D7" s="252"/>
      <c r="E7" s="252"/>
      <c r="F7" s="252"/>
      <c r="G7" s="252"/>
      <c r="H7" s="252"/>
      <c r="I7" s="252"/>
      <c r="J7" s="252"/>
      <c r="K7" s="252"/>
      <c r="L7" s="252"/>
      <c r="M7" s="252"/>
      <c r="N7" s="252"/>
      <c r="O7" s="252"/>
      <c r="P7" s="194"/>
    </row>
    <row r="8" spans="1:16" ht="45" customHeight="1" x14ac:dyDescent="0.25">
      <c r="A8" s="246">
        <v>7</v>
      </c>
      <c r="B8" s="252" t="s">
        <v>163</v>
      </c>
      <c r="C8" s="252"/>
      <c r="D8" s="252"/>
      <c r="E8" s="252"/>
      <c r="F8" s="252"/>
      <c r="G8" s="252"/>
      <c r="H8" s="252"/>
      <c r="I8" s="252"/>
      <c r="J8" s="252"/>
      <c r="K8" s="252"/>
      <c r="L8" s="252"/>
      <c r="M8" s="252"/>
      <c r="N8" s="252"/>
      <c r="O8" s="252"/>
      <c r="P8" s="194"/>
    </row>
    <row r="9" spans="1:16" ht="30" customHeight="1" x14ac:dyDescent="0.25">
      <c r="A9" s="246">
        <v>8</v>
      </c>
      <c r="B9" s="252" t="s">
        <v>164</v>
      </c>
      <c r="C9" s="252"/>
      <c r="D9" s="252"/>
      <c r="E9" s="252"/>
      <c r="F9" s="252"/>
      <c r="G9" s="252"/>
      <c r="H9" s="252"/>
      <c r="I9" s="252"/>
      <c r="J9" s="252"/>
      <c r="K9" s="252"/>
      <c r="L9" s="252"/>
      <c r="M9" s="252"/>
      <c r="N9" s="252"/>
      <c r="O9" s="252"/>
      <c r="P9" s="194"/>
    </row>
    <row r="10" spans="1:16" ht="32.4" customHeight="1" x14ac:dyDescent="0.25">
      <c r="A10" s="246">
        <v>9</v>
      </c>
      <c r="B10" s="252" t="s">
        <v>166</v>
      </c>
      <c r="C10" s="252"/>
      <c r="D10" s="252"/>
      <c r="E10" s="252"/>
      <c r="F10" s="252"/>
      <c r="G10" s="252"/>
      <c r="H10" s="252"/>
      <c r="I10" s="252"/>
      <c r="J10" s="252"/>
      <c r="K10" s="252"/>
      <c r="L10" s="252"/>
      <c r="M10" s="252"/>
      <c r="N10" s="252"/>
      <c r="O10" s="252"/>
      <c r="P10" s="194"/>
    </row>
    <row r="11" spans="1:16" ht="21" x14ac:dyDescent="0.4">
      <c r="A11" s="247"/>
      <c r="B11" s="83"/>
      <c r="C11" s="83"/>
      <c r="D11" s="83"/>
      <c r="E11" s="83"/>
    </row>
    <row r="12" spans="1:16" x14ac:dyDescent="0.25">
      <c r="A12" s="241"/>
      <c r="B12" s="229"/>
      <c r="C12" s="229"/>
      <c r="D12" s="229"/>
      <c r="E12" s="229"/>
      <c r="F12" s="229"/>
      <c r="G12" s="229"/>
      <c r="H12" s="229"/>
      <c r="I12" s="229"/>
      <c r="J12" s="229"/>
      <c r="K12" s="229"/>
      <c r="L12" s="229"/>
      <c r="M12" s="229"/>
      <c r="N12" s="229"/>
      <c r="O12" s="229"/>
      <c r="P12" s="244"/>
    </row>
    <row r="13" spans="1:16" ht="14.4" x14ac:dyDescent="0.3">
      <c r="B13" s="230" t="s">
        <v>150</v>
      </c>
    </row>
    <row r="14" spans="1:16" ht="21" x14ac:dyDescent="0.4">
      <c r="B14" s="231" t="s">
        <v>151</v>
      </c>
      <c r="C14" s="232"/>
      <c r="D14" s="232"/>
      <c r="E14" s="232"/>
      <c r="F14" s="233"/>
    </row>
    <row r="15" spans="1:16" ht="28.8" x14ac:dyDescent="0.55000000000000004">
      <c r="B15" s="248" t="s">
        <v>152</v>
      </c>
      <c r="C15" s="249"/>
      <c r="D15" s="249"/>
      <c r="E15" s="249"/>
      <c r="F15" s="250"/>
    </row>
    <row r="16" spans="1:16" ht="14.4" x14ac:dyDescent="0.3">
      <c r="B16" s="234" t="s">
        <v>153</v>
      </c>
      <c r="C16" s="235"/>
      <c r="D16" s="235"/>
      <c r="E16" s="235"/>
      <c r="F16" s="236"/>
    </row>
    <row r="17" spans="2:6" x14ac:dyDescent="0.25">
      <c r="B17" s="237" t="s">
        <v>154</v>
      </c>
      <c r="C17" s="235"/>
      <c r="D17" s="235"/>
      <c r="E17" s="235"/>
      <c r="F17" s="236"/>
    </row>
    <row r="18" spans="2:6" x14ac:dyDescent="0.25">
      <c r="B18" s="238" t="s">
        <v>155</v>
      </c>
      <c r="C18" s="239"/>
      <c r="D18" s="239"/>
      <c r="E18" s="239"/>
      <c r="F18" s="240"/>
    </row>
  </sheetData>
  <mergeCells count="10">
    <mergeCell ref="B2:O2"/>
    <mergeCell ref="B15:F15"/>
    <mergeCell ref="B3:O3"/>
    <mergeCell ref="B4:O4"/>
    <mergeCell ref="B5:O5"/>
    <mergeCell ref="B6:O6"/>
    <mergeCell ref="B7:O7"/>
    <mergeCell ref="B8:O8"/>
    <mergeCell ref="B9:O9"/>
    <mergeCell ref="B10:O1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90"/>
  <sheetViews>
    <sheetView topLeftCell="H16" zoomScaleNormal="100" zoomScaleSheetLayoutView="100" workbookViewId="0">
      <selection activeCell="R24" sqref="R24"/>
    </sheetView>
  </sheetViews>
  <sheetFormatPr defaultColWidth="14.109375" defaultRowHeight="15.6" x14ac:dyDescent="0.3"/>
  <cols>
    <col min="1" max="1" width="8.33203125" style="124" customWidth="1"/>
    <col min="2" max="2" width="17.5546875" style="124" customWidth="1"/>
    <col min="3" max="3" width="8.44140625" style="124" customWidth="1"/>
    <col min="4" max="4" width="15.33203125" style="124" customWidth="1"/>
    <col min="5" max="6" width="15.44140625" style="124" customWidth="1"/>
    <col min="7" max="7" width="10.88671875" style="124" customWidth="1"/>
    <col min="8" max="8" width="2.88671875" style="124" customWidth="1"/>
    <col min="9" max="9" width="16.44140625" style="124" customWidth="1"/>
    <col min="10" max="10" width="12.5546875" style="124" customWidth="1"/>
    <col min="11" max="11" width="15.77734375" style="124" customWidth="1"/>
    <col min="12" max="12" width="17.5546875" style="124" customWidth="1"/>
    <col min="13" max="13" width="14.33203125" style="124" bestFit="1" customWidth="1"/>
    <col min="14" max="14" width="7.77734375" style="124" customWidth="1"/>
    <col min="15" max="15" width="2.33203125" style="124" customWidth="1"/>
    <col min="16" max="16" width="16.77734375" style="124" bestFit="1" customWidth="1"/>
    <col min="17" max="17" width="8.33203125" style="124" customWidth="1"/>
    <col min="18" max="18" width="13.5546875" style="124" bestFit="1" customWidth="1"/>
    <col min="19" max="20" width="14.6640625" style="124" bestFit="1" customWidth="1"/>
    <col min="21" max="21" width="11.5546875" style="124" customWidth="1"/>
    <col min="22" max="16384" width="14.109375" style="124"/>
  </cols>
  <sheetData>
    <row r="1" spans="1:21" x14ac:dyDescent="0.3">
      <c r="A1" s="253" t="s">
        <v>147</v>
      </c>
      <c r="B1" s="253"/>
      <c r="C1" s="253"/>
      <c r="D1" s="253"/>
      <c r="E1" s="253"/>
      <c r="F1" s="253"/>
      <c r="G1" s="253"/>
      <c r="H1" s="253"/>
      <c r="I1" s="253"/>
      <c r="J1" s="253"/>
      <c r="K1" s="253"/>
      <c r="L1" s="253"/>
      <c r="M1" s="253"/>
      <c r="N1" s="253"/>
      <c r="O1" s="253"/>
      <c r="P1" s="253"/>
      <c r="Q1" s="253"/>
      <c r="R1" s="253"/>
      <c r="S1" s="253"/>
      <c r="T1" s="253"/>
      <c r="U1" s="253"/>
    </row>
    <row r="2" spans="1:21" x14ac:dyDescent="0.3">
      <c r="A2" s="253" t="s">
        <v>148</v>
      </c>
      <c r="B2" s="253"/>
      <c r="C2" s="253"/>
      <c r="D2" s="253"/>
      <c r="E2" s="253"/>
      <c r="F2" s="253"/>
      <c r="G2" s="253"/>
      <c r="H2" s="253"/>
      <c r="I2" s="253"/>
      <c r="J2" s="253"/>
      <c r="K2" s="253"/>
      <c r="L2" s="253"/>
      <c r="M2" s="253"/>
      <c r="N2" s="253"/>
      <c r="O2" s="253"/>
      <c r="P2" s="253"/>
      <c r="Q2" s="253"/>
      <c r="R2" s="253"/>
      <c r="S2" s="253"/>
      <c r="T2" s="253"/>
      <c r="U2" s="253"/>
    </row>
    <row r="3" spans="1:21" x14ac:dyDescent="0.3">
      <c r="A3" s="254" t="s">
        <v>8</v>
      </c>
      <c r="B3" s="254"/>
      <c r="C3" s="254"/>
      <c r="D3" s="254"/>
      <c r="E3" s="254"/>
      <c r="F3" s="254"/>
      <c r="G3" s="254"/>
      <c r="H3" s="254"/>
      <c r="I3" s="254"/>
      <c r="J3" s="254"/>
      <c r="K3" s="254"/>
      <c r="L3" s="254"/>
      <c r="M3" s="254"/>
      <c r="N3" s="254"/>
      <c r="O3" s="254"/>
      <c r="P3" s="254"/>
      <c r="Q3" s="254"/>
      <c r="R3" s="254"/>
      <c r="S3" s="254"/>
      <c r="T3" s="254"/>
      <c r="U3" s="254"/>
    </row>
    <row r="4" spans="1:21" x14ac:dyDescent="0.3">
      <c r="A4" s="254" t="s">
        <v>149</v>
      </c>
      <c r="B4" s="254"/>
      <c r="C4" s="254"/>
      <c r="D4" s="254"/>
      <c r="E4" s="254"/>
      <c r="F4" s="254"/>
      <c r="G4" s="254"/>
      <c r="H4" s="254"/>
      <c r="I4" s="254"/>
      <c r="J4" s="254"/>
      <c r="K4" s="254"/>
      <c r="L4" s="254"/>
      <c r="M4" s="254"/>
      <c r="N4" s="254"/>
      <c r="O4" s="254"/>
      <c r="P4" s="254"/>
      <c r="Q4" s="254"/>
      <c r="R4" s="254"/>
      <c r="S4" s="254"/>
      <c r="T4" s="254"/>
      <c r="U4" s="254"/>
    </row>
    <row r="5" spans="1:21" x14ac:dyDescent="0.3">
      <c r="A5" s="125"/>
      <c r="E5" s="125"/>
      <c r="P5" s="256" t="s">
        <v>6</v>
      </c>
      <c r="Q5" s="257"/>
      <c r="R5" s="126" t="s">
        <v>9</v>
      </c>
    </row>
    <row r="6" spans="1:21" ht="17.399999999999999" x14ac:dyDescent="0.3">
      <c r="A6" s="255" t="s">
        <v>135</v>
      </c>
      <c r="B6" s="255"/>
      <c r="C6" s="255"/>
      <c r="D6" s="255"/>
      <c r="E6" s="255"/>
      <c r="F6" s="255"/>
      <c r="G6" s="255"/>
      <c r="P6" s="256" t="s">
        <v>10</v>
      </c>
      <c r="Q6" s="257"/>
      <c r="R6" s="126" t="s">
        <v>11</v>
      </c>
    </row>
    <row r="7" spans="1:21" x14ac:dyDescent="0.3">
      <c r="E7" s="125"/>
      <c r="P7" s="256" t="s">
        <v>13</v>
      </c>
      <c r="Q7" s="262"/>
      <c r="R7" s="257"/>
    </row>
    <row r="8" spans="1:21" x14ac:dyDescent="0.3">
      <c r="A8" s="271" t="s">
        <v>42</v>
      </c>
      <c r="B8" s="272"/>
      <c r="C8" s="272"/>
      <c r="D8" s="272"/>
      <c r="E8" s="272"/>
      <c r="F8" s="272"/>
      <c r="G8" s="272"/>
      <c r="I8" s="161">
        <f>202+202+34012+39324+39324</f>
        <v>113064</v>
      </c>
      <c r="K8" s="273" t="s">
        <v>130</v>
      </c>
      <c r="L8" s="273"/>
      <c r="M8" s="273"/>
      <c r="N8" s="273"/>
      <c r="P8" s="274" t="s">
        <v>146</v>
      </c>
      <c r="Q8" s="275"/>
      <c r="R8" s="276"/>
    </row>
    <row r="9" spans="1:21" x14ac:dyDescent="0.3">
      <c r="A9" s="271" t="s">
        <v>67</v>
      </c>
      <c r="B9" s="272"/>
      <c r="C9" s="272"/>
      <c r="D9" s="272"/>
      <c r="E9" s="272"/>
      <c r="F9" s="272"/>
      <c r="G9" s="272"/>
      <c r="I9" s="161">
        <f>161+161</f>
        <v>322</v>
      </c>
      <c r="K9" s="273" t="s">
        <v>131</v>
      </c>
      <c r="L9" s="273"/>
      <c r="M9" s="273"/>
      <c r="N9" s="273"/>
    </row>
    <row r="10" spans="1:21" x14ac:dyDescent="0.3">
      <c r="A10" s="157"/>
      <c r="I10" s="160"/>
    </row>
    <row r="11" spans="1:21" x14ac:dyDescent="0.3">
      <c r="A11" s="265" t="s">
        <v>129</v>
      </c>
      <c r="B11" s="266"/>
      <c r="C11" s="266"/>
      <c r="D11" s="266"/>
      <c r="E11" s="266"/>
      <c r="F11" s="266"/>
      <c r="G11" s="266"/>
      <c r="I11" s="161">
        <v>0</v>
      </c>
      <c r="K11" s="267" t="s">
        <v>156</v>
      </c>
      <c r="L11" s="267"/>
      <c r="M11" s="267"/>
      <c r="N11" s="267"/>
    </row>
    <row r="12" spans="1:21" x14ac:dyDescent="0.3">
      <c r="A12" s="265" t="s">
        <v>128</v>
      </c>
      <c r="B12" s="266"/>
      <c r="C12" s="266"/>
      <c r="D12" s="266"/>
      <c r="E12" s="266"/>
      <c r="F12" s="266"/>
      <c r="G12" s="266"/>
      <c r="I12" s="161">
        <f>-391865*2</f>
        <v>-783730</v>
      </c>
      <c r="K12" s="267" t="s">
        <v>157</v>
      </c>
      <c r="L12" s="267"/>
      <c r="M12" s="267"/>
      <c r="N12" s="267"/>
    </row>
    <row r="13" spans="1:21" x14ac:dyDescent="0.3">
      <c r="I13" s="160"/>
      <c r="P13" s="158"/>
      <c r="Q13" s="158"/>
      <c r="R13" s="158"/>
      <c r="S13" s="153"/>
    </row>
    <row r="14" spans="1:21" x14ac:dyDescent="0.3">
      <c r="A14" s="268" t="s">
        <v>132</v>
      </c>
      <c r="B14" s="269"/>
      <c r="C14" s="269"/>
      <c r="D14" s="269"/>
      <c r="E14" s="269"/>
      <c r="F14" s="269"/>
      <c r="G14" s="269"/>
      <c r="I14" s="161">
        <v>113064</v>
      </c>
      <c r="P14" s="158"/>
      <c r="Q14" s="158"/>
      <c r="R14" s="158"/>
      <c r="S14" s="153"/>
    </row>
    <row r="15" spans="1:21" x14ac:dyDescent="0.3">
      <c r="A15" s="268" t="s">
        <v>133</v>
      </c>
      <c r="B15" s="269"/>
      <c r="C15" s="269"/>
      <c r="D15" s="269"/>
      <c r="E15" s="269"/>
      <c r="F15" s="269"/>
      <c r="G15" s="269"/>
      <c r="I15" s="161">
        <v>322</v>
      </c>
      <c r="P15" s="158"/>
      <c r="Q15" s="158"/>
      <c r="R15" s="158"/>
      <c r="S15" s="153"/>
    </row>
    <row r="16" spans="1:21" x14ac:dyDescent="0.3">
      <c r="P16" s="158"/>
      <c r="Q16" s="158"/>
      <c r="R16" s="158"/>
      <c r="S16" s="153"/>
    </row>
    <row r="17" spans="1:21" ht="17.399999999999999" x14ac:dyDescent="0.3">
      <c r="A17" s="270" t="s">
        <v>20</v>
      </c>
      <c r="B17" s="270"/>
      <c r="C17" s="270"/>
      <c r="D17" s="270"/>
      <c r="E17" s="270"/>
      <c r="F17" s="270"/>
      <c r="G17" s="270"/>
      <c r="H17" s="270"/>
      <c r="I17" s="270"/>
      <c r="J17" s="270"/>
      <c r="K17" s="270"/>
      <c r="L17" s="270"/>
      <c r="M17" s="270"/>
      <c r="N17" s="270"/>
      <c r="O17" s="270"/>
      <c r="P17" s="270"/>
      <c r="Q17" s="270"/>
      <c r="R17" s="270"/>
      <c r="S17" s="270"/>
      <c r="T17" s="270"/>
      <c r="U17" s="270"/>
    </row>
    <row r="18" spans="1:21" ht="18" x14ac:dyDescent="0.35">
      <c r="A18" s="121"/>
      <c r="B18" s="263" t="s">
        <v>21</v>
      </c>
      <c r="C18" s="264"/>
      <c r="D18" s="264"/>
      <c r="E18" s="264"/>
      <c r="F18" s="264"/>
      <c r="G18" s="264"/>
      <c r="H18" s="122"/>
      <c r="I18" s="263" t="s">
        <v>96</v>
      </c>
      <c r="J18" s="264"/>
      <c r="K18" s="264"/>
      <c r="L18" s="264"/>
      <c r="M18" s="264"/>
      <c r="N18" s="264"/>
      <c r="O18" s="123"/>
      <c r="P18" s="258" t="s">
        <v>140</v>
      </c>
      <c r="Q18" s="259"/>
      <c r="R18" s="259"/>
      <c r="S18" s="259"/>
      <c r="T18" s="259"/>
      <c r="U18" s="259"/>
    </row>
    <row r="19" spans="1:21" ht="43.5" customHeight="1" x14ac:dyDescent="0.3">
      <c r="A19" s="128" t="s">
        <v>22</v>
      </c>
      <c r="B19" s="129" t="s">
        <v>23</v>
      </c>
      <c r="C19" s="129" t="s">
        <v>111</v>
      </c>
      <c r="D19" s="128" t="s">
        <v>25</v>
      </c>
      <c r="E19" s="128" t="s">
        <v>26</v>
      </c>
      <c r="F19" s="128" t="s">
        <v>27</v>
      </c>
      <c r="G19" s="128" t="s">
        <v>95</v>
      </c>
      <c r="H19" s="130"/>
      <c r="I19" s="129" t="s">
        <v>23</v>
      </c>
      <c r="J19" s="129" t="s">
        <v>111</v>
      </c>
      <c r="K19" s="128" t="s">
        <v>25</v>
      </c>
      <c r="L19" s="128" t="s">
        <v>26</v>
      </c>
      <c r="M19" s="128" t="s">
        <v>27</v>
      </c>
      <c r="N19" s="128" t="s">
        <v>95</v>
      </c>
      <c r="O19" s="131"/>
      <c r="P19" s="129" t="s">
        <v>23</v>
      </c>
      <c r="Q19" s="129" t="s">
        <v>111</v>
      </c>
      <c r="R19" s="128" t="s">
        <v>25</v>
      </c>
      <c r="S19" s="128" t="s">
        <v>26</v>
      </c>
      <c r="T19" s="128" t="s">
        <v>27</v>
      </c>
      <c r="U19" s="128" t="s">
        <v>95</v>
      </c>
    </row>
    <row r="20" spans="1:21" x14ac:dyDescent="0.3">
      <c r="A20" s="132" t="s">
        <v>29</v>
      </c>
      <c r="B20" s="209">
        <f>1886779.16</f>
        <v>1886779.16</v>
      </c>
      <c r="C20" s="133">
        <v>0</v>
      </c>
      <c r="D20" s="210">
        <f>6983+14980</f>
        <v>21963</v>
      </c>
      <c r="E20" s="209">
        <v>156812</v>
      </c>
      <c r="F20" s="197">
        <f>+E20</f>
        <v>156812</v>
      </c>
      <c r="G20" s="133"/>
      <c r="H20" s="134"/>
      <c r="I20" s="209">
        <f>1886779.16</f>
        <v>1886779.16</v>
      </c>
      <c r="J20" s="133">
        <v>0</v>
      </c>
      <c r="K20" s="213">
        <f>6983+14980</f>
        <v>21963</v>
      </c>
      <c r="L20" s="209">
        <v>156812</v>
      </c>
      <c r="M20" s="197">
        <f>+L20</f>
        <v>156812</v>
      </c>
      <c r="N20" s="133"/>
      <c r="P20" s="218">
        <v>1886779.16</v>
      </c>
      <c r="Q20" s="133">
        <v>0</v>
      </c>
      <c r="R20" s="218">
        <v>21962.3</v>
      </c>
      <c r="S20" s="218">
        <v>156808.35</v>
      </c>
      <c r="T20" s="197">
        <f>+S20</f>
        <v>156808.35</v>
      </c>
      <c r="U20" s="133"/>
    </row>
    <row r="21" spans="1:21" x14ac:dyDescent="0.3">
      <c r="A21" s="132" t="s">
        <v>30</v>
      </c>
      <c r="B21" s="209">
        <f>15353191.36+537590</f>
        <v>15890781.359999999</v>
      </c>
      <c r="C21" s="133">
        <v>0</v>
      </c>
      <c r="D21" s="210">
        <v>0</v>
      </c>
      <c r="E21" s="209">
        <f>1248663+48386</f>
        <v>1297049</v>
      </c>
      <c r="F21" s="197">
        <f t="shared" ref="F21:F32" si="0">+E21</f>
        <v>1297049</v>
      </c>
      <c r="G21" s="133"/>
      <c r="H21" s="134"/>
      <c r="I21" s="209">
        <f>15353191.36+537590</f>
        <v>15890781.359999999</v>
      </c>
      <c r="J21" s="133">
        <v>0</v>
      </c>
      <c r="K21" s="214"/>
      <c r="L21" s="209">
        <f>1248663+48386</f>
        <v>1297049</v>
      </c>
      <c r="M21" s="197">
        <f t="shared" ref="M21:M31" si="1">+L21</f>
        <v>1297049</v>
      </c>
      <c r="N21" s="133"/>
      <c r="P21" s="219">
        <v>15890781.359999999</v>
      </c>
      <c r="Q21" s="133">
        <v>0</v>
      </c>
      <c r="R21" s="133"/>
      <c r="S21" s="219">
        <v>1297014.17</v>
      </c>
      <c r="T21" s="197">
        <f t="shared" ref="T21:T31" si="2">+S21</f>
        <v>1297014.17</v>
      </c>
      <c r="U21" s="133"/>
    </row>
    <row r="22" spans="1:21" x14ac:dyDescent="0.3">
      <c r="A22" s="132" t="s">
        <v>31</v>
      </c>
      <c r="B22" s="209">
        <v>23884526.879999999</v>
      </c>
      <c r="C22" s="133">
        <v>0</v>
      </c>
      <c r="D22" s="210">
        <v>0</v>
      </c>
      <c r="E22" s="209">
        <v>2003808</v>
      </c>
      <c r="F22" s="197">
        <f t="shared" si="0"/>
        <v>2003808</v>
      </c>
      <c r="G22" s="133"/>
      <c r="H22" s="134"/>
      <c r="I22" s="209">
        <v>23884526.879999999</v>
      </c>
      <c r="J22" s="133">
        <v>0</v>
      </c>
      <c r="K22" s="214"/>
      <c r="L22" s="209">
        <v>2003808</v>
      </c>
      <c r="M22" s="197">
        <f t="shared" si="1"/>
        <v>2003808</v>
      </c>
      <c r="N22" s="133"/>
      <c r="P22" s="219">
        <v>23884526.879999999</v>
      </c>
      <c r="Q22" s="133">
        <v>0</v>
      </c>
      <c r="R22" s="133"/>
      <c r="S22" s="219">
        <v>2003776.88</v>
      </c>
      <c r="T22" s="197">
        <f t="shared" si="2"/>
        <v>2003776.88</v>
      </c>
      <c r="U22" s="133"/>
    </row>
    <row r="23" spans="1:21" x14ac:dyDescent="0.3">
      <c r="A23" s="132" t="s">
        <v>32</v>
      </c>
      <c r="B23" s="209">
        <v>6270534.7999999998</v>
      </c>
      <c r="C23" s="133">
        <v>0</v>
      </c>
      <c r="D23" s="211">
        <v>14433</v>
      </c>
      <c r="E23" s="209">
        <v>541408.4</v>
      </c>
      <c r="F23" s="197">
        <f t="shared" si="0"/>
        <v>541408.4</v>
      </c>
      <c r="G23" s="133"/>
      <c r="H23" s="134"/>
      <c r="I23" s="209">
        <v>6250969.0800000001</v>
      </c>
      <c r="J23" s="133">
        <v>0</v>
      </c>
      <c r="K23" s="214">
        <v>14433</v>
      </c>
      <c r="L23" s="209">
        <v>539647.55000000005</v>
      </c>
      <c r="M23" s="197">
        <f t="shared" si="1"/>
        <v>539647.55000000005</v>
      </c>
      <c r="N23" s="133"/>
      <c r="P23" s="219">
        <v>6250969.0800000001</v>
      </c>
      <c r="Q23" s="133">
        <v>0</v>
      </c>
      <c r="R23" s="209">
        <v>14432.4</v>
      </c>
      <c r="S23" s="220">
        <v>539621.91</v>
      </c>
      <c r="T23" s="197">
        <f t="shared" si="2"/>
        <v>539621.91</v>
      </c>
      <c r="U23" s="133"/>
    </row>
    <row r="24" spans="1:21" x14ac:dyDescent="0.3">
      <c r="A24" s="132" t="s">
        <v>33</v>
      </c>
      <c r="B24" s="209">
        <v>2982349.96</v>
      </c>
      <c r="C24" s="133">
        <v>0</v>
      </c>
      <c r="D24" s="210">
        <v>0</v>
      </c>
      <c r="E24" s="209">
        <v>243373.05</v>
      </c>
      <c r="F24" s="197">
        <f t="shared" si="0"/>
        <v>243373.05</v>
      </c>
      <c r="G24" s="133"/>
      <c r="H24" s="134"/>
      <c r="I24" s="209">
        <v>1622299.67</v>
      </c>
      <c r="J24" s="133">
        <v>0</v>
      </c>
      <c r="K24" s="214"/>
      <c r="L24" s="209">
        <v>127649.73324999999</v>
      </c>
      <c r="M24" s="197">
        <f t="shared" si="1"/>
        <v>127649.73324999999</v>
      </c>
      <c r="N24" s="133"/>
      <c r="P24" s="220">
        <v>1469391</v>
      </c>
      <c r="Q24" s="133">
        <v>0</v>
      </c>
      <c r="R24" s="220"/>
      <c r="S24" s="220">
        <v>114219.85</v>
      </c>
      <c r="T24" s="197">
        <f t="shared" si="2"/>
        <v>114219.85</v>
      </c>
      <c r="U24" s="133"/>
    </row>
    <row r="25" spans="1:21" x14ac:dyDescent="0.3">
      <c r="A25" s="132" t="s">
        <v>34</v>
      </c>
      <c r="B25" s="209">
        <v>8056565.2199999997</v>
      </c>
      <c r="C25" s="133">
        <v>0</v>
      </c>
      <c r="D25" s="211">
        <v>269210</v>
      </c>
      <c r="E25" s="209">
        <v>576480.5</v>
      </c>
      <c r="F25" s="197">
        <f t="shared" si="0"/>
        <v>576480.5</v>
      </c>
      <c r="G25" s="133"/>
      <c r="H25" s="134"/>
      <c r="I25" s="209">
        <v>8056565.2200000007</v>
      </c>
      <c r="J25" s="133">
        <v>0</v>
      </c>
      <c r="K25" s="214">
        <v>269210</v>
      </c>
      <c r="L25" s="209">
        <v>576480.5</v>
      </c>
      <c r="M25" s="197">
        <f t="shared" si="1"/>
        <v>576480.5</v>
      </c>
      <c r="N25" s="133"/>
      <c r="P25" s="133">
        <v>8056565.2199999997</v>
      </c>
      <c r="Q25" s="133">
        <v>0</v>
      </c>
      <c r="R25" s="133">
        <v>269210</v>
      </c>
      <c r="S25" s="133">
        <v>576460.57999999996</v>
      </c>
      <c r="T25" s="197">
        <f t="shared" si="2"/>
        <v>576460.57999999996</v>
      </c>
      <c r="U25" s="133"/>
    </row>
    <row r="26" spans="1:21" x14ac:dyDescent="0.3">
      <c r="A26" s="132" t="s">
        <v>35</v>
      </c>
      <c r="B26" s="209">
        <v>346980.8</v>
      </c>
      <c r="C26" s="133">
        <v>0</v>
      </c>
      <c r="D26" s="211">
        <v>25745</v>
      </c>
      <c r="E26" s="209">
        <v>16866</v>
      </c>
      <c r="F26" s="197">
        <f t="shared" si="0"/>
        <v>16866</v>
      </c>
      <c r="G26" s="133"/>
      <c r="H26" s="134"/>
      <c r="I26" s="209">
        <v>346980.79999999981</v>
      </c>
      <c r="J26" s="133">
        <v>0</v>
      </c>
      <c r="K26" s="214">
        <v>25745</v>
      </c>
      <c r="L26" s="209">
        <v>16866</v>
      </c>
      <c r="M26" s="197">
        <f t="shared" si="1"/>
        <v>16866</v>
      </c>
      <c r="N26" s="133"/>
      <c r="P26" s="133">
        <v>346980.8</v>
      </c>
      <c r="Q26" s="133">
        <v>0</v>
      </c>
      <c r="R26" s="133">
        <v>25745.4</v>
      </c>
      <c r="S26" s="133">
        <v>16863.080000000002</v>
      </c>
      <c r="T26" s="197">
        <f t="shared" si="2"/>
        <v>16863.080000000002</v>
      </c>
      <c r="U26" s="133"/>
    </row>
    <row r="27" spans="1:21" x14ac:dyDescent="0.3">
      <c r="A27" s="132" t="s">
        <v>36</v>
      </c>
      <c r="B27" s="209">
        <v>1354476</v>
      </c>
      <c r="C27" s="133">
        <v>0</v>
      </c>
      <c r="D27" s="211">
        <v>122552</v>
      </c>
      <c r="E27" s="209">
        <v>58093</v>
      </c>
      <c r="F27" s="197">
        <f t="shared" si="0"/>
        <v>58093</v>
      </c>
      <c r="G27" s="133"/>
      <c r="H27" s="134"/>
      <c r="I27" s="209">
        <v>1354476</v>
      </c>
      <c r="J27" s="133">
        <v>0</v>
      </c>
      <c r="K27" s="214">
        <v>122552</v>
      </c>
      <c r="L27" s="209">
        <v>58093</v>
      </c>
      <c r="M27" s="197">
        <f t="shared" si="1"/>
        <v>58093</v>
      </c>
      <c r="N27" s="133"/>
      <c r="P27" s="133">
        <v>1354476</v>
      </c>
      <c r="Q27" s="133">
        <v>0</v>
      </c>
      <c r="R27" s="133">
        <v>122553</v>
      </c>
      <c r="S27" s="133">
        <v>58091.3</v>
      </c>
      <c r="T27" s="197">
        <f t="shared" si="2"/>
        <v>58091.3</v>
      </c>
      <c r="U27" s="133"/>
    </row>
    <row r="28" spans="1:21" x14ac:dyDescent="0.3">
      <c r="A28" s="132" t="s">
        <v>37</v>
      </c>
      <c r="B28" s="209">
        <v>1116514</v>
      </c>
      <c r="C28" s="133">
        <v>0</v>
      </c>
      <c r="D28" s="211">
        <v>140413</v>
      </c>
      <c r="E28" s="209">
        <v>28325</v>
      </c>
      <c r="F28" s="197">
        <f t="shared" si="0"/>
        <v>28325</v>
      </c>
      <c r="G28" s="133"/>
      <c r="H28" s="134"/>
      <c r="I28" s="209">
        <v>1116514</v>
      </c>
      <c r="J28" s="133">
        <v>0</v>
      </c>
      <c r="K28" s="214">
        <v>140413</v>
      </c>
      <c r="L28" s="209">
        <v>28325</v>
      </c>
      <c r="M28" s="197">
        <f t="shared" si="1"/>
        <v>28325</v>
      </c>
      <c r="N28" s="133"/>
      <c r="P28" s="133">
        <v>1116514</v>
      </c>
      <c r="Q28" s="133">
        <v>0</v>
      </c>
      <c r="R28" s="133">
        <v>140412</v>
      </c>
      <c r="S28" s="133">
        <v>28322.43</v>
      </c>
      <c r="T28" s="197">
        <f t="shared" si="2"/>
        <v>28322.43</v>
      </c>
      <c r="U28" s="133"/>
    </row>
    <row r="29" spans="1:21" x14ac:dyDescent="0.3">
      <c r="A29" s="132" t="s">
        <v>38</v>
      </c>
      <c r="B29" s="209">
        <v>1047946</v>
      </c>
      <c r="C29" s="133">
        <v>0</v>
      </c>
      <c r="D29" s="211">
        <v>56308</v>
      </c>
      <c r="E29" s="209">
        <v>14617</v>
      </c>
      <c r="F29" s="197">
        <f t="shared" si="0"/>
        <v>14617</v>
      </c>
      <c r="G29" s="133"/>
      <c r="H29" s="134"/>
      <c r="I29" s="209">
        <v>710406</v>
      </c>
      <c r="J29" s="133">
        <v>0</v>
      </c>
      <c r="K29" s="214">
        <v>56308</v>
      </c>
      <c r="L29" s="209">
        <v>14615.189999999999</v>
      </c>
      <c r="M29" s="197">
        <f t="shared" si="1"/>
        <v>14615.189999999999</v>
      </c>
      <c r="N29" s="133"/>
      <c r="P29" s="133">
        <v>710406</v>
      </c>
      <c r="Q29" s="133">
        <v>0</v>
      </c>
      <c r="R29" s="133">
        <v>56307.6</v>
      </c>
      <c r="S29" s="133">
        <v>14610.35</v>
      </c>
      <c r="T29" s="197">
        <f t="shared" si="2"/>
        <v>14610.35</v>
      </c>
      <c r="U29" s="133"/>
    </row>
    <row r="30" spans="1:21" x14ac:dyDescent="0.3">
      <c r="A30" s="132" t="s">
        <v>39</v>
      </c>
      <c r="B30" s="209">
        <v>1619127</v>
      </c>
      <c r="C30" s="133">
        <v>0</v>
      </c>
      <c r="D30" s="211">
        <v>124643</v>
      </c>
      <c r="E30" s="209">
        <v>58400</v>
      </c>
      <c r="F30" s="197">
        <f t="shared" si="0"/>
        <v>58400</v>
      </c>
      <c r="G30" s="133"/>
      <c r="H30" s="134"/>
      <c r="I30" s="209">
        <f>1569447+49680</f>
        <v>1619127</v>
      </c>
      <c r="J30" s="133">
        <v>0</v>
      </c>
      <c r="K30" s="214">
        <v>124643</v>
      </c>
      <c r="L30" s="209">
        <f>57158+1242</f>
        <v>58400</v>
      </c>
      <c r="M30" s="197">
        <f t="shared" si="1"/>
        <v>58400</v>
      </c>
      <c r="N30" s="133"/>
      <c r="P30" s="133">
        <v>1619127</v>
      </c>
      <c r="Q30" s="133">
        <v>0</v>
      </c>
      <c r="R30" s="133">
        <v>124641.72</v>
      </c>
      <c r="S30" s="133">
        <v>58386.15</v>
      </c>
      <c r="T30" s="197">
        <f t="shared" si="2"/>
        <v>58386.15</v>
      </c>
      <c r="U30" s="133"/>
    </row>
    <row r="31" spans="1:21" x14ac:dyDescent="0.3">
      <c r="A31" s="132" t="s">
        <v>40</v>
      </c>
      <c r="B31" s="209">
        <v>635208.6</v>
      </c>
      <c r="C31" s="133">
        <v>0</v>
      </c>
      <c r="D31" s="210">
        <v>0</v>
      </c>
      <c r="E31" s="209">
        <v>47264.18</v>
      </c>
      <c r="F31" s="197">
        <f t="shared" si="0"/>
        <v>47264.18</v>
      </c>
      <c r="G31" s="133"/>
      <c r="H31" s="134"/>
      <c r="I31" s="212">
        <v>-4427591.4000000004</v>
      </c>
      <c r="J31" s="133">
        <v>0</v>
      </c>
      <c r="K31" s="215">
        <v>0</v>
      </c>
      <c r="L31" s="212">
        <v>-388270.88000000012</v>
      </c>
      <c r="M31" s="197">
        <f t="shared" si="1"/>
        <v>-388270.88000000012</v>
      </c>
      <c r="N31" s="133"/>
      <c r="P31" s="133">
        <v>-4468227.9000000004</v>
      </c>
      <c r="Q31" s="133">
        <v>0</v>
      </c>
      <c r="R31" s="133"/>
      <c r="S31" s="133">
        <v>-391350.45</v>
      </c>
      <c r="T31" s="197">
        <f t="shared" si="2"/>
        <v>-391350.45</v>
      </c>
      <c r="U31" s="133"/>
    </row>
    <row r="32" spans="1:21" ht="51.75" customHeight="1" x14ac:dyDescent="0.3">
      <c r="A32" s="196" t="s">
        <v>141</v>
      </c>
      <c r="B32" s="201">
        <v>0</v>
      </c>
      <c r="C32" s="201">
        <v>0</v>
      </c>
      <c r="D32" s="201">
        <v>0</v>
      </c>
      <c r="E32" s="201">
        <v>0</v>
      </c>
      <c r="F32" s="208">
        <f t="shared" si="0"/>
        <v>0</v>
      </c>
      <c r="G32" s="201">
        <v>0</v>
      </c>
      <c r="H32" s="134"/>
      <c r="I32" s="133"/>
      <c r="J32" s="133"/>
      <c r="K32" s="133"/>
      <c r="L32" s="133"/>
      <c r="M32" s="197">
        <f>+L32</f>
        <v>0</v>
      </c>
      <c r="N32" s="133"/>
      <c r="P32" s="133"/>
      <c r="Q32" s="133"/>
      <c r="R32" s="133"/>
      <c r="S32" s="133"/>
      <c r="T32" s="197">
        <f>+S32</f>
        <v>0</v>
      </c>
      <c r="U32" s="133"/>
    </row>
    <row r="33" spans="1:21" x14ac:dyDescent="0.3">
      <c r="A33" s="136" t="s">
        <v>1</v>
      </c>
      <c r="B33" s="137">
        <f>SUM(B20:B32)</f>
        <v>65091789.779999994</v>
      </c>
      <c r="C33" s="137">
        <f t="shared" ref="C33:G33" si="3">SUM(C20:C32)</f>
        <v>0</v>
      </c>
      <c r="D33" s="137">
        <f t="shared" si="3"/>
        <v>775267</v>
      </c>
      <c r="E33" s="137">
        <f t="shared" si="3"/>
        <v>5042496.13</v>
      </c>
      <c r="F33" s="137">
        <f t="shared" si="3"/>
        <v>5042496.13</v>
      </c>
      <c r="G33" s="137">
        <f t="shared" si="3"/>
        <v>0</v>
      </c>
      <c r="H33" s="138"/>
      <c r="I33" s="137">
        <f>SUM(I20:I32)</f>
        <v>58311833.769999996</v>
      </c>
      <c r="J33" s="137">
        <f t="shared" ref="J33:N33" si="4">SUM(J20:J32)</f>
        <v>0</v>
      </c>
      <c r="K33" s="137">
        <f t="shared" si="4"/>
        <v>775267</v>
      </c>
      <c r="L33" s="137">
        <f t="shared" si="4"/>
        <v>4489475.0932500008</v>
      </c>
      <c r="M33" s="137">
        <f t="shared" si="4"/>
        <v>4489475.0932500008</v>
      </c>
      <c r="N33" s="137">
        <f t="shared" si="4"/>
        <v>0</v>
      </c>
      <c r="P33" s="137">
        <f>SUM(P20:P32)</f>
        <v>58118288.599999994</v>
      </c>
      <c r="Q33" s="137">
        <f t="shared" ref="Q33:U33" si="5">SUM(Q20:Q32)</f>
        <v>0</v>
      </c>
      <c r="R33" s="137">
        <f t="shared" si="5"/>
        <v>775264.42</v>
      </c>
      <c r="S33" s="137">
        <f t="shared" si="5"/>
        <v>4472824.5999999996</v>
      </c>
      <c r="T33" s="137">
        <f t="shared" si="5"/>
        <v>4472824.5999999996</v>
      </c>
      <c r="U33" s="137">
        <f t="shared" si="5"/>
        <v>0</v>
      </c>
    </row>
    <row r="34" spans="1:21" x14ac:dyDescent="0.3">
      <c r="R34" s="127"/>
    </row>
    <row r="35" spans="1:21" ht="17.399999999999999" x14ac:dyDescent="0.3">
      <c r="A35" s="270" t="s">
        <v>41</v>
      </c>
      <c r="B35" s="270"/>
      <c r="C35" s="270"/>
      <c r="D35" s="270"/>
      <c r="E35" s="270"/>
      <c r="F35" s="270"/>
      <c r="G35" s="270"/>
      <c r="H35" s="270"/>
      <c r="I35" s="270"/>
      <c r="J35" s="270"/>
      <c r="K35" s="270"/>
      <c r="L35" s="270"/>
      <c r="M35" s="270"/>
      <c r="N35" s="270"/>
      <c r="O35" s="139"/>
      <c r="P35" s="223"/>
      <c r="Q35" s="223"/>
      <c r="R35" s="223"/>
      <c r="S35" s="223"/>
      <c r="T35" s="223"/>
      <c r="U35" s="221"/>
    </row>
    <row r="36" spans="1:21" ht="18" x14ac:dyDescent="0.35">
      <c r="A36" s="258" t="s">
        <v>21</v>
      </c>
      <c r="B36" s="259"/>
      <c r="C36" s="259"/>
      <c r="D36" s="259"/>
      <c r="E36" s="259"/>
      <c r="F36" s="259"/>
      <c r="G36" s="259"/>
      <c r="H36" s="50"/>
      <c r="I36" s="258" t="s">
        <v>98</v>
      </c>
      <c r="J36" s="259"/>
      <c r="K36" s="259"/>
      <c r="L36" s="259"/>
      <c r="M36" s="259"/>
      <c r="N36" s="259"/>
      <c r="O36" s="140"/>
      <c r="P36" s="223"/>
      <c r="Q36" s="223"/>
      <c r="R36" s="223"/>
      <c r="S36" s="223"/>
      <c r="T36" s="223"/>
      <c r="U36" s="221"/>
    </row>
    <row r="37" spans="1:21" x14ac:dyDescent="0.3">
      <c r="A37" s="141" t="s">
        <v>22</v>
      </c>
      <c r="B37" s="142"/>
      <c r="C37" s="142"/>
      <c r="D37" s="141" t="s">
        <v>25</v>
      </c>
      <c r="E37" s="141" t="s">
        <v>26</v>
      </c>
      <c r="F37" s="141" t="s">
        <v>27</v>
      </c>
      <c r="G37" s="141" t="s">
        <v>95</v>
      </c>
      <c r="H37" s="114"/>
      <c r="I37" s="143"/>
      <c r="J37" s="142"/>
      <c r="K37" s="141" t="s">
        <v>25</v>
      </c>
      <c r="L37" s="141" t="s">
        <v>26</v>
      </c>
      <c r="M37" s="141" t="s">
        <v>27</v>
      </c>
      <c r="N37" s="144" t="s">
        <v>95</v>
      </c>
      <c r="O37" s="145"/>
      <c r="P37" s="224"/>
      <c r="Q37" s="224"/>
      <c r="R37" s="224"/>
      <c r="S37" s="224"/>
      <c r="T37" s="224"/>
      <c r="U37" s="222"/>
    </row>
    <row r="38" spans="1:21" x14ac:dyDescent="0.3">
      <c r="A38" s="132" t="s">
        <v>29</v>
      </c>
      <c r="B38" s="147"/>
      <c r="C38" s="147"/>
      <c r="D38" s="209">
        <v>277187</v>
      </c>
      <c r="E38" s="209">
        <v>58</v>
      </c>
      <c r="F38" s="197">
        <f>+E38</f>
        <v>58</v>
      </c>
      <c r="G38" s="133"/>
      <c r="I38" s="135"/>
      <c r="J38" s="147"/>
      <c r="K38" s="209">
        <v>277187</v>
      </c>
      <c r="L38" s="209">
        <v>57.5</v>
      </c>
      <c r="M38" s="197">
        <f>+L38</f>
        <v>57.5</v>
      </c>
      <c r="N38" s="148"/>
      <c r="O38" s="140"/>
      <c r="P38" s="152"/>
      <c r="Q38" s="152"/>
      <c r="R38" s="152"/>
      <c r="S38" s="152"/>
      <c r="T38" s="152"/>
      <c r="U38" s="149"/>
    </row>
    <row r="39" spans="1:21" x14ac:dyDescent="0.3">
      <c r="A39" s="132" t="s">
        <v>30</v>
      </c>
      <c r="B39" s="147"/>
      <c r="C39" s="147"/>
      <c r="D39" s="209">
        <v>2721189</v>
      </c>
      <c r="E39" s="209">
        <v>39</v>
      </c>
      <c r="F39" s="197">
        <f t="shared" ref="F39:F49" si="6">+E39</f>
        <v>39</v>
      </c>
      <c r="G39" s="133"/>
      <c r="I39" s="135"/>
      <c r="J39" s="147"/>
      <c r="K39" s="209">
        <v>2721189</v>
      </c>
      <c r="L39" s="209">
        <v>39.07</v>
      </c>
      <c r="M39" s="197">
        <f t="shared" ref="M39:M49" si="7">+L39</f>
        <v>39.07</v>
      </c>
      <c r="N39" s="148"/>
      <c r="O39" s="140"/>
      <c r="P39" s="149"/>
      <c r="Q39" s="149"/>
      <c r="R39" s="149"/>
      <c r="S39" s="149"/>
      <c r="T39" s="149"/>
      <c r="U39" s="149"/>
    </row>
    <row r="40" spans="1:21" x14ac:dyDescent="0.3">
      <c r="A40" s="132" t="s">
        <v>31</v>
      </c>
      <c r="B40" s="147"/>
      <c r="C40" s="147"/>
      <c r="D40" s="209">
        <v>3548071</v>
      </c>
      <c r="E40" s="209">
        <v>0</v>
      </c>
      <c r="F40" s="197">
        <f t="shared" si="6"/>
        <v>0</v>
      </c>
      <c r="G40" s="133"/>
      <c r="I40" s="135"/>
      <c r="J40" s="147"/>
      <c r="K40" s="209">
        <v>3548071</v>
      </c>
      <c r="L40" s="209"/>
      <c r="M40" s="197">
        <f t="shared" si="7"/>
        <v>0</v>
      </c>
      <c r="N40" s="148"/>
      <c r="O40" s="140"/>
      <c r="P40" s="140"/>
      <c r="Q40" s="149"/>
      <c r="R40" s="149"/>
      <c r="S40" s="149"/>
      <c r="T40" s="149"/>
      <c r="U40" s="149"/>
    </row>
    <row r="41" spans="1:21" x14ac:dyDescent="0.3">
      <c r="A41" s="132" t="s">
        <v>32</v>
      </c>
      <c r="B41" s="147"/>
      <c r="C41" s="147"/>
      <c r="D41" s="209">
        <v>1107993</v>
      </c>
      <c r="E41" s="209">
        <v>1810</v>
      </c>
      <c r="F41" s="197">
        <f t="shared" si="6"/>
        <v>1810</v>
      </c>
      <c r="G41" s="133"/>
      <c r="I41" s="135"/>
      <c r="J41" s="147"/>
      <c r="K41" s="209">
        <v>1107993</v>
      </c>
      <c r="L41" s="209">
        <v>1810.25</v>
      </c>
      <c r="M41" s="197">
        <f t="shared" si="7"/>
        <v>1810.25</v>
      </c>
      <c r="N41" s="148"/>
      <c r="O41" s="140"/>
      <c r="P41" s="140"/>
      <c r="Q41" s="149"/>
      <c r="R41" s="149"/>
      <c r="S41" s="149"/>
      <c r="T41" s="149"/>
      <c r="U41" s="149"/>
    </row>
    <row r="42" spans="1:21" x14ac:dyDescent="0.3">
      <c r="A42" s="132" t="s">
        <v>33</v>
      </c>
      <c r="B42" s="147"/>
      <c r="C42" s="147"/>
      <c r="D42" s="216">
        <v>314664</v>
      </c>
      <c r="E42" s="209">
        <v>129214.27</v>
      </c>
      <c r="F42" s="197">
        <f t="shared" si="6"/>
        <v>129214.27</v>
      </c>
      <c r="G42" s="133"/>
      <c r="I42" s="135"/>
      <c r="J42" s="147"/>
      <c r="K42" s="209">
        <v>314664</v>
      </c>
      <c r="L42" s="209">
        <v>129214.37</v>
      </c>
      <c r="M42" s="197">
        <f t="shared" si="7"/>
        <v>129214.37</v>
      </c>
      <c r="N42" s="148"/>
      <c r="O42" s="140"/>
      <c r="P42" s="140"/>
      <c r="Q42" s="149"/>
      <c r="R42" s="149"/>
      <c r="S42" s="149"/>
      <c r="T42" s="149"/>
      <c r="U42" s="149"/>
    </row>
    <row r="43" spans="1:21" x14ac:dyDescent="0.3">
      <c r="A43" s="132" t="s">
        <v>34</v>
      </c>
      <c r="B43" s="147"/>
      <c r="C43" s="147"/>
      <c r="D43" s="209">
        <v>746175</v>
      </c>
      <c r="E43" s="209">
        <v>22975</v>
      </c>
      <c r="F43" s="197">
        <f t="shared" si="6"/>
        <v>22975</v>
      </c>
      <c r="G43" s="133"/>
      <c r="I43" s="135"/>
      <c r="J43" s="147"/>
      <c r="K43" s="209">
        <v>746175</v>
      </c>
      <c r="L43" s="209">
        <v>22975.32</v>
      </c>
      <c r="M43" s="197">
        <f t="shared" si="7"/>
        <v>22975.32</v>
      </c>
      <c r="N43" s="148"/>
      <c r="O43" s="140"/>
      <c r="P43" s="140"/>
      <c r="Q43" s="149"/>
      <c r="R43" s="149"/>
      <c r="S43" s="149"/>
      <c r="T43" s="149"/>
      <c r="U43" s="149"/>
    </row>
    <row r="44" spans="1:21" x14ac:dyDescent="0.3">
      <c r="A44" s="132" t="s">
        <v>35</v>
      </c>
      <c r="B44" s="147"/>
      <c r="C44" s="147"/>
      <c r="D44" s="209">
        <v>372592</v>
      </c>
      <c r="E44" s="209">
        <v>27.35</v>
      </c>
      <c r="F44" s="197">
        <f t="shared" si="6"/>
        <v>27.35</v>
      </c>
      <c r="G44" s="133"/>
      <c r="I44" s="135"/>
      <c r="J44" s="147"/>
      <c r="K44" s="209">
        <v>372592</v>
      </c>
      <c r="L44" s="209">
        <v>27.35</v>
      </c>
      <c r="M44" s="197">
        <f t="shared" si="7"/>
        <v>27.35</v>
      </c>
      <c r="N44" s="148"/>
      <c r="O44" s="140"/>
      <c r="P44" s="140"/>
      <c r="Q44" s="149"/>
      <c r="R44" s="149"/>
      <c r="S44" s="149"/>
      <c r="T44" s="149"/>
      <c r="U44" s="149"/>
    </row>
    <row r="45" spans="1:21" x14ac:dyDescent="0.3">
      <c r="A45" s="132" t="s">
        <v>36</v>
      </c>
      <c r="B45" s="147"/>
      <c r="C45" s="147"/>
      <c r="D45" s="209">
        <v>0</v>
      </c>
      <c r="E45" s="209">
        <v>72.150000000000006</v>
      </c>
      <c r="F45" s="197">
        <f t="shared" si="6"/>
        <v>72.150000000000006</v>
      </c>
      <c r="G45" s="133"/>
      <c r="I45" s="135"/>
      <c r="J45" s="147"/>
      <c r="K45" s="209"/>
      <c r="L45" s="209">
        <v>72.150000000000006</v>
      </c>
      <c r="M45" s="197">
        <f t="shared" si="7"/>
        <v>72.150000000000006</v>
      </c>
      <c r="N45" s="148"/>
      <c r="O45" s="140"/>
      <c r="P45" s="140"/>
      <c r="Q45" s="149"/>
      <c r="R45" s="149"/>
      <c r="S45" s="149"/>
      <c r="T45" s="149"/>
      <c r="U45" s="149"/>
    </row>
    <row r="46" spans="1:21" x14ac:dyDescent="0.3">
      <c r="A46" s="132" t="s">
        <v>37</v>
      </c>
      <c r="B46" s="147"/>
      <c r="C46" s="147"/>
      <c r="D46" s="209">
        <v>26302</v>
      </c>
      <c r="E46" s="209">
        <v>0</v>
      </c>
      <c r="F46" s="197">
        <f t="shared" si="6"/>
        <v>0</v>
      </c>
      <c r="G46" s="133"/>
      <c r="I46" s="135"/>
      <c r="J46" s="147"/>
      <c r="K46" s="209">
        <v>26302</v>
      </c>
      <c r="L46" s="209"/>
      <c r="M46" s="197">
        <f t="shared" si="7"/>
        <v>0</v>
      </c>
      <c r="N46" s="148"/>
      <c r="O46" s="140"/>
      <c r="P46" s="140"/>
      <c r="Q46" s="149"/>
      <c r="R46" s="149"/>
      <c r="S46" s="149"/>
      <c r="T46" s="149"/>
      <c r="U46" s="149"/>
    </row>
    <row r="47" spans="1:21" x14ac:dyDescent="0.3">
      <c r="A47" s="132" t="s">
        <v>38</v>
      </c>
      <c r="B47" s="147"/>
      <c r="C47" s="147"/>
      <c r="D47" s="209">
        <v>9259.64</v>
      </c>
      <c r="E47" s="209">
        <v>0</v>
      </c>
      <c r="F47" s="197">
        <f t="shared" si="6"/>
        <v>0</v>
      </c>
      <c r="G47" s="133"/>
      <c r="I47" s="135"/>
      <c r="J47" s="147"/>
      <c r="K47" s="209">
        <v>9259.64</v>
      </c>
      <c r="L47" s="209"/>
      <c r="M47" s="197">
        <f t="shared" si="7"/>
        <v>0</v>
      </c>
      <c r="N47" s="148"/>
      <c r="O47" s="140"/>
      <c r="P47" s="140"/>
      <c r="Q47" s="149"/>
      <c r="R47" s="149"/>
      <c r="S47" s="149"/>
      <c r="T47" s="149"/>
      <c r="U47" s="149"/>
    </row>
    <row r="48" spans="1:21" x14ac:dyDescent="0.3">
      <c r="A48" s="132" t="s">
        <v>39</v>
      </c>
      <c r="B48" s="147"/>
      <c r="C48" s="147"/>
      <c r="D48" s="209">
        <v>81930.179999999993</v>
      </c>
      <c r="E48" s="209">
        <v>318.94</v>
      </c>
      <c r="F48" s="197">
        <f t="shared" si="6"/>
        <v>318.94</v>
      </c>
      <c r="G48" s="133"/>
      <c r="I48" s="135"/>
      <c r="J48" s="147"/>
      <c r="K48" s="209">
        <v>81930.179999999993</v>
      </c>
      <c r="L48" s="209">
        <v>318.94</v>
      </c>
      <c r="M48" s="197">
        <f t="shared" si="7"/>
        <v>318.94</v>
      </c>
      <c r="N48" s="148"/>
      <c r="O48" s="140"/>
      <c r="P48" s="140"/>
      <c r="Q48" s="149"/>
      <c r="R48" s="149"/>
      <c r="S48" s="149"/>
      <c r="T48" s="149"/>
      <c r="U48" s="149"/>
    </row>
    <row r="49" spans="1:21" x14ac:dyDescent="0.3">
      <c r="A49" s="132" t="s">
        <v>40</v>
      </c>
      <c r="B49" s="147"/>
      <c r="C49" s="147"/>
      <c r="D49" s="209"/>
      <c r="E49" s="209">
        <v>438787.24</v>
      </c>
      <c r="F49" s="197">
        <f t="shared" si="6"/>
        <v>438787.24</v>
      </c>
      <c r="G49" s="133"/>
      <c r="I49" s="135"/>
      <c r="J49" s="147"/>
      <c r="K49" s="209"/>
      <c r="L49" s="209">
        <v>438787.24</v>
      </c>
      <c r="M49" s="197">
        <f t="shared" si="7"/>
        <v>438787.24</v>
      </c>
      <c r="N49" s="148"/>
      <c r="O49" s="140"/>
      <c r="P49" s="140"/>
      <c r="Q49" s="149"/>
      <c r="R49" s="149"/>
      <c r="S49" s="149"/>
      <c r="T49" s="149"/>
      <c r="U49" s="149"/>
    </row>
    <row r="50" spans="1:21" ht="39.75" customHeight="1" x14ac:dyDescent="0.3">
      <c r="A50" s="196" t="s">
        <v>143</v>
      </c>
      <c r="B50" s="197"/>
      <c r="C50" s="197"/>
      <c r="D50" s="133"/>
      <c r="E50" s="133"/>
      <c r="F50" s="197">
        <f>+E50</f>
        <v>0</v>
      </c>
      <c r="G50" s="133"/>
      <c r="H50" s="134"/>
      <c r="I50" s="197"/>
      <c r="J50" s="197"/>
      <c r="K50" s="133"/>
      <c r="L50" s="133"/>
      <c r="M50" s="197">
        <f>+L50</f>
        <v>0</v>
      </c>
      <c r="N50" s="133"/>
      <c r="P50" s="149"/>
      <c r="Q50" s="149"/>
      <c r="R50" s="149"/>
      <c r="S50" s="149"/>
      <c r="T50" s="149"/>
      <c r="U50" s="149"/>
    </row>
    <row r="51" spans="1:21" x14ac:dyDescent="0.3">
      <c r="A51" s="136" t="s">
        <v>1</v>
      </c>
      <c r="B51" s="150"/>
      <c r="C51" s="150"/>
      <c r="D51" s="137">
        <f>SUM(D38:D50)</f>
        <v>9205362.8200000003</v>
      </c>
      <c r="E51" s="137">
        <f t="shared" ref="E51:G51" si="8">SUM(E38:E50)</f>
        <v>593301.94999999995</v>
      </c>
      <c r="F51" s="137">
        <f t="shared" si="8"/>
        <v>593301.94999999995</v>
      </c>
      <c r="G51" s="137">
        <f t="shared" si="8"/>
        <v>0</v>
      </c>
      <c r="I51" s="135"/>
      <c r="J51" s="150"/>
      <c r="K51" s="137">
        <f>SUM(K38:K49)</f>
        <v>9205362.8200000003</v>
      </c>
      <c r="L51" s="137">
        <f>SUM(L38:L49)</f>
        <v>593302.18999999994</v>
      </c>
      <c r="M51" s="137">
        <f>SUM(M38:M50)</f>
        <v>593302.18999999994</v>
      </c>
      <c r="N51" s="151">
        <f>SUM(N38:N49)</f>
        <v>0</v>
      </c>
      <c r="O51" s="140"/>
      <c r="P51" s="140"/>
      <c r="Q51" s="152"/>
      <c r="R51" s="152"/>
      <c r="S51" s="152"/>
      <c r="T51" s="152"/>
      <c r="U51" s="152"/>
    </row>
    <row r="52" spans="1:21" s="153" customFormat="1" x14ac:dyDescent="0.3">
      <c r="A52" s="146"/>
      <c r="B52" s="152"/>
      <c r="C52" s="152"/>
      <c r="D52" s="152"/>
      <c r="E52" s="152"/>
      <c r="F52" s="152"/>
      <c r="G52" s="152"/>
      <c r="I52" s="140"/>
      <c r="J52" s="152"/>
      <c r="K52" s="152"/>
      <c r="L52" s="152"/>
      <c r="M52" s="152"/>
      <c r="N52" s="152"/>
      <c r="O52" s="140"/>
      <c r="P52" s="140"/>
      <c r="Q52" s="152"/>
      <c r="R52" s="152"/>
      <c r="S52" s="152"/>
      <c r="T52" s="152"/>
      <c r="U52" s="152"/>
    </row>
    <row r="53" spans="1:21" s="153" customFormat="1" ht="17.399999999999999" x14ac:dyDescent="0.3">
      <c r="A53" s="270" t="s">
        <v>127</v>
      </c>
      <c r="B53" s="270"/>
      <c r="C53" s="270"/>
      <c r="D53" s="270"/>
      <c r="E53" s="270"/>
      <c r="F53" s="270"/>
      <c r="G53" s="270"/>
      <c r="H53" s="270"/>
      <c r="I53" s="270"/>
      <c r="J53" s="270"/>
      <c r="K53" s="270"/>
      <c r="L53" s="270"/>
      <c r="M53" s="270"/>
      <c r="N53" s="270"/>
      <c r="O53" s="139"/>
      <c r="P53" s="139"/>
      <c r="Q53" s="139"/>
      <c r="R53" s="139"/>
      <c r="S53" s="139"/>
      <c r="T53" s="139"/>
      <c r="U53" s="139"/>
    </row>
    <row r="54" spans="1:21" s="153" customFormat="1" ht="18" x14ac:dyDescent="0.35">
      <c r="A54" s="258" t="s">
        <v>21</v>
      </c>
      <c r="B54" s="259"/>
      <c r="C54" s="259"/>
      <c r="D54" s="259"/>
      <c r="E54" s="259"/>
      <c r="F54" s="259"/>
      <c r="G54" s="259"/>
      <c r="H54" s="50"/>
      <c r="I54" s="258" t="s">
        <v>98</v>
      </c>
      <c r="J54" s="259"/>
      <c r="K54" s="259"/>
      <c r="L54" s="259"/>
      <c r="M54" s="259"/>
      <c r="N54" s="259"/>
      <c r="O54" s="124"/>
      <c r="P54" s="260"/>
      <c r="Q54" s="260"/>
      <c r="R54" s="260"/>
      <c r="S54" s="260"/>
      <c r="T54" s="260"/>
      <c r="U54" s="260"/>
    </row>
    <row r="55" spans="1:21" s="153" customFormat="1" x14ac:dyDescent="0.3">
      <c r="A55" s="141" t="s">
        <v>22</v>
      </c>
      <c r="B55" s="142"/>
      <c r="C55" s="142"/>
      <c r="D55" s="141" t="s">
        <v>25</v>
      </c>
      <c r="E55" s="141" t="s">
        <v>26</v>
      </c>
      <c r="F55" s="141" t="s">
        <v>27</v>
      </c>
      <c r="G55" s="141" t="s">
        <v>95</v>
      </c>
      <c r="H55" s="114"/>
      <c r="I55" s="143"/>
      <c r="J55" s="142"/>
      <c r="K55" s="141" t="s">
        <v>25</v>
      </c>
      <c r="L55" s="141" t="s">
        <v>26</v>
      </c>
      <c r="M55" s="141" t="s">
        <v>27</v>
      </c>
      <c r="N55" s="141" t="s">
        <v>95</v>
      </c>
      <c r="O55" s="114"/>
      <c r="P55" s="146"/>
      <c r="Q55" s="145"/>
      <c r="R55" s="145"/>
      <c r="S55" s="145"/>
      <c r="T55" s="145"/>
      <c r="U55" s="145"/>
    </row>
    <row r="56" spans="1:21" s="153" customFormat="1" x14ac:dyDescent="0.3">
      <c r="A56" s="132" t="s">
        <v>29</v>
      </c>
      <c r="B56" s="147"/>
      <c r="C56" s="147"/>
      <c r="D56" s="133">
        <v>0</v>
      </c>
      <c r="E56" s="133">
        <v>202</v>
      </c>
      <c r="F56" s="197">
        <f>+E56</f>
        <v>202</v>
      </c>
      <c r="G56" s="133"/>
      <c r="H56" s="124"/>
      <c r="I56" s="135"/>
      <c r="J56" s="147"/>
      <c r="K56" s="133"/>
      <c r="L56" s="133">
        <f>+E56</f>
        <v>202</v>
      </c>
      <c r="M56" s="197">
        <f>+L56</f>
        <v>202</v>
      </c>
      <c r="N56" s="133"/>
      <c r="O56" s="124"/>
      <c r="P56" s="140"/>
      <c r="Q56" s="149"/>
      <c r="R56" s="149"/>
      <c r="S56" s="149"/>
      <c r="T56" s="149"/>
      <c r="U56" s="149"/>
    </row>
    <row r="57" spans="1:21" s="153" customFormat="1" x14ac:dyDescent="0.3">
      <c r="A57" s="132" t="s">
        <v>30</v>
      </c>
      <c r="B57" s="147"/>
      <c r="C57" s="147"/>
      <c r="D57" s="133"/>
      <c r="E57" s="133">
        <v>376</v>
      </c>
      <c r="F57" s="197">
        <f t="shared" ref="F57:F67" si="9">+E57</f>
        <v>376</v>
      </c>
      <c r="G57" s="133"/>
      <c r="H57" s="124"/>
      <c r="I57" s="135"/>
      <c r="J57" s="147"/>
      <c r="K57" s="133"/>
      <c r="L57" s="133">
        <f t="shared" ref="L57:L67" si="10">+E57</f>
        <v>376</v>
      </c>
      <c r="M57" s="197">
        <f t="shared" ref="M57:M67" si="11">+L57</f>
        <v>376</v>
      </c>
      <c r="N57" s="133"/>
      <c r="O57" s="124"/>
      <c r="P57" s="140"/>
      <c r="Q57" s="149"/>
      <c r="R57" s="149"/>
      <c r="S57" s="149"/>
      <c r="T57" s="149"/>
      <c r="U57" s="149"/>
    </row>
    <row r="58" spans="1:21" s="153" customFormat="1" x14ac:dyDescent="0.3">
      <c r="A58" s="132" t="s">
        <v>31</v>
      </c>
      <c r="B58" s="147"/>
      <c r="C58" s="147"/>
      <c r="D58" s="133"/>
      <c r="E58" s="133">
        <v>1913</v>
      </c>
      <c r="F58" s="197">
        <f t="shared" si="9"/>
        <v>1913</v>
      </c>
      <c r="G58" s="133"/>
      <c r="H58" s="124"/>
      <c r="I58" s="135"/>
      <c r="J58" s="147"/>
      <c r="K58" s="133"/>
      <c r="L58" s="133">
        <f t="shared" si="10"/>
        <v>1913</v>
      </c>
      <c r="M58" s="197">
        <f t="shared" si="11"/>
        <v>1913</v>
      </c>
      <c r="N58" s="133"/>
      <c r="O58" s="124"/>
      <c r="P58" s="140"/>
      <c r="Q58" s="149"/>
      <c r="R58" s="149"/>
      <c r="S58" s="149"/>
      <c r="T58" s="149"/>
      <c r="U58" s="149"/>
    </row>
    <row r="59" spans="1:21" s="153" customFormat="1" x14ac:dyDescent="0.3">
      <c r="A59" s="132" t="s">
        <v>32</v>
      </c>
      <c r="B59" s="147"/>
      <c r="C59" s="147"/>
      <c r="D59" s="133"/>
      <c r="E59" s="133">
        <v>2378</v>
      </c>
      <c r="F59" s="197">
        <f t="shared" si="9"/>
        <v>2378</v>
      </c>
      <c r="G59" s="133"/>
      <c r="H59" s="124"/>
      <c r="I59" s="135"/>
      <c r="J59" s="147"/>
      <c r="K59" s="133"/>
      <c r="L59" s="133">
        <f t="shared" si="10"/>
        <v>2378</v>
      </c>
      <c r="M59" s="197">
        <f t="shared" si="11"/>
        <v>2378</v>
      </c>
      <c r="N59" s="133"/>
      <c r="O59" s="124"/>
      <c r="P59" s="140"/>
      <c r="Q59" s="149"/>
      <c r="R59" s="149"/>
      <c r="S59" s="149"/>
      <c r="T59" s="149"/>
      <c r="U59" s="149"/>
    </row>
    <row r="60" spans="1:21" s="153" customFormat="1" x14ac:dyDescent="0.3">
      <c r="A60" s="132" t="s">
        <v>33</v>
      </c>
      <c r="B60" s="147"/>
      <c r="C60" s="147"/>
      <c r="D60" s="133"/>
      <c r="E60" s="133">
        <v>979</v>
      </c>
      <c r="F60" s="197">
        <f t="shared" si="9"/>
        <v>979</v>
      </c>
      <c r="G60" s="133"/>
      <c r="H60" s="124"/>
      <c r="I60" s="135"/>
      <c r="J60" s="147"/>
      <c r="K60" s="133"/>
      <c r="L60" s="133">
        <f t="shared" si="10"/>
        <v>979</v>
      </c>
      <c r="M60" s="197">
        <f t="shared" si="11"/>
        <v>979</v>
      </c>
      <c r="N60" s="133"/>
      <c r="O60" s="124"/>
      <c r="P60" s="140"/>
      <c r="Q60" s="149"/>
      <c r="R60" s="149"/>
      <c r="S60" s="149"/>
      <c r="T60" s="149"/>
      <c r="U60" s="149"/>
    </row>
    <row r="61" spans="1:21" s="153" customFormat="1" x14ac:dyDescent="0.3">
      <c r="A61" s="132" t="s">
        <v>34</v>
      </c>
      <c r="B61" s="147"/>
      <c r="C61" s="147"/>
      <c r="D61" s="133"/>
      <c r="E61" s="133">
        <v>554</v>
      </c>
      <c r="F61" s="197">
        <f t="shared" si="9"/>
        <v>554</v>
      </c>
      <c r="G61" s="133"/>
      <c r="H61" s="124"/>
      <c r="I61" s="135"/>
      <c r="J61" s="147"/>
      <c r="K61" s="133"/>
      <c r="L61" s="133">
        <f t="shared" si="10"/>
        <v>554</v>
      </c>
      <c r="M61" s="197">
        <f t="shared" si="11"/>
        <v>554</v>
      </c>
      <c r="N61" s="133"/>
      <c r="O61" s="124"/>
      <c r="P61" s="140"/>
      <c r="Q61" s="149"/>
      <c r="R61" s="149"/>
      <c r="S61" s="149"/>
      <c r="T61" s="149"/>
      <c r="U61" s="149"/>
    </row>
    <row r="62" spans="1:21" s="153" customFormat="1" x14ac:dyDescent="0.3">
      <c r="A62" s="132" t="s">
        <v>35</v>
      </c>
      <c r="B62" s="147"/>
      <c r="C62" s="147"/>
      <c r="D62" s="133"/>
      <c r="E62" s="133">
        <v>772</v>
      </c>
      <c r="F62" s="197">
        <f t="shared" si="9"/>
        <v>772</v>
      </c>
      <c r="G62" s="133"/>
      <c r="H62" s="124"/>
      <c r="I62" s="135"/>
      <c r="J62" s="147"/>
      <c r="K62" s="133"/>
      <c r="L62" s="133">
        <f t="shared" si="10"/>
        <v>772</v>
      </c>
      <c r="M62" s="197">
        <f t="shared" si="11"/>
        <v>772</v>
      </c>
      <c r="N62" s="133"/>
      <c r="O62" s="124"/>
      <c r="P62" s="140"/>
      <c r="Q62" s="149"/>
      <c r="R62" s="149"/>
      <c r="S62" s="149"/>
      <c r="T62" s="149"/>
      <c r="U62" s="149"/>
    </row>
    <row r="63" spans="1:21" s="153" customFormat="1" x14ac:dyDescent="0.3">
      <c r="A63" s="132" t="s">
        <v>36</v>
      </c>
      <c r="B63" s="147"/>
      <c r="C63" s="147"/>
      <c r="D63" s="133"/>
      <c r="E63" s="133">
        <v>462</v>
      </c>
      <c r="F63" s="197">
        <f t="shared" si="9"/>
        <v>462</v>
      </c>
      <c r="G63" s="133"/>
      <c r="H63" s="124"/>
      <c r="I63" s="135"/>
      <c r="J63" s="147"/>
      <c r="K63" s="133"/>
      <c r="L63" s="133">
        <f t="shared" si="10"/>
        <v>462</v>
      </c>
      <c r="M63" s="197">
        <f t="shared" si="11"/>
        <v>462</v>
      </c>
      <c r="N63" s="133"/>
      <c r="O63" s="124"/>
      <c r="P63" s="140"/>
      <c r="Q63" s="149"/>
      <c r="R63" s="149"/>
      <c r="S63" s="149"/>
      <c r="T63" s="149"/>
      <c r="U63" s="149"/>
    </row>
    <row r="64" spans="1:21" s="153" customFormat="1" x14ac:dyDescent="0.3">
      <c r="A64" s="132" t="s">
        <v>37</v>
      </c>
      <c r="B64" s="147"/>
      <c r="C64" s="147"/>
      <c r="D64" s="133"/>
      <c r="E64" s="133">
        <v>175</v>
      </c>
      <c r="F64" s="197">
        <f t="shared" si="9"/>
        <v>175</v>
      </c>
      <c r="G64" s="133"/>
      <c r="H64" s="124"/>
      <c r="I64" s="135"/>
      <c r="J64" s="147"/>
      <c r="K64" s="133"/>
      <c r="L64" s="133">
        <f t="shared" si="10"/>
        <v>175</v>
      </c>
      <c r="M64" s="197">
        <f t="shared" si="11"/>
        <v>175</v>
      </c>
      <c r="N64" s="133"/>
      <c r="O64" s="124"/>
      <c r="P64" s="140"/>
      <c r="Q64" s="149"/>
      <c r="R64" s="149"/>
      <c r="S64" s="149"/>
      <c r="T64" s="149"/>
      <c r="U64" s="149"/>
    </row>
    <row r="65" spans="1:21" s="153" customFormat="1" x14ac:dyDescent="0.3">
      <c r="A65" s="132" t="s">
        <v>38</v>
      </c>
      <c r="B65" s="147"/>
      <c r="C65" s="147"/>
      <c r="D65" s="133"/>
      <c r="E65" s="133">
        <v>195</v>
      </c>
      <c r="F65" s="197">
        <f t="shared" si="9"/>
        <v>195</v>
      </c>
      <c r="G65" s="133"/>
      <c r="H65" s="124"/>
      <c r="I65" s="135"/>
      <c r="J65" s="147"/>
      <c r="K65" s="133"/>
      <c r="L65" s="133">
        <f t="shared" si="10"/>
        <v>195</v>
      </c>
      <c r="M65" s="197">
        <f t="shared" si="11"/>
        <v>195</v>
      </c>
      <c r="N65" s="133"/>
      <c r="O65" s="124"/>
      <c r="P65" s="140"/>
      <c r="Q65" s="149"/>
      <c r="R65" s="149"/>
      <c r="S65" s="149"/>
      <c r="T65" s="149"/>
      <c r="U65" s="149"/>
    </row>
    <row r="66" spans="1:21" s="153" customFormat="1" x14ac:dyDescent="0.3">
      <c r="A66" s="132" t="s">
        <v>39</v>
      </c>
      <c r="B66" s="147"/>
      <c r="C66" s="147"/>
      <c r="D66" s="133"/>
      <c r="E66" s="133">
        <v>292</v>
      </c>
      <c r="F66" s="197">
        <f t="shared" si="9"/>
        <v>292</v>
      </c>
      <c r="G66" s="133"/>
      <c r="H66" s="124"/>
      <c r="I66" s="135"/>
      <c r="J66" s="147"/>
      <c r="K66" s="133"/>
      <c r="L66" s="133">
        <f t="shared" si="10"/>
        <v>292</v>
      </c>
      <c r="M66" s="197">
        <f t="shared" si="11"/>
        <v>292</v>
      </c>
      <c r="N66" s="133"/>
      <c r="O66" s="124"/>
      <c r="P66" s="140"/>
      <c r="Q66" s="149"/>
      <c r="R66" s="149"/>
      <c r="S66" s="149"/>
      <c r="T66" s="149"/>
      <c r="U66" s="149"/>
    </row>
    <row r="67" spans="1:21" s="153" customFormat="1" x14ac:dyDescent="0.3">
      <c r="A67" s="132" t="s">
        <v>40</v>
      </c>
      <c r="B67" s="147"/>
      <c r="C67" s="147"/>
      <c r="D67" s="133"/>
      <c r="E67" s="133">
        <v>342</v>
      </c>
      <c r="F67" s="197">
        <f t="shared" si="9"/>
        <v>342</v>
      </c>
      <c r="G67" s="133"/>
      <c r="H67" s="124"/>
      <c r="I67" s="135"/>
      <c r="J67" s="147"/>
      <c r="K67" s="133"/>
      <c r="L67" s="133">
        <f t="shared" si="10"/>
        <v>342</v>
      </c>
      <c r="M67" s="197">
        <f t="shared" si="11"/>
        <v>342</v>
      </c>
      <c r="N67" s="133"/>
      <c r="O67" s="124"/>
      <c r="P67" s="140"/>
      <c r="Q67" s="149"/>
      <c r="R67" s="149"/>
      <c r="S67" s="149"/>
      <c r="T67" s="149"/>
      <c r="U67" s="149"/>
    </row>
    <row r="68" spans="1:21" ht="51.75" customHeight="1" x14ac:dyDescent="0.3">
      <c r="A68" s="196" t="s">
        <v>142</v>
      </c>
      <c r="B68" s="197"/>
      <c r="C68" s="197"/>
      <c r="D68" s="133"/>
      <c r="E68" s="133"/>
      <c r="F68" s="197">
        <f>+E68</f>
        <v>0</v>
      </c>
      <c r="G68" s="133"/>
      <c r="H68" s="134"/>
      <c r="I68" s="197"/>
      <c r="J68" s="197"/>
      <c r="K68" s="133"/>
      <c r="L68" s="133"/>
      <c r="M68" s="197">
        <f>+L68</f>
        <v>0</v>
      </c>
      <c r="N68" s="133"/>
      <c r="P68" s="149"/>
      <c r="Q68" s="149"/>
      <c r="R68" s="149"/>
      <c r="S68" s="149"/>
      <c r="T68" s="149"/>
      <c r="U68" s="149"/>
    </row>
    <row r="69" spans="1:21" s="153" customFormat="1" x14ac:dyDescent="0.3">
      <c r="A69" s="136" t="s">
        <v>1</v>
      </c>
      <c r="B69" s="137"/>
      <c r="C69" s="137"/>
      <c r="D69" s="137">
        <f>SUM(D56:D68)</f>
        <v>0</v>
      </c>
      <c r="E69" s="137">
        <f t="shared" ref="E69:G69" si="12">SUM(E56:E68)</f>
        <v>8640</v>
      </c>
      <c r="F69" s="137">
        <f t="shared" si="12"/>
        <v>8640</v>
      </c>
      <c r="G69" s="137">
        <f t="shared" si="12"/>
        <v>0</v>
      </c>
      <c r="H69" s="124"/>
      <c r="I69" s="135"/>
      <c r="J69" s="150"/>
      <c r="K69" s="137">
        <f>SUM(K56:K68)</f>
        <v>0</v>
      </c>
      <c r="L69" s="137">
        <f t="shared" ref="L69:N69" si="13">SUM(L56:L68)</f>
        <v>8640</v>
      </c>
      <c r="M69" s="137">
        <f t="shared" si="13"/>
        <v>8640</v>
      </c>
      <c r="N69" s="137">
        <f t="shared" si="13"/>
        <v>0</v>
      </c>
      <c r="O69" s="124"/>
      <c r="P69" s="140"/>
      <c r="Q69" s="152"/>
      <c r="R69" s="152"/>
      <c r="S69" s="152"/>
      <c r="T69" s="152"/>
      <c r="U69" s="152"/>
    </row>
    <row r="70" spans="1:21" s="153" customFormat="1" ht="17.399999999999999" x14ac:dyDescent="0.3">
      <c r="A70" s="261" t="s">
        <v>137</v>
      </c>
      <c r="B70" s="261"/>
      <c r="C70" s="261"/>
      <c r="D70" s="261"/>
      <c r="E70" s="261"/>
      <c r="F70" s="261"/>
      <c r="G70" s="261"/>
      <c r="H70" s="124"/>
      <c r="I70" s="159"/>
      <c r="J70" s="152"/>
      <c r="K70" s="184"/>
      <c r="L70" s="184"/>
      <c r="M70" s="184"/>
      <c r="N70" s="184"/>
      <c r="O70" s="124"/>
      <c r="P70" s="140"/>
      <c r="Q70" s="152"/>
      <c r="R70" s="152"/>
      <c r="S70" s="152"/>
      <c r="T70" s="152"/>
      <c r="U70" s="152"/>
    </row>
    <row r="71" spans="1:21" s="153" customFormat="1" x14ac:dyDescent="0.3">
      <c r="A71" s="185" t="s">
        <v>1</v>
      </c>
      <c r="B71" s="186"/>
      <c r="C71" s="186"/>
      <c r="D71" s="186">
        <v>9205384.4000000004</v>
      </c>
      <c r="E71" s="186">
        <v>27051.37</v>
      </c>
      <c r="F71" s="186">
        <f>+E71</f>
        <v>27051.37</v>
      </c>
      <c r="G71" s="186">
        <v>0</v>
      </c>
      <c r="H71" s="124"/>
      <c r="I71" s="159"/>
      <c r="J71" s="152"/>
      <c r="K71" s="184"/>
      <c r="L71" s="184"/>
      <c r="M71" s="184"/>
      <c r="N71" s="184"/>
      <c r="O71" s="124"/>
      <c r="P71" s="140"/>
      <c r="Q71" s="152"/>
      <c r="R71" s="152"/>
      <c r="S71" s="152"/>
      <c r="T71" s="152"/>
      <c r="U71" s="152"/>
    </row>
    <row r="72" spans="1:21" s="153" customFormat="1" x14ac:dyDescent="0.3">
      <c r="A72" s="146"/>
      <c r="B72" s="152"/>
      <c r="C72" s="152"/>
      <c r="D72" s="152"/>
      <c r="E72" s="152"/>
      <c r="F72" s="152"/>
      <c r="G72" s="152"/>
      <c r="I72" s="140"/>
      <c r="J72" s="152"/>
      <c r="K72" s="152"/>
      <c r="L72" s="152"/>
      <c r="M72" s="152"/>
      <c r="N72" s="152"/>
      <c r="P72" s="140"/>
      <c r="Q72" s="152"/>
      <c r="R72" s="152"/>
      <c r="S72" s="152"/>
      <c r="T72" s="152"/>
      <c r="U72" s="152"/>
    </row>
    <row r="73" spans="1:21" ht="17.399999999999999" x14ac:dyDescent="0.3">
      <c r="A73" s="270" t="s">
        <v>134</v>
      </c>
      <c r="B73" s="270"/>
      <c r="C73" s="270"/>
      <c r="D73" s="270"/>
      <c r="E73" s="270"/>
      <c r="F73" s="270"/>
      <c r="G73" s="270"/>
      <c r="H73" s="270"/>
      <c r="I73" s="270"/>
      <c r="J73" s="270"/>
      <c r="K73" s="270"/>
      <c r="L73" s="270"/>
      <c r="M73" s="270"/>
      <c r="N73" s="270"/>
      <c r="O73" s="139"/>
      <c r="P73" s="139"/>
      <c r="Q73" s="139"/>
      <c r="R73" s="139"/>
      <c r="S73" s="139"/>
      <c r="T73" s="139"/>
      <c r="U73" s="139"/>
    </row>
    <row r="74" spans="1:21" ht="18" x14ac:dyDescent="0.35">
      <c r="A74" s="258" t="s">
        <v>21</v>
      </c>
      <c r="B74" s="259"/>
      <c r="C74" s="259"/>
      <c r="D74" s="259"/>
      <c r="E74" s="259"/>
      <c r="F74" s="259"/>
      <c r="G74" s="259"/>
      <c r="H74" s="50"/>
      <c r="I74" s="258" t="s">
        <v>98</v>
      </c>
      <c r="J74" s="259"/>
      <c r="K74" s="259"/>
      <c r="L74" s="259"/>
      <c r="M74" s="259"/>
      <c r="N74" s="259"/>
      <c r="P74" s="260"/>
      <c r="Q74" s="260"/>
      <c r="R74" s="260"/>
      <c r="S74" s="260"/>
      <c r="T74" s="260"/>
      <c r="U74" s="260"/>
    </row>
    <row r="75" spans="1:21" x14ac:dyDescent="0.3">
      <c r="A75" s="141" t="s">
        <v>22</v>
      </c>
      <c r="B75" s="142"/>
      <c r="C75" s="142"/>
      <c r="D75" s="141" t="s">
        <v>25</v>
      </c>
      <c r="E75" s="141" t="s">
        <v>26</v>
      </c>
      <c r="F75" s="141" t="s">
        <v>27</v>
      </c>
      <c r="G75" s="141" t="s">
        <v>95</v>
      </c>
      <c r="H75" s="114"/>
      <c r="I75" s="143"/>
      <c r="J75" s="142"/>
      <c r="K75" s="141" t="s">
        <v>25</v>
      </c>
      <c r="L75" s="141" t="s">
        <v>26</v>
      </c>
      <c r="M75" s="141" t="s">
        <v>27</v>
      </c>
      <c r="N75" s="141" t="s">
        <v>95</v>
      </c>
      <c r="O75" s="114"/>
      <c r="P75" s="146"/>
      <c r="Q75" s="145"/>
      <c r="R75" s="145"/>
      <c r="S75" s="145"/>
      <c r="T75" s="145"/>
      <c r="U75" s="145"/>
    </row>
    <row r="76" spans="1:21" x14ac:dyDescent="0.3">
      <c r="A76" s="132" t="s">
        <v>29</v>
      </c>
      <c r="B76" s="147"/>
      <c r="C76" s="147"/>
      <c r="D76" s="133">
        <v>0</v>
      </c>
      <c r="E76" s="133">
        <v>376</v>
      </c>
      <c r="F76" s="133">
        <f>376+57881</f>
        <v>58257</v>
      </c>
      <c r="G76" s="133"/>
      <c r="I76" s="135"/>
      <c r="J76" s="147"/>
      <c r="K76" s="133">
        <v>34012</v>
      </c>
      <c r="L76" s="133">
        <f>202+39324</f>
        <v>39526</v>
      </c>
      <c r="M76" s="133">
        <f>202+39324</f>
        <v>39526</v>
      </c>
      <c r="N76" s="133"/>
      <c r="P76" s="140"/>
      <c r="Q76" s="149"/>
      <c r="R76" s="149"/>
      <c r="S76" s="149"/>
      <c r="T76" s="149"/>
      <c r="U76" s="149"/>
    </row>
    <row r="77" spans="1:21" x14ac:dyDescent="0.3">
      <c r="A77" s="132" t="s">
        <v>30</v>
      </c>
      <c r="B77" s="147"/>
      <c r="C77" s="147"/>
      <c r="D77" s="133">
        <v>0</v>
      </c>
      <c r="E77" s="133">
        <v>1913</v>
      </c>
      <c r="F77" s="133">
        <v>1913</v>
      </c>
      <c r="G77" s="133"/>
      <c r="I77" s="135"/>
      <c r="J77" s="147"/>
      <c r="K77" s="133">
        <v>0</v>
      </c>
      <c r="L77" s="133">
        <v>376</v>
      </c>
      <c r="M77" s="133">
        <f>376+57881</f>
        <v>58257</v>
      </c>
      <c r="N77" s="133"/>
      <c r="P77" s="140"/>
      <c r="Q77" s="149"/>
      <c r="R77" s="149"/>
      <c r="S77" s="149"/>
      <c r="T77" s="149"/>
      <c r="U77" s="149"/>
    </row>
    <row r="78" spans="1:21" x14ac:dyDescent="0.3">
      <c r="A78" s="132" t="s">
        <v>31</v>
      </c>
      <c r="B78" s="147"/>
      <c r="C78" s="147"/>
      <c r="D78" s="133">
        <v>0</v>
      </c>
      <c r="E78" s="217">
        <v>2378</v>
      </c>
      <c r="F78" s="133">
        <f>327798+2378</f>
        <v>330176</v>
      </c>
      <c r="G78" s="133"/>
      <c r="I78" s="135"/>
      <c r="J78" s="147"/>
      <c r="K78" s="133">
        <v>0</v>
      </c>
      <c r="L78" s="133">
        <v>1913</v>
      </c>
      <c r="M78" s="133">
        <v>1913</v>
      </c>
      <c r="N78" s="133"/>
      <c r="P78" s="140"/>
      <c r="Q78" s="149"/>
      <c r="R78" s="149"/>
      <c r="S78" s="149"/>
      <c r="T78" s="149"/>
      <c r="U78" s="149"/>
    </row>
    <row r="79" spans="1:21" x14ac:dyDescent="0.3">
      <c r="A79" s="132" t="s">
        <v>32</v>
      </c>
      <c r="B79" s="147"/>
      <c r="C79" s="147"/>
      <c r="D79" s="133">
        <v>0</v>
      </c>
      <c r="E79" s="133">
        <v>979</v>
      </c>
      <c r="F79" s="133">
        <v>979</v>
      </c>
      <c r="G79" s="133"/>
      <c r="I79" s="135"/>
      <c r="J79" s="147"/>
      <c r="K79" s="133">
        <v>0</v>
      </c>
      <c r="L79" s="217">
        <v>2378</v>
      </c>
      <c r="M79" s="133">
        <f>327798+2378</f>
        <v>330176</v>
      </c>
      <c r="N79" s="133"/>
      <c r="P79" s="140"/>
      <c r="Q79" s="149"/>
      <c r="R79" s="149"/>
      <c r="S79" s="149"/>
      <c r="T79" s="149"/>
      <c r="U79" s="149"/>
    </row>
    <row r="80" spans="1:21" x14ac:dyDescent="0.3">
      <c r="A80" s="132" t="s">
        <v>33</v>
      </c>
      <c r="B80" s="147"/>
      <c r="C80" s="147"/>
      <c r="D80" s="133">
        <v>0</v>
      </c>
      <c r="E80" s="133">
        <v>554</v>
      </c>
      <c r="F80" s="133">
        <v>554</v>
      </c>
      <c r="G80" s="133"/>
      <c r="I80" s="135"/>
      <c r="J80" s="147"/>
      <c r="K80" s="133">
        <v>0</v>
      </c>
      <c r="L80" s="133">
        <v>979</v>
      </c>
      <c r="M80" s="133">
        <v>979</v>
      </c>
      <c r="N80" s="133"/>
      <c r="P80" s="140"/>
      <c r="Q80" s="149"/>
      <c r="R80" s="149"/>
      <c r="S80" s="149"/>
      <c r="T80" s="149"/>
      <c r="U80" s="149"/>
    </row>
    <row r="81" spans="1:21" x14ac:dyDescent="0.3">
      <c r="A81" s="132" t="s">
        <v>34</v>
      </c>
      <c r="B81" s="147"/>
      <c r="C81" s="147"/>
      <c r="D81" s="133"/>
      <c r="E81" s="133">
        <v>772</v>
      </c>
      <c r="F81" s="133">
        <f>772+521514</f>
        <v>522286</v>
      </c>
      <c r="G81" s="133"/>
      <c r="I81" s="135"/>
      <c r="J81" s="147"/>
      <c r="K81" s="133">
        <v>0</v>
      </c>
      <c r="L81" s="133">
        <v>554</v>
      </c>
      <c r="M81" s="133">
        <v>554</v>
      </c>
      <c r="N81" s="133"/>
      <c r="P81" s="140"/>
      <c r="Q81" s="149"/>
      <c r="R81" s="149"/>
      <c r="S81" s="149"/>
      <c r="T81" s="149"/>
      <c r="U81" s="149"/>
    </row>
    <row r="82" spans="1:21" x14ac:dyDescent="0.3">
      <c r="A82" s="132" t="s">
        <v>35</v>
      </c>
      <c r="B82" s="147"/>
      <c r="C82" s="147"/>
      <c r="D82" s="133"/>
      <c r="E82" s="133">
        <v>462</v>
      </c>
      <c r="F82" s="133">
        <v>462</v>
      </c>
      <c r="G82" s="133"/>
      <c r="I82" s="135"/>
      <c r="J82" s="147"/>
      <c r="K82" s="133"/>
      <c r="L82" s="133">
        <v>0</v>
      </c>
      <c r="M82" s="133">
        <v>0</v>
      </c>
      <c r="N82" s="133"/>
      <c r="P82" s="140"/>
      <c r="Q82" s="149"/>
      <c r="R82" s="149"/>
      <c r="S82" s="149"/>
      <c r="T82" s="149"/>
      <c r="U82" s="149"/>
    </row>
    <row r="83" spans="1:21" x14ac:dyDescent="0.3">
      <c r="A83" s="132" t="s">
        <v>36</v>
      </c>
      <c r="B83" s="147"/>
      <c r="C83" s="147"/>
      <c r="D83" s="133"/>
      <c r="E83" s="133">
        <v>175</v>
      </c>
      <c r="F83" s="133">
        <v>175</v>
      </c>
      <c r="G83" s="133"/>
      <c r="I83" s="135"/>
      <c r="J83" s="147"/>
      <c r="K83" s="133"/>
      <c r="L83" s="133">
        <f>462+772</f>
        <v>1234</v>
      </c>
      <c r="M83" s="133">
        <f>462+522286</f>
        <v>522748</v>
      </c>
      <c r="N83" s="133"/>
      <c r="P83" s="140"/>
      <c r="Q83" s="149"/>
      <c r="R83" s="149"/>
      <c r="S83" s="149"/>
      <c r="T83" s="149"/>
      <c r="U83" s="149"/>
    </row>
    <row r="84" spans="1:21" x14ac:dyDescent="0.3">
      <c r="A84" s="132" t="s">
        <v>37</v>
      </c>
      <c r="B84" s="147"/>
      <c r="C84" s="147"/>
      <c r="D84" s="133">
        <v>37068</v>
      </c>
      <c r="E84" s="133">
        <f>28150+195</f>
        <v>28345</v>
      </c>
      <c r="F84" s="133">
        <f>28150+195</f>
        <v>28345</v>
      </c>
      <c r="G84" s="133"/>
      <c r="I84" s="135"/>
      <c r="J84" s="147"/>
      <c r="K84" s="133"/>
      <c r="L84" s="133">
        <v>175</v>
      </c>
      <c r="M84" s="133">
        <v>175</v>
      </c>
      <c r="N84" s="133"/>
      <c r="P84" s="140"/>
      <c r="Q84" s="149"/>
      <c r="R84" s="149"/>
      <c r="S84" s="149"/>
      <c r="T84" s="149"/>
      <c r="U84" s="149"/>
    </row>
    <row r="85" spans="1:21" x14ac:dyDescent="0.3">
      <c r="A85" s="132" t="s">
        <v>38</v>
      </c>
      <c r="B85" s="147"/>
      <c r="C85" s="147"/>
      <c r="D85" s="133">
        <v>47048</v>
      </c>
      <c r="E85" s="133">
        <f>14422+292</f>
        <v>14714</v>
      </c>
      <c r="F85" s="133">
        <f>14422+292</f>
        <v>14714</v>
      </c>
      <c r="G85" s="133"/>
      <c r="I85" s="135"/>
      <c r="J85" s="147"/>
      <c r="K85" s="133">
        <v>37068</v>
      </c>
      <c r="L85" s="133">
        <f>28150+195</f>
        <v>28345</v>
      </c>
      <c r="M85" s="133">
        <f>28150+195</f>
        <v>28345</v>
      </c>
      <c r="N85" s="133"/>
      <c r="P85" s="140"/>
      <c r="Q85" s="149"/>
      <c r="R85" s="149"/>
      <c r="S85" s="149"/>
      <c r="T85" s="149"/>
      <c r="U85" s="149"/>
    </row>
    <row r="86" spans="1:21" x14ac:dyDescent="0.3">
      <c r="A86" s="132" t="s">
        <v>39</v>
      </c>
      <c r="B86" s="147"/>
      <c r="C86" s="147"/>
      <c r="D86" s="133">
        <v>42713</v>
      </c>
      <c r="E86" s="133">
        <f>57789+342</f>
        <v>58131</v>
      </c>
      <c r="F86" s="133">
        <f>57789+342</f>
        <v>58131</v>
      </c>
      <c r="G86" s="133"/>
      <c r="I86" s="135"/>
      <c r="J86" s="147"/>
      <c r="K86" s="133">
        <v>47048</v>
      </c>
      <c r="L86" s="133">
        <f>14422+292</f>
        <v>14714</v>
      </c>
      <c r="M86" s="133">
        <f>14422+292</f>
        <v>14714</v>
      </c>
      <c r="N86" s="133"/>
      <c r="P86" s="140"/>
      <c r="Q86" s="149"/>
      <c r="R86" s="149"/>
      <c r="S86" s="149"/>
      <c r="T86" s="149"/>
      <c r="U86" s="149"/>
    </row>
    <row r="87" spans="1:21" x14ac:dyDescent="0.3">
      <c r="A87" s="132" t="s">
        <v>40</v>
      </c>
      <c r="B87" s="147"/>
      <c r="C87" s="147"/>
      <c r="D87" s="133">
        <v>0</v>
      </c>
      <c r="E87" s="133">
        <v>161</v>
      </c>
      <c r="F87" s="133">
        <v>161</v>
      </c>
      <c r="G87" s="133"/>
      <c r="I87" s="135"/>
      <c r="J87" s="147"/>
      <c r="K87" s="133">
        <v>42713</v>
      </c>
      <c r="L87" s="133">
        <f>57789+342</f>
        <v>58131</v>
      </c>
      <c r="M87" s="133">
        <f>57789+342</f>
        <v>58131</v>
      </c>
      <c r="N87" s="133"/>
      <c r="P87" s="140"/>
      <c r="Q87" s="149"/>
      <c r="R87" s="149"/>
      <c r="S87" s="149"/>
      <c r="T87" s="149"/>
      <c r="U87" s="149"/>
    </row>
    <row r="88" spans="1:21" x14ac:dyDescent="0.3">
      <c r="A88" s="136" t="s">
        <v>1</v>
      </c>
      <c r="B88" s="137"/>
      <c r="C88" s="137"/>
      <c r="D88" s="137">
        <f t="shared" ref="D88:E88" si="14">SUM(D76:D87)</f>
        <v>126829</v>
      </c>
      <c r="E88" s="137">
        <f t="shared" si="14"/>
        <v>108960</v>
      </c>
      <c r="F88" s="137">
        <f>SUM(F76:F87)</f>
        <v>1016153</v>
      </c>
      <c r="G88" s="137">
        <f>SUM(G76:G87)</f>
        <v>0</v>
      </c>
      <c r="I88" s="135"/>
      <c r="J88" s="150"/>
      <c r="K88" s="137">
        <f>SUM(K76:K87)</f>
        <v>160841</v>
      </c>
      <c r="L88" s="137">
        <f>SUM(L76:L87)</f>
        <v>148325</v>
      </c>
      <c r="M88" s="137">
        <f>SUM(M76:M87)</f>
        <v>1055518</v>
      </c>
      <c r="N88" s="137">
        <f>SUM(N76:N87)</f>
        <v>0</v>
      </c>
      <c r="P88" s="140"/>
      <c r="Q88" s="152"/>
      <c r="R88" s="152"/>
      <c r="S88" s="152"/>
      <c r="T88" s="152"/>
      <c r="U88" s="152"/>
    </row>
    <row r="89" spans="1:21" x14ac:dyDescent="0.3">
      <c r="A89" s="154"/>
      <c r="B89" s="155"/>
      <c r="C89" s="155"/>
      <c r="D89" s="155"/>
      <c r="E89" s="155"/>
      <c r="F89" s="155"/>
      <c r="G89" s="155"/>
      <c r="H89" s="153"/>
      <c r="I89" s="140"/>
      <c r="J89" s="152"/>
      <c r="K89" s="152"/>
      <c r="L89" s="152"/>
      <c r="M89" s="152"/>
      <c r="N89" s="152"/>
      <c r="O89" s="153"/>
      <c r="P89" s="140"/>
      <c r="Q89" s="152"/>
      <c r="R89" s="152"/>
      <c r="S89" s="152"/>
      <c r="T89" s="152"/>
      <c r="U89" s="152"/>
    </row>
    <row r="90" spans="1:21" x14ac:dyDescent="0.3">
      <c r="D90" s="225"/>
      <c r="E90" s="225"/>
      <c r="F90" s="225"/>
    </row>
  </sheetData>
  <mergeCells count="35">
    <mergeCell ref="A53:N53"/>
    <mergeCell ref="A73:N73"/>
    <mergeCell ref="A35:N35"/>
    <mergeCell ref="A36:G36"/>
    <mergeCell ref="I36:N36"/>
    <mergeCell ref="A54:G54"/>
    <mergeCell ref="I54:N54"/>
    <mergeCell ref="P7:R7"/>
    <mergeCell ref="B18:G18"/>
    <mergeCell ref="I18:N18"/>
    <mergeCell ref="P18:U18"/>
    <mergeCell ref="A12:G12"/>
    <mergeCell ref="K12:N12"/>
    <mergeCell ref="A14:G14"/>
    <mergeCell ref="A15:G15"/>
    <mergeCell ref="A17:U17"/>
    <mergeCell ref="A8:G8"/>
    <mergeCell ref="A9:G9"/>
    <mergeCell ref="K8:N8"/>
    <mergeCell ref="K9:N9"/>
    <mergeCell ref="A11:G11"/>
    <mergeCell ref="K11:N11"/>
    <mergeCell ref="P8:R8"/>
    <mergeCell ref="A74:G74"/>
    <mergeCell ref="I74:N74"/>
    <mergeCell ref="P74:U74"/>
    <mergeCell ref="A70:G70"/>
    <mergeCell ref="P54:U54"/>
    <mergeCell ref="A1:U1"/>
    <mergeCell ref="A2:U2"/>
    <mergeCell ref="A3:U3"/>
    <mergeCell ref="A4:U4"/>
    <mergeCell ref="A6:G6"/>
    <mergeCell ref="P5:Q5"/>
    <mergeCell ref="P6:Q6"/>
  </mergeCells>
  <pageMargins left="0.16" right="0.16" top="0.22" bottom="0.16" header="0.22" footer="0.16"/>
  <pageSetup paperSize="9" scale="56" orientation="landscape" r:id="rId1"/>
  <rowBreaks count="1" manualBreakCount="1">
    <brk id="52" max="16383"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30"/>
  <sheetViews>
    <sheetView topLeftCell="A10" zoomScaleNormal="100" zoomScaleSheetLayoutView="100" workbookViewId="0">
      <selection activeCell="L13" sqref="L13"/>
    </sheetView>
  </sheetViews>
  <sheetFormatPr defaultRowHeight="13.2" x14ac:dyDescent="0.25"/>
  <cols>
    <col min="1" max="1" width="7.109375" bestFit="1" customWidth="1"/>
    <col min="2" max="2" width="16.6640625" customWidth="1"/>
    <col min="3" max="3" width="5.33203125" bestFit="1" customWidth="1"/>
    <col min="4" max="5" width="10.5546875" bestFit="1" customWidth="1"/>
    <col min="6" max="6" width="5.5546875" style="47" bestFit="1" customWidth="1"/>
    <col min="7" max="7" width="12.109375" style="47" bestFit="1" customWidth="1"/>
    <col min="8" max="8" width="2.44140625" style="83" customWidth="1"/>
    <col min="9" max="9" width="16.6640625" bestFit="1" customWidth="1"/>
    <col min="10" max="10" width="14.88671875" bestFit="1" customWidth="1"/>
    <col min="11" max="12" width="13.109375" bestFit="1" customWidth="1"/>
    <col min="13" max="13" width="5.5546875" style="47" bestFit="1" customWidth="1"/>
    <col min="14" max="14" width="14.88671875" style="47" bestFit="1" customWidth="1"/>
    <col min="15" max="15" width="3.88671875" style="83" customWidth="1"/>
    <col min="16" max="16" width="16.6640625" bestFit="1" customWidth="1"/>
    <col min="17" max="17" width="14.88671875" bestFit="1" customWidth="1"/>
    <col min="18" max="18" width="13.33203125" customWidth="1"/>
    <col min="19" max="19" width="13.33203125" bestFit="1" customWidth="1"/>
    <col min="20" max="20" width="5.5546875" style="47" bestFit="1" customWidth="1"/>
    <col min="21" max="21" width="14.88671875" style="47" bestFit="1" customWidth="1"/>
  </cols>
  <sheetData>
    <row r="1" spans="1:22" ht="21" x14ac:dyDescent="0.4">
      <c r="A1" s="277" t="str">
        <f>+DATA!A1</f>
        <v>ABC LTD.</v>
      </c>
      <c r="B1" s="277"/>
      <c r="C1" s="277"/>
      <c r="D1" s="277"/>
      <c r="E1" s="277"/>
      <c r="F1" s="277"/>
      <c r="G1" s="277"/>
      <c r="H1" s="277"/>
      <c r="I1" s="277"/>
      <c r="J1" s="277"/>
      <c r="K1" s="277"/>
      <c r="L1" s="277"/>
      <c r="M1" s="277"/>
      <c r="N1" s="277"/>
      <c r="O1" s="277"/>
      <c r="P1" s="277"/>
      <c r="Q1" s="277"/>
      <c r="R1" s="277"/>
      <c r="S1" s="277"/>
      <c r="T1" s="277"/>
      <c r="U1" s="277"/>
    </row>
    <row r="2" spans="1:22" ht="21" x14ac:dyDescent="0.4">
      <c r="A2" s="277" t="str">
        <f>+DATA!A2</f>
        <v>ADDRESS OR PROPRIETOR NAME</v>
      </c>
      <c r="B2" s="277"/>
      <c r="C2" s="277"/>
      <c r="D2" s="277"/>
      <c r="E2" s="277"/>
      <c r="F2" s="277"/>
      <c r="G2" s="277"/>
      <c r="H2" s="277"/>
      <c r="I2" s="277"/>
      <c r="J2" s="277"/>
      <c r="K2" s="277"/>
      <c r="L2" s="277"/>
      <c r="M2" s="277"/>
      <c r="N2" s="277"/>
      <c r="O2" s="277"/>
      <c r="P2" s="277"/>
      <c r="Q2" s="277"/>
      <c r="R2" s="277"/>
      <c r="S2" s="277"/>
      <c r="T2" s="277"/>
      <c r="U2" s="277"/>
    </row>
    <row r="3" spans="1:22" ht="21" x14ac:dyDescent="0.4">
      <c r="A3" s="277" t="str">
        <f>+DATA!A3</f>
        <v>FINANCIAL YEAR 2018-2019</v>
      </c>
      <c r="B3" s="277"/>
      <c r="C3" s="277"/>
      <c r="D3" s="277"/>
      <c r="E3" s="277"/>
      <c r="F3" s="277"/>
      <c r="G3" s="277"/>
      <c r="H3" s="277"/>
      <c r="I3" s="277"/>
      <c r="J3" s="277"/>
      <c r="K3" s="277"/>
      <c r="L3" s="277"/>
      <c r="M3" s="277"/>
      <c r="N3" s="277"/>
      <c r="O3" s="277"/>
      <c r="P3" s="277"/>
      <c r="Q3" s="277"/>
      <c r="R3" s="277"/>
      <c r="S3" s="277"/>
      <c r="T3" s="277"/>
      <c r="U3" s="277"/>
    </row>
    <row r="4" spans="1:22" s="37" customFormat="1" ht="21" x14ac:dyDescent="0.4">
      <c r="A4" s="277" t="str">
        <f>+DATA!A4</f>
        <v>GST NO.</v>
      </c>
      <c r="B4" s="277"/>
      <c r="C4" s="277"/>
      <c r="D4" s="277"/>
      <c r="E4" s="277"/>
      <c r="F4" s="277"/>
      <c r="G4" s="277"/>
      <c r="H4" s="277"/>
      <c r="I4" s="277"/>
      <c r="J4" s="277"/>
      <c r="K4" s="277"/>
      <c r="L4" s="277"/>
      <c r="M4" s="277"/>
      <c r="N4" s="277"/>
      <c r="O4" s="277"/>
      <c r="P4" s="277"/>
      <c r="Q4" s="277"/>
      <c r="R4" s="277"/>
      <c r="S4" s="277"/>
      <c r="T4" s="277"/>
      <c r="U4" s="277"/>
    </row>
    <row r="5" spans="1:22" s="37" customFormat="1" ht="12.75" customHeight="1" x14ac:dyDescent="0.4">
      <c r="A5" s="56"/>
      <c r="B5" s="56"/>
      <c r="C5" s="56"/>
      <c r="D5" s="56"/>
      <c r="E5" s="56"/>
      <c r="F5" s="56"/>
      <c r="G5" s="56"/>
      <c r="H5" s="81"/>
      <c r="I5" s="56"/>
      <c r="J5" s="56"/>
      <c r="K5" s="56"/>
      <c r="L5" s="56"/>
      <c r="M5" s="56"/>
      <c r="N5" s="56"/>
      <c r="O5" s="81"/>
      <c r="P5" s="56"/>
      <c r="Q5" s="56"/>
      <c r="R5" s="56"/>
      <c r="S5" s="56"/>
      <c r="T5" s="56"/>
      <c r="U5" s="56"/>
    </row>
    <row r="6" spans="1:22" ht="21" x14ac:dyDescent="0.4">
      <c r="A6" s="286" t="s">
        <v>74</v>
      </c>
      <c r="B6" s="286"/>
      <c r="C6" s="286"/>
      <c r="D6" s="286"/>
      <c r="E6" s="286"/>
      <c r="F6" s="286"/>
      <c r="G6" s="286"/>
      <c r="H6" s="286"/>
      <c r="I6" s="286"/>
      <c r="J6" s="286"/>
      <c r="K6" s="286"/>
      <c r="L6" s="286"/>
      <c r="M6" s="286"/>
      <c r="N6" s="286"/>
      <c r="O6" s="286"/>
      <c r="P6" s="286"/>
      <c r="Q6" s="286"/>
      <c r="R6" s="286"/>
      <c r="S6" s="286"/>
      <c r="T6" s="286"/>
      <c r="U6" s="286"/>
    </row>
    <row r="7" spans="1:22" s="37" customFormat="1" ht="16.5" customHeight="1" x14ac:dyDescent="0.4">
      <c r="A7" s="55"/>
      <c r="B7" s="55"/>
      <c r="C7" s="55"/>
      <c r="D7" s="55"/>
      <c r="E7" s="55"/>
      <c r="F7" s="55"/>
      <c r="G7" s="55"/>
      <c r="H7" s="82"/>
      <c r="I7" s="55"/>
      <c r="J7" s="55"/>
      <c r="K7" s="55"/>
      <c r="L7" s="55"/>
      <c r="M7" s="55"/>
      <c r="N7" s="55"/>
      <c r="O7" s="82"/>
      <c r="P7" s="55"/>
      <c r="Q7" s="55"/>
      <c r="R7" s="55"/>
      <c r="S7" s="55"/>
      <c r="T7" s="55"/>
      <c r="U7" s="55"/>
    </row>
    <row r="8" spans="1:22" ht="15.6" x14ac:dyDescent="0.3">
      <c r="A8" s="287" t="s">
        <v>75</v>
      </c>
      <c r="B8" s="278" t="s">
        <v>76</v>
      </c>
      <c r="C8" s="279"/>
      <c r="D8" s="279"/>
      <c r="E8" s="279"/>
      <c r="F8" s="279"/>
      <c r="G8" s="280"/>
      <c r="H8" s="84"/>
      <c r="I8" s="281" t="s">
        <v>77</v>
      </c>
      <c r="J8" s="282"/>
      <c r="K8" s="282"/>
      <c r="L8" s="282"/>
      <c r="M8" s="282"/>
      <c r="N8" s="283"/>
      <c r="O8" s="84"/>
      <c r="P8" s="284" t="s">
        <v>2</v>
      </c>
      <c r="Q8" s="285"/>
      <c r="R8" s="285"/>
      <c r="S8" s="285"/>
      <c r="T8" s="285"/>
      <c r="U8" s="285"/>
    </row>
    <row r="9" spans="1:22" ht="15.6" x14ac:dyDescent="0.3">
      <c r="A9" s="287"/>
      <c r="B9" s="59" t="s">
        <v>78</v>
      </c>
      <c r="C9" s="59" t="s">
        <v>25</v>
      </c>
      <c r="D9" s="59" t="s">
        <v>26</v>
      </c>
      <c r="E9" s="59" t="s">
        <v>27</v>
      </c>
      <c r="F9" s="59" t="s">
        <v>95</v>
      </c>
      <c r="G9" s="59" t="s">
        <v>68</v>
      </c>
      <c r="H9" s="84"/>
      <c r="I9" s="59" t="s">
        <v>78</v>
      </c>
      <c r="J9" s="59" t="s">
        <v>25</v>
      </c>
      <c r="K9" s="59" t="s">
        <v>26</v>
      </c>
      <c r="L9" s="59" t="s">
        <v>27</v>
      </c>
      <c r="M9" s="59" t="s">
        <v>95</v>
      </c>
      <c r="N9" s="59" t="s">
        <v>68</v>
      </c>
      <c r="O9" s="91"/>
      <c r="P9" s="90" t="s">
        <v>78</v>
      </c>
      <c r="Q9" s="59" t="s">
        <v>25</v>
      </c>
      <c r="R9" s="59" t="s">
        <v>26</v>
      </c>
      <c r="S9" s="59" t="s">
        <v>27</v>
      </c>
      <c r="T9" s="59" t="s">
        <v>95</v>
      </c>
      <c r="U9" s="59" t="s">
        <v>68</v>
      </c>
    </row>
    <row r="10" spans="1:22" x14ac:dyDescent="0.25">
      <c r="A10" s="53">
        <v>0.03</v>
      </c>
      <c r="B10" s="80">
        <v>0</v>
      </c>
      <c r="C10" s="80">
        <v>0</v>
      </c>
      <c r="D10" s="80">
        <v>0</v>
      </c>
      <c r="E10" s="80">
        <f>+D10</f>
        <v>0</v>
      </c>
      <c r="F10" s="80">
        <v>0</v>
      </c>
      <c r="G10" s="109">
        <f>SUM(C10:F10)</f>
        <v>0</v>
      </c>
      <c r="H10" s="85"/>
      <c r="I10" s="80"/>
      <c r="J10" s="80"/>
      <c r="K10" s="80">
        <v>0</v>
      </c>
      <c r="L10" s="80">
        <f>+K10</f>
        <v>0</v>
      </c>
      <c r="M10" s="80">
        <v>0</v>
      </c>
      <c r="N10" s="109">
        <f>SUM(J10:M10)</f>
        <v>0</v>
      </c>
      <c r="O10" s="85"/>
      <c r="P10" s="54">
        <f t="shared" ref="P10:R11" si="0">+B10+I10</f>
        <v>0</v>
      </c>
      <c r="Q10" s="54">
        <f t="shared" si="0"/>
        <v>0</v>
      </c>
      <c r="R10" s="54">
        <f t="shared" si="0"/>
        <v>0</v>
      </c>
      <c r="S10" s="54">
        <f>+R10</f>
        <v>0</v>
      </c>
      <c r="T10" s="109">
        <v>0</v>
      </c>
      <c r="U10" s="109">
        <f>SUM(Q10:T10)</f>
        <v>0</v>
      </c>
    </row>
    <row r="11" spans="1:22" x14ac:dyDescent="0.25">
      <c r="A11" s="53">
        <v>0.05</v>
      </c>
      <c r="B11" s="80">
        <v>1045210</v>
      </c>
      <c r="C11" s="80">
        <v>0</v>
      </c>
      <c r="D11" s="80">
        <v>26130</v>
      </c>
      <c r="E11" s="80">
        <f t="shared" ref="E11" si="1">+D11</f>
        <v>26130</v>
      </c>
      <c r="F11" s="80">
        <v>0</v>
      </c>
      <c r="G11" s="109">
        <f t="shared" ref="G11:G15" si="2">SUM(C11:F11)</f>
        <v>52260</v>
      </c>
      <c r="H11" s="85"/>
      <c r="I11" s="80">
        <f>8614100+16427943-1428571-19365461+415384</f>
        <v>4663395</v>
      </c>
      <c r="J11" s="80">
        <v>233170</v>
      </c>
      <c r="K11" s="80">
        <v>0</v>
      </c>
      <c r="L11" s="80">
        <f>+K11</f>
        <v>0</v>
      </c>
      <c r="M11" s="80">
        <v>0</v>
      </c>
      <c r="N11" s="109">
        <f t="shared" ref="N11:N15" si="3">SUM(J11:M11)</f>
        <v>233170</v>
      </c>
      <c r="O11" s="85"/>
      <c r="P11" s="54">
        <f t="shared" si="0"/>
        <v>5708605</v>
      </c>
      <c r="Q11" s="54">
        <f t="shared" si="0"/>
        <v>233170</v>
      </c>
      <c r="R11" s="54">
        <f t="shared" si="0"/>
        <v>26130</v>
      </c>
      <c r="S11" s="54">
        <f t="shared" ref="S11" si="4">+R11</f>
        <v>26130</v>
      </c>
      <c r="T11" s="109">
        <v>0</v>
      </c>
      <c r="U11" s="109">
        <f t="shared" ref="U11:U15" si="5">SUM(Q11:T11)</f>
        <v>285430</v>
      </c>
    </row>
    <row r="12" spans="1:22" s="37" customFormat="1" x14ac:dyDescent="0.25">
      <c r="A12" s="53">
        <v>0.12</v>
      </c>
      <c r="B12" s="80">
        <v>0</v>
      </c>
      <c r="C12" s="80">
        <v>0</v>
      </c>
      <c r="D12" s="80">
        <v>0</v>
      </c>
      <c r="E12" s="80">
        <f t="shared" ref="E12:E14" si="6">+D12</f>
        <v>0</v>
      </c>
      <c r="F12" s="80">
        <v>0</v>
      </c>
      <c r="G12" s="109">
        <f t="shared" si="2"/>
        <v>0</v>
      </c>
      <c r="H12" s="85"/>
      <c r="I12" s="80"/>
      <c r="J12" s="80"/>
      <c r="K12" s="80"/>
      <c r="L12" s="80"/>
      <c r="M12" s="80">
        <v>0</v>
      </c>
      <c r="N12" s="109">
        <f t="shared" si="3"/>
        <v>0</v>
      </c>
      <c r="O12" s="85"/>
      <c r="P12" s="54">
        <f t="shared" ref="P12:P14" si="7">+B12+I12</f>
        <v>0</v>
      </c>
      <c r="Q12" s="54">
        <f t="shared" ref="Q12:Q14" si="8">+C12+J12</f>
        <v>0</v>
      </c>
      <c r="R12" s="54">
        <f t="shared" ref="R12:R14" si="9">+D12+K12</f>
        <v>0</v>
      </c>
      <c r="S12" s="54">
        <f t="shared" ref="S12:S14" si="10">+R12</f>
        <v>0</v>
      </c>
      <c r="T12" s="109">
        <v>0</v>
      </c>
      <c r="U12" s="109">
        <f t="shared" si="5"/>
        <v>0</v>
      </c>
    </row>
    <row r="13" spans="1:22" s="37" customFormat="1" x14ac:dyDescent="0.25">
      <c r="A13" s="53">
        <v>0.18</v>
      </c>
      <c r="B13" s="80">
        <v>0</v>
      </c>
      <c r="C13" s="80">
        <v>0</v>
      </c>
      <c r="D13" s="80">
        <v>0</v>
      </c>
      <c r="E13" s="80">
        <f t="shared" si="6"/>
        <v>0</v>
      </c>
      <c r="F13" s="80">
        <v>0</v>
      </c>
      <c r="G13" s="109">
        <f t="shared" si="2"/>
        <v>0</v>
      </c>
      <c r="H13" s="85"/>
      <c r="I13" s="80">
        <f>48458978-16427943+1428571+19365461+193545-415384</f>
        <v>52603228</v>
      </c>
      <c r="J13" s="80">
        <v>542094</v>
      </c>
      <c r="K13" s="80">
        <v>4463243</v>
      </c>
      <c r="L13" s="80">
        <f t="shared" ref="L13" si="11">+K13</f>
        <v>4463243</v>
      </c>
      <c r="M13" s="80">
        <v>0</v>
      </c>
      <c r="N13" s="109">
        <f t="shared" si="3"/>
        <v>9468580</v>
      </c>
      <c r="O13" s="89"/>
      <c r="P13" s="54">
        <f>+B13+I13</f>
        <v>52603228</v>
      </c>
      <c r="Q13" s="54">
        <f>+C13+J13</f>
        <v>542094</v>
      </c>
      <c r="R13" s="54">
        <f>+D13+K13</f>
        <v>4463243</v>
      </c>
      <c r="S13" s="54">
        <f t="shared" si="10"/>
        <v>4463243</v>
      </c>
      <c r="T13" s="109">
        <v>0</v>
      </c>
      <c r="U13" s="109">
        <f t="shared" si="5"/>
        <v>9468580</v>
      </c>
    </row>
    <row r="14" spans="1:22" s="37" customFormat="1" x14ac:dyDescent="0.25">
      <c r="A14" s="53">
        <v>0.28000000000000003</v>
      </c>
      <c r="B14" s="80">
        <v>0</v>
      </c>
      <c r="C14" s="80">
        <v>0</v>
      </c>
      <c r="D14" s="80">
        <v>0</v>
      </c>
      <c r="E14" s="80">
        <f t="shared" si="6"/>
        <v>0</v>
      </c>
      <c r="F14" s="80">
        <v>0</v>
      </c>
      <c r="G14" s="109">
        <f t="shared" si="2"/>
        <v>0</v>
      </c>
      <c r="H14" s="85"/>
      <c r="I14" s="80">
        <v>0</v>
      </c>
      <c r="J14" s="80">
        <v>0</v>
      </c>
      <c r="K14" s="80">
        <v>0</v>
      </c>
      <c r="L14" s="80">
        <f t="shared" ref="L14" si="12">+K14</f>
        <v>0</v>
      </c>
      <c r="M14" s="80">
        <v>0</v>
      </c>
      <c r="N14" s="109">
        <f t="shared" si="3"/>
        <v>0</v>
      </c>
      <c r="O14" s="85"/>
      <c r="P14" s="54">
        <f t="shared" si="7"/>
        <v>0</v>
      </c>
      <c r="Q14" s="54">
        <f t="shared" si="8"/>
        <v>0</v>
      </c>
      <c r="R14" s="54">
        <f t="shared" si="9"/>
        <v>0</v>
      </c>
      <c r="S14" s="54">
        <f t="shared" si="10"/>
        <v>0</v>
      </c>
      <c r="T14" s="109">
        <v>0</v>
      </c>
      <c r="U14" s="109">
        <f t="shared" si="5"/>
        <v>0</v>
      </c>
    </row>
    <row r="15" spans="1:22" s="37" customFormat="1" x14ac:dyDescent="0.25">
      <c r="A15" s="53"/>
      <c r="B15" s="80"/>
      <c r="C15" s="80"/>
      <c r="D15" s="80"/>
      <c r="E15" s="80"/>
      <c r="F15" s="80"/>
      <c r="G15" s="109">
        <f t="shared" si="2"/>
        <v>0</v>
      </c>
      <c r="H15" s="85"/>
      <c r="I15" s="80"/>
      <c r="J15" s="80"/>
      <c r="K15" s="80"/>
      <c r="L15" s="80"/>
      <c r="M15" s="80"/>
      <c r="N15" s="109">
        <f t="shared" si="3"/>
        <v>0</v>
      </c>
      <c r="O15" s="85"/>
      <c r="P15" s="54"/>
      <c r="Q15" s="54"/>
      <c r="R15" s="54"/>
      <c r="S15" s="54"/>
      <c r="T15" s="109"/>
      <c r="U15" s="109">
        <f t="shared" si="5"/>
        <v>0</v>
      </c>
    </row>
    <row r="16" spans="1:22" ht="14.4" x14ac:dyDescent="0.3">
      <c r="A16" s="57" t="s">
        <v>2</v>
      </c>
      <c r="B16" s="58">
        <f>SUM(B10:B15)</f>
        <v>1045210</v>
      </c>
      <c r="C16" s="58">
        <f t="shared" ref="C16:S16" si="13">SUM(C10:C15)</f>
        <v>0</v>
      </c>
      <c r="D16" s="58">
        <f t="shared" si="13"/>
        <v>26130</v>
      </c>
      <c r="E16" s="58">
        <f t="shared" si="13"/>
        <v>26130</v>
      </c>
      <c r="F16" s="58">
        <f t="shared" ref="F16:G16" si="14">SUM(F10:F15)</f>
        <v>0</v>
      </c>
      <c r="G16" s="58">
        <f t="shared" si="14"/>
        <v>52260</v>
      </c>
      <c r="H16" s="86"/>
      <c r="I16" s="58">
        <f t="shared" si="13"/>
        <v>57266623</v>
      </c>
      <c r="J16" s="58">
        <f t="shared" si="13"/>
        <v>775264</v>
      </c>
      <c r="K16" s="58">
        <f t="shared" si="13"/>
        <v>4463243</v>
      </c>
      <c r="L16" s="58">
        <f t="shared" si="13"/>
        <v>4463243</v>
      </c>
      <c r="M16" s="58">
        <f t="shared" si="13"/>
        <v>0</v>
      </c>
      <c r="N16" s="58">
        <f t="shared" si="13"/>
        <v>9701750</v>
      </c>
      <c r="O16" s="86"/>
      <c r="P16" s="58">
        <f t="shared" si="13"/>
        <v>58311833</v>
      </c>
      <c r="Q16" s="58">
        <f t="shared" si="13"/>
        <v>775264</v>
      </c>
      <c r="R16" s="58">
        <f t="shared" si="13"/>
        <v>4489373</v>
      </c>
      <c r="S16" s="58">
        <f t="shared" si="13"/>
        <v>4489373</v>
      </c>
      <c r="T16" s="58">
        <f t="shared" ref="T16:U16" si="15">SUM(T10:T15)</f>
        <v>0</v>
      </c>
      <c r="U16" s="188">
        <f t="shared" si="15"/>
        <v>9754010</v>
      </c>
      <c r="V16" s="189">
        <f>+U16-N16-G16</f>
        <v>0</v>
      </c>
    </row>
    <row r="17" spans="1:22" x14ac:dyDescent="0.25">
      <c r="H17" s="87"/>
      <c r="O17" s="87"/>
      <c r="V17" s="116">
        <f>+P16-I16-B16</f>
        <v>0</v>
      </c>
    </row>
    <row r="19" spans="1:22" ht="21" x14ac:dyDescent="0.4">
      <c r="A19" s="286" t="s">
        <v>124</v>
      </c>
      <c r="B19" s="286"/>
      <c r="C19" s="286"/>
      <c r="D19" s="286"/>
      <c r="E19" s="286"/>
      <c r="F19" s="286"/>
      <c r="G19" s="286"/>
      <c r="H19" s="286"/>
      <c r="I19" s="286"/>
      <c r="J19" s="286"/>
      <c r="K19" s="286"/>
      <c r="L19" s="286"/>
      <c r="M19" s="286"/>
      <c r="N19" s="286"/>
      <c r="O19" s="286"/>
      <c r="P19" s="286"/>
      <c r="Q19" s="286"/>
      <c r="R19" s="286"/>
      <c r="S19" s="286"/>
      <c r="T19" s="286"/>
      <c r="U19" s="286"/>
    </row>
    <row r="20" spans="1:22" ht="21" x14ac:dyDescent="0.4">
      <c r="A20" s="55"/>
      <c r="B20" s="55"/>
      <c r="C20" s="55"/>
      <c r="D20" s="55"/>
      <c r="E20" s="55"/>
      <c r="F20" s="55"/>
      <c r="G20" s="55"/>
      <c r="H20" s="82"/>
      <c r="I20" s="55"/>
      <c r="J20" s="55"/>
      <c r="K20" s="55" t="s">
        <v>108</v>
      </c>
      <c r="L20" s="55"/>
      <c r="M20" s="55"/>
      <c r="N20" s="55"/>
      <c r="O20" s="82"/>
      <c r="P20" s="55"/>
      <c r="Q20" s="55"/>
      <c r="R20" s="55"/>
      <c r="S20" s="55"/>
      <c r="T20" s="55"/>
      <c r="U20" s="55"/>
    </row>
    <row r="21" spans="1:22" ht="15.6" x14ac:dyDescent="0.3">
      <c r="A21" s="287" t="s">
        <v>75</v>
      </c>
      <c r="B21" s="278" t="s">
        <v>76</v>
      </c>
      <c r="C21" s="279"/>
      <c r="D21" s="279"/>
      <c r="E21" s="279"/>
      <c r="F21" s="279"/>
      <c r="G21" s="280"/>
      <c r="H21" s="84"/>
      <c r="I21" s="281" t="s">
        <v>77</v>
      </c>
      <c r="J21" s="282"/>
      <c r="K21" s="282"/>
      <c r="L21" s="282"/>
      <c r="M21" s="282"/>
      <c r="N21" s="283"/>
      <c r="O21" s="84"/>
      <c r="P21" s="284" t="s">
        <v>2</v>
      </c>
      <c r="Q21" s="285"/>
      <c r="R21" s="285"/>
      <c r="S21" s="285"/>
      <c r="T21" s="285"/>
      <c r="U21" s="285"/>
    </row>
    <row r="22" spans="1:22" ht="15.6" x14ac:dyDescent="0.3">
      <c r="A22" s="287"/>
      <c r="B22" s="59" t="s">
        <v>78</v>
      </c>
      <c r="C22" s="59" t="s">
        <v>25</v>
      </c>
      <c r="D22" s="59" t="s">
        <v>26</v>
      </c>
      <c r="E22" s="59" t="s">
        <v>27</v>
      </c>
      <c r="F22" s="59" t="s">
        <v>95</v>
      </c>
      <c r="G22" s="59" t="s">
        <v>68</v>
      </c>
      <c r="H22" s="84"/>
      <c r="I22" s="59" t="s">
        <v>78</v>
      </c>
      <c r="J22" s="59" t="s">
        <v>25</v>
      </c>
      <c r="K22" s="59" t="s">
        <v>26</v>
      </c>
      <c r="L22" s="59" t="s">
        <v>27</v>
      </c>
      <c r="M22" s="59" t="s">
        <v>95</v>
      </c>
      <c r="N22" s="59" t="s">
        <v>68</v>
      </c>
      <c r="O22" s="84"/>
      <c r="P22" s="59" t="s">
        <v>78</v>
      </c>
      <c r="Q22" s="59" t="s">
        <v>25</v>
      </c>
      <c r="R22" s="59" t="s">
        <v>26</v>
      </c>
      <c r="S22" s="59" t="s">
        <v>27</v>
      </c>
      <c r="T22" s="59" t="s">
        <v>95</v>
      </c>
      <c r="U22" s="59" t="s">
        <v>68</v>
      </c>
    </row>
    <row r="23" spans="1:22" x14ac:dyDescent="0.25">
      <c r="A23" s="53">
        <v>0.03</v>
      </c>
      <c r="B23" s="80">
        <v>0</v>
      </c>
      <c r="C23" s="80">
        <v>0</v>
      </c>
      <c r="D23" s="80">
        <v>0</v>
      </c>
      <c r="E23" s="80">
        <f>+D23</f>
        <v>0</v>
      </c>
      <c r="F23" s="80">
        <v>0</v>
      </c>
      <c r="G23" s="109">
        <f>SUM(C23:F23)</f>
        <v>0</v>
      </c>
      <c r="H23" s="85"/>
      <c r="I23" s="80">
        <v>0</v>
      </c>
      <c r="J23" s="80">
        <v>0</v>
      </c>
      <c r="K23" s="80">
        <v>0</v>
      </c>
      <c r="L23" s="80">
        <f>+K23</f>
        <v>0</v>
      </c>
      <c r="M23" s="80">
        <v>0</v>
      </c>
      <c r="N23" s="109">
        <f>SUM(J23:M23)</f>
        <v>0</v>
      </c>
      <c r="O23" s="85"/>
      <c r="P23" s="54">
        <f>+B23+I23</f>
        <v>0</v>
      </c>
      <c r="Q23" s="54">
        <f>+C23+J23</f>
        <v>0</v>
      </c>
      <c r="R23" s="54">
        <f>+D23+K23</f>
        <v>0</v>
      </c>
      <c r="S23" s="54">
        <f>+R23</f>
        <v>0</v>
      </c>
      <c r="T23" s="109">
        <v>0</v>
      </c>
      <c r="U23" s="109">
        <f>SUM(Q23:T23)</f>
        <v>0</v>
      </c>
    </row>
    <row r="24" spans="1:22" x14ac:dyDescent="0.25">
      <c r="A24" s="53">
        <v>0.05</v>
      </c>
      <c r="B24" s="80">
        <v>0</v>
      </c>
      <c r="C24" s="80">
        <v>0</v>
      </c>
      <c r="D24" s="80">
        <v>0</v>
      </c>
      <c r="E24" s="80">
        <f t="shared" ref="E24:E27" si="16">+D24</f>
        <v>0</v>
      </c>
      <c r="F24" s="80">
        <v>0</v>
      </c>
      <c r="G24" s="109">
        <f t="shared" ref="G24:G28" si="17">SUM(C24:F24)</f>
        <v>0</v>
      </c>
      <c r="H24" s="85"/>
      <c r="I24" s="80">
        <v>343859</v>
      </c>
      <c r="J24" s="80">
        <v>0</v>
      </c>
      <c r="K24" s="80">
        <v>8596</v>
      </c>
      <c r="L24" s="80">
        <f t="shared" ref="L24:L27" si="18">+K24</f>
        <v>8596</v>
      </c>
      <c r="M24" s="80">
        <v>0</v>
      </c>
      <c r="N24" s="109">
        <f t="shared" ref="N24:N28" si="19">SUM(J24:M24)</f>
        <v>17192</v>
      </c>
      <c r="O24" s="89"/>
      <c r="P24" s="88">
        <f t="shared" ref="P24:P27" si="20">+B24+I24</f>
        <v>343859</v>
      </c>
      <c r="Q24" s="54">
        <f t="shared" ref="Q24:Q27" si="21">+C24+J24</f>
        <v>0</v>
      </c>
      <c r="R24" s="54">
        <f t="shared" ref="R24:R27" si="22">+D24+K24</f>
        <v>8596</v>
      </c>
      <c r="S24" s="54">
        <f t="shared" ref="S24:S27" si="23">+R24</f>
        <v>8596</v>
      </c>
      <c r="T24" s="109">
        <v>0</v>
      </c>
      <c r="U24" s="109">
        <f t="shared" ref="U24:U28" si="24">SUM(Q24:T24)</f>
        <v>17192</v>
      </c>
    </row>
    <row r="25" spans="1:22" x14ac:dyDescent="0.25">
      <c r="A25" s="53">
        <v>0.12</v>
      </c>
      <c r="B25" s="80">
        <v>0</v>
      </c>
      <c r="C25" s="80">
        <v>0</v>
      </c>
      <c r="D25" s="80">
        <v>0</v>
      </c>
      <c r="E25" s="80">
        <f t="shared" si="16"/>
        <v>0</v>
      </c>
      <c r="F25" s="80">
        <v>0</v>
      </c>
      <c r="G25" s="109">
        <f t="shared" si="17"/>
        <v>0</v>
      </c>
      <c r="H25" s="85"/>
      <c r="I25" s="80">
        <v>0</v>
      </c>
      <c r="J25" s="80">
        <v>0</v>
      </c>
      <c r="K25" s="80">
        <v>0</v>
      </c>
      <c r="L25" s="80">
        <f t="shared" si="18"/>
        <v>0</v>
      </c>
      <c r="M25" s="80">
        <v>0</v>
      </c>
      <c r="N25" s="109">
        <f t="shared" si="19"/>
        <v>0</v>
      </c>
      <c r="O25" s="85"/>
      <c r="P25" s="54">
        <f t="shared" si="20"/>
        <v>0</v>
      </c>
      <c r="Q25" s="54">
        <f t="shared" si="21"/>
        <v>0</v>
      </c>
      <c r="R25" s="54">
        <f t="shared" si="22"/>
        <v>0</v>
      </c>
      <c r="S25" s="54">
        <f t="shared" si="23"/>
        <v>0</v>
      </c>
      <c r="T25" s="109">
        <v>0</v>
      </c>
      <c r="U25" s="109">
        <f t="shared" si="24"/>
        <v>0</v>
      </c>
    </row>
    <row r="26" spans="1:22" x14ac:dyDescent="0.25">
      <c r="A26" s="53">
        <v>0.18</v>
      </c>
      <c r="B26" s="80">
        <v>0</v>
      </c>
      <c r="C26" s="80">
        <v>0</v>
      </c>
      <c r="D26" s="80">
        <v>0</v>
      </c>
      <c r="E26" s="80">
        <f t="shared" si="16"/>
        <v>0</v>
      </c>
      <c r="F26" s="80">
        <v>0</v>
      </c>
      <c r="G26" s="109">
        <f t="shared" si="17"/>
        <v>0</v>
      </c>
      <c r="H26" s="85"/>
      <c r="I26" s="80">
        <v>0</v>
      </c>
      <c r="J26" s="80">
        <v>0</v>
      </c>
      <c r="K26" s="80">
        <v>0</v>
      </c>
      <c r="L26" s="80">
        <f t="shared" si="18"/>
        <v>0</v>
      </c>
      <c r="M26" s="80">
        <v>0</v>
      </c>
      <c r="N26" s="109">
        <f t="shared" si="19"/>
        <v>0</v>
      </c>
      <c r="O26" s="85"/>
      <c r="P26" s="54">
        <f t="shared" si="20"/>
        <v>0</v>
      </c>
      <c r="Q26" s="54">
        <f t="shared" si="21"/>
        <v>0</v>
      </c>
      <c r="R26" s="54">
        <f t="shared" si="22"/>
        <v>0</v>
      </c>
      <c r="S26" s="54">
        <f t="shared" si="23"/>
        <v>0</v>
      </c>
      <c r="T26" s="109">
        <v>0</v>
      </c>
      <c r="U26" s="109">
        <f t="shared" si="24"/>
        <v>0</v>
      </c>
    </row>
    <row r="27" spans="1:22" x14ac:dyDescent="0.25">
      <c r="A27" s="53">
        <v>0.28000000000000003</v>
      </c>
      <c r="B27" s="80">
        <v>0</v>
      </c>
      <c r="C27" s="80">
        <v>0</v>
      </c>
      <c r="D27" s="80">
        <v>0</v>
      </c>
      <c r="E27" s="80">
        <f t="shared" si="16"/>
        <v>0</v>
      </c>
      <c r="F27" s="80">
        <v>0</v>
      </c>
      <c r="G27" s="109">
        <f t="shared" si="17"/>
        <v>0</v>
      </c>
      <c r="H27" s="89"/>
      <c r="I27" s="92">
        <v>0</v>
      </c>
      <c r="J27" s="80">
        <v>0</v>
      </c>
      <c r="K27" s="80">
        <v>0</v>
      </c>
      <c r="L27" s="80">
        <f t="shared" si="18"/>
        <v>0</v>
      </c>
      <c r="M27" s="80">
        <v>0</v>
      </c>
      <c r="N27" s="109">
        <f t="shared" si="19"/>
        <v>0</v>
      </c>
      <c r="O27" s="85"/>
      <c r="P27" s="54">
        <f t="shared" si="20"/>
        <v>0</v>
      </c>
      <c r="Q27" s="54">
        <f t="shared" si="21"/>
        <v>0</v>
      </c>
      <c r="R27" s="54">
        <f t="shared" si="22"/>
        <v>0</v>
      </c>
      <c r="S27" s="54">
        <f t="shared" si="23"/>
        <v>0</v>
      </c>
      <c r="T27" s="109">
        <v>0</v>
      </c>
      <c r="U27" s="109">
        <f t="shared" si="24"/>
        <v>0</v>
      </c>
    </row>
    <row r="28" spans="1:22" x14ac:dyDescent="0.25">
      <c r="A28" s="53"/>
      <c r="B28" s="80"/>
      <c r="C28" s="80"/>
      <c r="D28" s="80"/>
      <c r="E28" s="80"/>
      <c r="F28" s="80"/>
      <c r="G28" s="109">
        <f t="shared" si="17"/>
        <v>0</v>
      </c>
      <c r="H28" s="85"/>
      <c r="I28" s="80"/>
      <c r="J28" s="80"/>
      <c r="K28" s="80"/>
      <c r="L28" s="80"/>
      <c r="M28" s="80"/>
      <c r="N28" s="109">
        <f t="shared" si="19"/>
        <v>0</v>
      </c>
      <c r="O28" s="85"/>
      <c r="P28" s="54"/>
      <c r="Q28" s="54"/>
      <c r="R28" s="54"/>
      <c r="S28" s="54"/>
      <c r="T28" s="109"/>
      <c r="U28" s="109">
        <f t="shared" si="24"/>
        <v>0</v>
      </c>
    </row>
    <row r="29" spans="1:22" ht="14.4" x14ac:dyDescent="0.3">
      <c r="A29" s="57" t="s">
        <v>2</v>
      </c>
      <c r="B29" s="58">
        <f>SUM(B23:B28)</f>
        <v>0</v>
      </c>
      <c r="C29" s="58">
        <f t="shared" ref="C29" si="25">SUM(C23:C28)</f>
        <v>0</v>
      </c>
      <c r="D29" s="58">
        <f t="shared" ref="D29" si="26">SUM(D23:D28)</f>
        <v>0</v>
      </c>
      <c r="E29" s="58">
        <f t="shared" ref="E29" si="27">SUM(E23:E28)</f>
        <v>0</v>
      </c>
      <c r="F29" s="58">
        <f t="shared" ref="F29:G29" si="28">SUM(F23:F28)</f>
        <v>0</v>
      </c>
      <c r="G29" s="58">
        <f t="shared" si="28"/>
        <v>0</v>
      </c>
      <c r="H29" s="86"/>
      <c r="I29" s="58">
        <f t="shared" ref="I29" si="29">SUM(I23:I28)</f>
        <v>343859</v>
      </c>
      <c r="J29" s="58">
        <f t="shared" ref="J29" si="30">SUM(J23:J28)</f>
        <v>0</v>
      </c>
      <c r="K29" s="58">
        <f t="shared" ref="K29" si="31">SUM(K23:K28)</f>
        <v>8596</v>
      </c>
      <c r="L29" s="58">
        <f t="shared" ref="L29" si="32">SUM(L23:L28)</f>
        <v>8596</v>
      </c>
      <c r="M29" s="58">
        <f t="shared" ref="M29:N29" si="33">SUM(M23:M28)</f>
        <v>0</v>
      </c>
      <c r="N29" s="58">
        <f t="shared" si="33"/>
        <v>17192</v>
      </c>
      <c r="O29" s="86"/>
      <c r="P29" s="58">
        <f t="shared" ref="P29" si="34">SUM(P23:P28)</f>
        <v>343859</v>
      </c>
      <c r="Q29" s="58">
        <f t="shared" ref="Q29" si="35">SUM(Q23:Q28)</f>
        <v>0</v>
      </c>
      <c r="R29" s="58">
        <f t="shared" ref="R29" si="36">SUM(R23:R28)</f>
        <v>8596</v>
      </c>
      <c r="S29" s="58">
        <f t="shared" ref="S29" si="37">SUM(S23:S28)</f>
        <v>8596</v>
      </c>
      <c r="T29" s="58">
        <f t="shared" ref="T29:U29" si="38">SUM(T23:T28)</f>
        <v>0</v>
      </c>
      <c r="U29" s="58">
        <f t="shared" si="38"/>
        <v>17192</v>
      </c>
      <c r="V29" s="189">
        <f>+U29-N29-G29</f>
        <v>0</v>
      </c>
    </row>
    <row r="30" spans="1:22" x14ac:dyDescent="0.25">
      <c r="A30" s="37"/>
      <c r="B30" s="37"/>
      <c r="C30" s="37"/>
      <c r="D30" s="37"/>
      <c r="E30" s="37"/>
      <c r="H30" s="87"/>
      <c r="I30" s="37"/>
      <c r="J30" s="37"/>
      <c r="K30" s="37"/>
      <c r="L30" s="37"/>
      <c r="O30" s="87"/>
      <c r="P30" s="37"/>
      <c r="Q30" s="37"/>
      <c r="R30" s="37"/>
      <c r="S30" s="37"/>
      <c r="V30" s="116">
        <f>+P29-I29-B29</f>
        <v>0</v>
      </c>
    </row>
  </sheetData>
  <mergeCells count="14">
    <mergeCell ref="A1:U1"/>
    <mergeCell ref="A2:U2"/>
    <mergeCell ref="A3:U3"/>
    <mergeCell ref="A4:U4"/>
    <mergeCell ref="B21:G21"/>
    <mergeCell ref="I21:N21"/>
    <mergeCell ref="P21:U21"/>
    <mergeCell ref="A6:U6"/>
    <mergeCell ref="A19:U19"/>
    <mergeCell ref="A21:A22"/>
    <mergeCell ref="A8:A9"/>
    <mergeCell ref="B8:G8"/>
    <mergeCell ref="I8:N8"/>
    <mergeCell ref="P8:U8"/>
  </mergeCells>
  <pageMargins left="0.17" right="0.16" top="0.25" bottom="0.26" header="0.31496062992125984" footer="0.31496062992125984"/>
  <pageSetup paperSize="9" scale="6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8"/>
  <sheetViews>
    <sheetView topLeftCell="A10" zoomScaleNormal="100" zoomScaleSheetLayoutView="100" workbookViewId="0">
      <selection activeCell="C11" sqref="C11"/>
    </sheetView>
  </sheetViews>
  <sheetFormatPr defaultRowHeight="13.2" x14ac:dyDescent="0.25"/>
  <cols>
    <col min="1" max="1" width="35.44140625" bestFit="1" customWidth="1"/>
    <col min="2" max="2" width="17.6640625" customWidth="1"/>
    <col min="3" max="3" width="16.109375" customWidth="1"/>
    <col min="4" max="4" width="15.109375" customWidth="1"/>
    <col min="5" max="5" width="14.33203125" customWidth="1"/>
    <col min="6" max="6" width="15.6640625" customWidth="1"/>
  </cols>
  <sheetData>
    <row r="1" spans="1:6" s="37" customFormat="1" ht="21" x14ac:dyDescent="0.4">
      <c r="A1" s="277" t="str">
        <f>+DATA!A1</f>
        <v>ABC LTD.</v>
      </c>
      <c r="B1" s="277"/>
      <c r="C1" s="277"/>
      <c r="D1" s="277"/>
      <c r="E1" s="277"/>
      <c r="F1" s="277"/>
    </row>
    <row r="2" spans="1:6" s="37" customFormat="1" ht="21" x14ac:dyDescent="0.4">
      <c r="A2" s="277" t="str">
        <f>+DATA!A2</f>
        <v>ADDRESS OR PROPRIETOR NAME</v>
      </c>
      <c r="B2" s="277"/>
      <c r="C2" s="277"/>
      <c r="D2" s="277"/>
      <c r="E2" s="277"/>
      <c r="F2" s="277"/>
    </row>
    <row r="3" spans="1:6" ht="21" x14ac:dyDescent="0.4">
      <c r="A3" s="277" t="str">
        <f>+DATA!A3</f>
        <v>FINANCIAL YEAR 2018-2019</v>
      </c>
      <c r="B3" s="277"/>
      <c r="C3" s="277"/>
      <c r="D3" s="277"/>
      <c r="E3" s="277"/>
      <c r="F3" s="277"/>
    </row>
    <row r="4" spans="1:6" ht="21" x14ac:dyDescent="0.4">
      <c r="A4" s="277" t="str">
        <f>+DATA!A4</f>
        <v>GST NO.</v>
      </c>
      <c r="B4" s="277"/>
      <c r="C4" s="277"/>
      <c r="D4" s="277"/>
      <c r="E4" s="277"/>
      <c r="F4" s="277"/>
    </row>
    <row r="5" spans="1:6" s="37" customFormat="1" ht="21" x14ac:dyDescent="0.4">
      <c r="A5" s="60"/>
      <c r="B5" s="60"/>
      <c r="C5" s="60"/>
      <c r="D5" s="60"/>
      <c r="E5" s="60"/>
      <c r="F5" s="60"/>
    </row>
    <row r="6" spans="1:6" ht="21" x14ac:dyDescent="0.4">
      <c r="A6" s="288" t="s">
        <v>102</v>
      </c>
      <c r="B6" s="288"/>
      <c r="C6" s="288"/>
      <c r="D6" s="288"/>
      <c r="E6" s="288"/>
      <c r="F6" s="288"/>
    </row>
    <row r="8" spans="1:6" ht="15.6" x14ac:dyDescent="0.3">
      <c r="A8" s="61" t="s">
        <v>4</v>
      </c>
      <c r="B8" s="61" t="s">
        <v>78</v>
      </c>
      <c r="C8" s="61" t="s">
        <v>25</v>
      </c>
      <c r="D8" s="61" t="s">
        <v>26</v>
      </c>
      <c r="E8" s="61" t="s">
        <v>27</v>
      </c>
      <c r="F8" s="61" t="s">
        <v>79</v>
      </c>
    </row>
    <row r="9" spans="1:6" x14ac:dyDescent="0.25">
      <c r="A9" s="64" t="s">
        <v>80</v>
      </c>
      <c r="B9" s="80">
        <v>61372093.039999992</v>
      </c>
      <c r="C9" s="80">
        <v>9205273</v>
      </c>
      <c r="D9" s="227">
        <v>592215.59000000032</v>
      </c>
      <c r="E9" s="109">
        <f>+D9</f>
        <v>592215.59000000032</v>
      </c>
      <c r="F9" s="226">
        <f>+C9+D9+E9</f>
        <v>10389704.18</v>
      </c>
    </row>
    <row r="10" spans="1:6" x14ac:dyDescent="0.25">
      <c r="A10" s="64" t="s">
        <v>81</v>
      </c>
      <c r="B10" s="80">
        <v>0</v>
      </c>
      <c r="C10" s="80">
        <v>0</v>
      </c>
      <c r="D10" s="227">
        <v>0</v>
      </c>
      <c r="E10" s="109">
        <f t="shared" ref="E10:E25" si="0">+D10</f>
        <v>0</v>
      </c>
      <c r="F10" s="226">
        <f t="shared" ref="F10:F25" si="1">+C10+D10+E10</f>
        <v>0</v>
      </c>
    </row>
    <row r="11" spans="1:6" x14ac:dyDescent="0.25">
      <c r="A11" s="64" t="s">
        <v>7</v>
      </c>
      <c r="B11" s="80">
        <v>0</v>
      </c>
      <c r="C11" s="80">
        <v>0</v>
      </c>
      <c r="D11" s="227">
        <v>0</v>
      </c>
      <c r="E11" s="109">
        <f t="shared" si="0"/>
        <v>0</v>
      </c>
      <c r="F11" s="226">
        <f t="shared" si="1"/>
        <v>0</v>
      </c>
    </row>
    <row r="12" spans="1:6" x14ac:dyDescent="0.25">
      <c r="A12" s="64" t="s">
        <v>3</v>
      </c>
      <c r="B12" s="80">
        <v>0</v>
      </c>
      <c r="C12" s="80">
        <v>0</v>
      </c>
      <c r="D12" s="227">
        <v>0</v>
      </c>
      <c r="E12" s="109">
        <f t="shared" si="0"/>
        <v>0</v>
      </c>
      <c r="F12" s="226">
        <f t="shared" si="1"/>
        <v>0</v>
      </c>
    </row>
    <row r="13" spans="1:6" x14ac:dyDescent="0.25">
      <c r="A13" s="64" t="s">
        <v>82</v>
      </c>
      <c r="B13" s="80">
        <v>0</v>
      </c>
      <c r="C13" s="80">
        <v>0</v>
      </c>
      <c r="D13" s="227">
        <v>0</v>
      </c>
      <c r="E13" s="109">
        <f t="shared" si="0"/>
        <v>0</v>
      </c>
      <c r="F13" s="226">
        <f t="shared" si="1"/>
        <v>0</v>
      </c>
    </row>
    <row r="14" spans="1:6" x14ac:dyDescent="0.25">
      <c r="A14" s="64" t="s">
        <v>83</v>
      </c>
      <c r="B14" s="80">
        <v>0</v>
      </c>
      <c r="C14" s="80">
        <v>0</v>
      </c>
      <c r="D14" s="80">
        <v>0</v>
      </c>
      <c r="E14" s="109">
        <f t="shared" si="0"/>
        <v>0</v>
      </c>
      <c r="F14" s="226">
        <f t="shared" si="1"/>
        <v>0</v>
      </c>
    </row>
    <row r="15" spans="1:6" x14ac:dyDescent="0.25">
      <c r="A15" s="64" t="s">
        <v>84</v>
      </c>
      <c r="B15" s="80">
        <v>0</v>
      </c>
      <c r="C15" s="80">
        <v>0</v>
      </c>
      <c r="D15" s="80">
        <v>0</v>
      </c>
      <c r="E15" s="109">
        <f t="shared" si="0"/>
        <v>0</v>
      </c>
      <c r="F15" s="226">
        <f t="shared" si="1"/>
        <v>0</v>
      </c>
    </row>
    <row r="16" spans="1:6" x14ac:dyDescent="0.25">
      <c r="A16" s="64" t="s">
        <v>85</v>
      </c>
      <c r="B16" s="80">
        <v>0</v>
      </c>
      <c r="C16" s="80">
        <v>0</v>
      </c>
      <c r="D16" s="80">
        <v>0</v>
      </c>
      <c r="E16" s="109">
        <f t="shared" si="0"/>
        <v>0</v>
      </c>
      <c r="F16" s="226">
        <f t="shared" si="1"/>
        <v>0</v>
      </c>
    </row>
    <row r="17" spans="1:7" x14ac:dyDescent="0.25">
      <c r="A17" s="64" t="s">
        <v>86</v>
      </c>
      <c r="B17" s="80">
        <v>0</v>
      </c>
      <c r="C17" s="80">
        <v>0</v>
      </c>
      <c r="D17" s="80">
        <v>0</v>
      </c>
      <c r="E17" s="109">
        <f t="shared" si="0"/>
        <v>0</v>
      </c>
      <c r="F17" s="226">
        <f t="shared" si="1"/>
        <v>0</v>
      </c>
    </row>
    <row r="18" spans="1:7" x14ac:dyDescent="0.25">
      <c r="A18" s="64" t="s">
        <v>87</v>
      </c>
      <c r="B18" s="80">
        <v>0</v>
      </c>
      <c r="C18" s="80">
        <v>0</v>
      </c>
      <c r="D18" s="80">
        <v>0</v>
      </c>
      <c r="E18" s="109">
        <f t="shared" si="0"/>
        <v>0</v>
      </c>
      <c r="F18" s="226">
        <f t="shared" si="1"/>
        <v>0</v>
      </c>
    </row>
    <row r="19" spans="1:7" x14ac:dyDescent="0.25">
      <c r="A19" s="64" t="s">
        <v>88</v>
      </c>
      <c r="B19" s="80">
        <v>12571.28</v>
      </c>
      <c r="C19" s="80">
        <v>89.82</v>
      </c>
      <c r="D19" s="80">
        <v>1086.5</v>
      </c>
      <c r="E19" s="109">
        <f t="shared" si="0"/>
        <v>1086.5</v>
      </c>
      <c r="F19" s="226">
        <f t="shared" si="1"/>
        <v>2262.8199999999997</v>
      </c>
    </row>
    <row r="20" spans="1:7" x14ac:dyDescent="0.25">
      <c r="A20" s="64" t="s">
        <v>89</v>
      </c>
      <c r="B20" s="80">
        <v>0</v>
      </c>
      <c r="C20" s="80">
        <v>0</v>
      </c>
      <c r="D20" s="80">
        <v>0</v>
      </c>
      <c r="E20" s="109">
        <f t="shared" si="0"/>
        <v>0</v>
      </c>
      <c r="F20" s="226">
        <f t="shared" si="1"/>
        <v>0</v>
      </c>
    </row>
    <row r="21" spans="1:7" x14ac:dyDescent="0.25">
      <c r="A21" s="64" t="s">
        <v>90</v>
      </c>
      <c r="B21" s="80">
        <v>0</v>
      </c>
      <c r="C21" s="80">
        <v>0</v>
      </c>
      <c r="D21" s="80">
        <v>0</v>
      </c>
      <c r="E21" s="109">
        <f t="shared" si="0"/>
        <v>0</v>
      </c>
      <c r="F21" s="226">
        <f t="shared" si="1"/>
        <v>0</v>
      </c>
    </row>
    <row r="22" spans="1:7" x14ac:dyDescent="0.25">
      <c r="A22" s="64" t="s">
        <v>91</v>
      </c>
      <c r="B22" s="80">
        <v>0</v>
      </c>
      <c r="C22" s="80">
        <v>0</v>
      </c>
      <c r="D22" s="80">
        <v>0</v>
      </c>
      <c r="E22" s="109">
        <f t="shared" si="0"/>
        <v>0</v>
      </c>
      <c r="F22" s="226">
        <f t="shared" si="1"/>
        <v>0</v>
      </c>
    </row>
    <row r="23" spans="1:7" x14ac:dyDescent="0.25">
      <c r="A23" s="64" t="s">
        <v>92</v>
      </c>
      <c r="B23" s="80">
        <v>0</v>
      </c>
      <c r="C23" s="80">
        <v>0</v>
      </c>
      <c r="D23" s="80">
        <v>0</v>
      </c>
      <c r="E23" s="109">
        <f t="shared" si="0"/>
        <v>0</v>
      </c>
      <c r="F23" s="226">
        <f t="shared" si="1"/>
        <v>0</v>
      </c>
    </row>
    <row r="24" spans="1:7" x14ac:dyDescent="0.25">
      <c r="A24" s="64" t="s">
        <v>93</v>
      </c>
      <c r="B24" s="80">
        <v>0</v>
      </c>
      <c r="C24" s="80">
        <v>0</v>
      </c>
      <c r="D24" s="80">
        <v>0</v>
      </c>
      <c r="E24" s="109">
        <f t="shared" si="0"/>
        <v>0</v>
      </c>
      <c r="F24" s="226">
        <f t="shared" si="1"/>
        <v>0</v>
      </c>
    </row>
    <row r="25" spans="1:7" x14ac:dyDescent="0.25">
      <c r="A25" s="64" t="s">
        <v>94</v>
      </c>
      <c r="B25" s="80">
        <v>343859</v>
      </c>
      <c r="C25" s="80">
        <v>0</v>
      </c>
      <c r="D25" s="80">
        <v>8640</v>
      </c>
      <c r="E25" s="109">
        <f t="shared" si="0"/>
        <v>8640</v>
      </c>
      <c r="F25" s="226">
        <f t="shared" si="1"/>
        <v>17280</v>
      </c>
    </row>
    <row r="26" spans="1:7" ht="14.4" x14ac:dyDescent="0.3">
      <c r="A26" s="62" t="s">
        <v>2</v>
      </c>
      <c r="B26" s="63">
        <f>SUM(B9:B25)</f>
        <v>61728523.319999993</v>
      </c>
      <c r="C26" s="63">
        <f>SUM(C9:C25)</f>
        <v>9205362.8200000003</v>
      </c>
      <c r="D26" s="63">
        <f t="shared" ref="D26:F26" si="2">SUM(D9:D25)</f>
        <v>601942.09000000032</v>
      </c>
      <c r="E26" s="63">
        <f t="shared" si="2"/>
        <v>601942.09000000032</v>
      </c>
      <c r="F26" s="63">
        <f t="shared" si="2"/>
        <v>10409247</v>
      </c>
      <c r="G26" s="190">
        <f>+C26+D26+E26-F26</f>
        <v>0</v>
      </c>
    </row>
    <row r="28" spans="1:7" x14ac:dyDescent="0.25">
      <c r="C28" s="36"/>
      <c r="D28" s="36"/>
    </row>
  </sheetData>
  <mergeCells count="5">
    <mergeCell ref="A6:F6"/>
    <mergeCell ref="A1:F1"/>
    <mergeCell ref="A2:F2"/>
    <mergeCell ref="A3:F3"/>
    <mergeCell ref="A4:F4"/>
  </mergeCells>
  <pageMargins left="0.39" right="0.22" top="0.36" bottom="0.39" header="0.3" footer="0.3"/>
  <pageSetup paperSize="9" scale="8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27"/>
  <sheetViews>
    <sheetView topLeftCell="A7" zoomScaleNormal="100" zoomScaleSheetLayoutView="100" workbookViewId="0">
      <selection activeCell="G16" sqref="G16"/>
    </sheetView>
  </sheetViews>
  <sheetFormatPr defaultRowHeight="13.2" x14ac:dyDescent="0.25"/>
  <cols>
    <col min="1" max="1" width="11.109375" bestFit="1" customWidth="1"/>
    <col min="2" max="2" width="14.109375" bestFit="1" customWidth="1"/>
    <col min="3" max="3" width="13.44140625" bestFit="1" customWidth="1"/>
    <col min="4" max="4" width="14.109375" bestFit="1" customWidth="1"/>
    <col min="5" max="5" width="13.44140625" style="115" customWidth="1"/>
    <col min="6" max="6" width="14.109375" bestFit="1" customWidth="1"/>
    <col min="7" max="7" width="11.88671875" bestFit="1" customWidth="1"/>
    <col min="8" max="8" width="14.6640625" bestFit="1" customWidth="1"/>
    <col min="9" max="9" width="12.33203125" bestFit="1" customWidth="1"/>
    <col min="10" max="10" width="11.33203125" bestFit="1" customWidth="1"/>
    <col min="11" max="11" width="3.88671875" customWidth="1"/>
    <col min="12" max="12" width="11.33203125" bestFit="1" customWidth="1"/>
    <col min="13" max="14" width="10.109375" bestFit="1" customWidth="1"/>
  </cols>
  <sheetData>
    <row r="1" spans="1:14" s="37" customFormat="1" ht="21" x14ac:dyDescent="0.4">
      <c r="A1" s="277" t="str">
        <f>+DATA!A1</f>
        <v>ABC LTD.</v>
      </c>
      <c r="B1" s="277"/>
      <c r="C1" s="277"/>
      <c r="D1" s="277"/>
      <c r="E1" s="277"/>
      <c r="F1" s="277"/>
      <c r="G1" s="277"/>
      <c r="H1" s="277"/>
      <c r="I1" s="277"/>
      <c r="J1" s="277"/>
      <c r="K1" s="277"/>
      <c r="L1" s="277"/>
      <c r="M1" s="277"/>
      <c r="N1" s="277"/>
    </row>
    <row r="2" spans="1:14" s="37" customFormat="1" ht="21" x14ac:dyDescent="0.4">
      <c r="A2" s="277" t="str">
        <f>+DATA!A2</f>
        <v>ADDRESS OR PROPRIETOR NAME</v>
      </c>
      <c r="B2" s="277"/>
      <c r="C2" s="277"/>
      <c r="D2" s="277"/>
      <c r="E2" s="277"/>
      <c r="F2" s="277"/>
      <c r="G2" s="277"/>
      <c r="H2" s="277"/>
      <c r="I2" s="277"/>
      <c r="J2" s="277"/>
      <c r="K2" s="277"/>
      <c r="L2" s="277"/>
      <c r="M2" s="277"/>
      <c r="N2" s="277"/>
    </row>
    <row r="3" spans="1:14" ht="21" x14ac:dyDescent="0.4">
      <c r="A3" s="277" t="str">
        <f>+DATA!A3</f>
        <v>FINANCIAL YEAR 2018-2019</v>
      </c>
      <c r="B3" s="277"/>
      <c r="C3" s="277"/>
      <c r="D3" s="277"/>
      <c r="E3" s="277"/>
      <c r="F3" s="277"/>
      <c r="G3" s="277"/>
      <c r="H3" s="277"/>
      <c r="I3" s="277"/>
      <c r="J3" s="277"/>
      <c r="K3" s="277"/>
      <c r="L3" s="277"/>
      <c r="M3" s="277"/>
      <c r="N3" s="277"/>
    </row>
    <row r="4" spans="1:14" ht="21" x14ac:dyDescent="0.4">
      <c r="A4" s="277" t="str">
        <f>+DATA!A4</f>
        <v>GST NO.</v>
      </c>
      <c r="B4" s="277"/>
      <c r="C4" s="277"/>
      <c r="D4" s="277"/>
      <c r="E4" s="277"/>
      <c r="F4" s="277"/>
      <c r="G4" s="277"/>
      <c r="H4" s="277"/>
      <c r="I4" s="277"/>
      <c r="J4" s="277"/>
      <c r="K4" s="277"/>
      <c r="L4" s="277"/>
      <c r="M4" s="277"/>
      <c r="N4" s="277"/>
    </row>
    <row r="5" spans="1:14" s="30" customFormat="1" ht="18" x14ac:dyDescent="0.35">
      <c r="A5" s="289" t="s">
        <v>69</v>
      </c>
      <c r="B5" s="289"/>
      <c r="C5" s="289"/>
      <c r="D5" s="289"/>
      <c r="E5" s="289"/>
      <c r="F5" s="289"/>
      <c r="G5" s="289"/>
      <c r="H5" s="289"/>
      <c r="I5" s="289"/>
      <c r="J5" s="289"/>
      <c r="K5" s="289"/>
      <c r="L5" s="289"/>
      <c r="M5" s="289"/>
      <c r="N5" s="289"/>
    </row>
    <row r="6" spans="1:14" s="30" customFormat="1" ht="13.5" customHeight="1" x14ac:dyDescent="0.35">
      <c r="A6" s="29"/>
      <c r="B6" s="29"/>
      <c r="C6" s="29"/>
      <c r="D6" s="29"/>
      <c r="E6" s="195"/>
      <c r="F6" s="29"/>
      <c r="G6" s="29"/>
      <c r="H6" s="29"/>
      <c r="I6" s="29"/>
      <c r="J6" s="29"/>
      <c r="K6" s="29"/>
      <c r="L6" s="29"/>
      <c r="M6" s="29"/>
      <c r="N6" s="29"/>
    </row>
    <row r="7" spans="1:14" s="30" customFormat="1" ht="15.6" x14ac:dyDescent="0.3">
      <c r="H7" s="67" t="s">
        <v>70</v>
      </c>
      <c r="I7" s="68"/>
      <c r="J7" s="69">
        <v>0.18</v>
      </c>
    </row>
    <row r="8" spans="1:14" s="30" customFormat="1" ht="15.6" x14ac:dyDescent="0.3">
      <c r="A8" s="31"/>
      <c r="B8" s="290" t="s">
        <v>103</v>
      </c>
      <c r="C8" s="291"/>
      <c r="D8" s="291"/>
      <c r="E8" s="291"/>
      <c r="F8" s="292"/>
      <c r="G8" s="32"/>
      <c r="H8" s="32"/>
      <c r="I8" s="32"/>
      <c r="J8" s="31"/>
      <c r="L8" s="290" t="s">
        <v>107</v>
      </c>
      <c r="M8" s="291"/>
      <c r="N8" s="292"/>
    </row>
    <row r="9" spans="1:14" s="30" customFormat="1" ht="31.2" x14ac:dyDescent="0.3">
      <c r="A9" s="61" t="str">
        <f>+DATA!A19</f>
        <v>MONTH</v>
      </c>
      <c r="B9" s="61" t="str">
        <f>+DATA!D75</f>
        <v>IGST</v>
      </c>
      <c r="C9" s="61" t="str">
        <f>+DATA!E75</f>
        <v>CGST</v>
      </c>
      <c r="D9" s="61" t="str">
        <f>+DATA!F75</f>
        <v>SGST</v>
      </c>
      <c r="E9" s="61" t="str">
        <f>+DATA!G75</f>
        <v>CESS</v>
      </c>
      <c r="F9" s="70" t="s">
        <v>2</v>
      </c>
      <c r="G9" s="61" t="s">
        <v>104</v>
      </c>
      <c r="H9" s="71" t="s">
        <v>105</v>
      </c>
      <c r="I9" s="71" t="s">
        <v>71</v>
      </c>
      <c r="J9" s="61" t="s">
        <v>106</v>
      </c>
      <c r="K9" s="72"/>
      <c r="L9" s="61" t="s">
        <v>25</v>
      </c>
      <c r="M9" s="61" t="s">
        <v>26</v>
      </c>
      <c r="N9" s="61" t="s">
        <v>27</v>
      </c>
    </row>
    <row r="10" spans="1:14" s="30" customFormat="1" ht="15.6" x14ac:dyDescent="0.3">
      <c r="A10" s="40" t="str">
        <f>+DATA!A20</f>
        <v>APRIL</v>
      </c>
      <c r="B10" s="198">
        <f>+DATA!D76</f>
        <v>0</v>
      </c>
      <c r="C10" s="198">
        <f>+DATA!E76</f>
        <v>376</v>
      </c>
      <c r="D10" s="198">
        <f>+DATA!F76</f>
        <v>58257</v>
      </c>
      <c r="E10" s="198">
        <f>+DATA!G76</f>
        <v>0</v>
      </c>
      <c r="F10" s="198">
        <f>SUM(B10:D10)</f>
        <v>58633</v>
      </c>
      <c r="G10" s="33">
        <v>43240</v>
      </c>
      <c r="H10" s="93">
        <v>43239</v>
      </c>
      <c r="I10" s="34">
        <f t="shared" ref="I10:I12" si="0">+H10-G10</f>
        <v>-1</v>
      </c>
      <c r="J10" s="35">
        <f>IF(F10=0,0,IF(I10&lt;1,0,(F10)*$J$7*I10/365))</f>
        <v>0</v>
      </c>
      <c r="L10" s="35">
        <f>IF(B10=0,0,J10/F10*B10)</f>
        <v>0</v>
      </c>
      <c r="M10" s="35"/>
      <c r="N10" s="35"/>
    </row>
    <row r="11" spans="1:14" s="30" customFormat="1" ht="15.6" x14ac:dyDescent="0.3">
      <c r="A11" s="40" t="str">
        <f>+DATA!A21</f>
        <v>MAY</v>
      </c>
      <c r="B11" s="198">
        <f>+DATA!D77</f>
        <v>0</v>
      </c>
      <c r="C11" s="198">
        <f>+DATA!E77</f>
        <v>1913</v>
      </c>
      <c r="D11" s="198">
        <f>+DATA!F77</f>
        <v>1913</v>
      </c>
      <c r="E11" s="198">
        <f>+DATA!G77</f>
        <v>0</v>
      </c>
      <c r="F11" s="198">
        <f>SUM(B11:D11)</f>
        <v>3826</v>
      </c>
      <c r="G11" s="33">
        <v>43271</v>
      </c>
      <c r="H11" s="93">
        <v>43267</v>
      </c>
      <c r="I11" s="34">
        <f t="shared" si="0"/>
        <v>-4</v>
      </c>
      <c r="J11" s="35">
        <f>IF(F11=0,0,IF(I11&lt;1,0,(F11)*$J$7*I11/365))</f>
        <v>0</v>
      </c>
      <c r="L11" s="35">
        <f>IF(B11=0,0,J11/F11*B11)</f>
        <v>0</v>
      </c>
      <c r="M11" s="35"/>
      <c r="N11" s="35"/>
    </row>
    <row r="12" spans="1:14" s="30" customFormat="1" ht="15.6" x14ac:dyDescent="0.3">
      <c r="A12" s="40" t="str">
        <f>+DATA!A22</f>
        <v>JUNE</v>
      </c>
      <c r="B12" s="198">
        <f>+DATA!D78</f>
        <v>0</v>
      </c>
      <c r="C12" s="198">
        <f>+DATA!E78</f>
        <v>2378</v>
      </c>
      <c r="D12" s="198">
        <f>+DATA!F78</f>
        <v>330176</v>
      </c>
      <c r="E12" s="198">
        <f>+DATA!G78</f>
        <v>0</v>
      </c>
      <c r="F12" s="198">
        <f>SUM(B12:D12)</f>
        <v>332554</v>
      </c>
      <c r="G12" s="33">
        <v>43301</v>
      </c>
      <c r="H12" s="93">
        <v>43298</v>
      </c>
      <c r="I12" s="34">
        <f t="shared" si="0"/>
        <v>-3</v>
      </c>
      <c r="J12" s="35">
        <f>IF(F12=0,0,IF(I12&lt;1,0,(F12)*$J$7*I12/365))</f>
        <v>0</v>
      </c>
      <c r="L12" s="35">
        <f>IF(B12=0,0,J12/F12*B12)</f>
        <v>0</v>
      </c>
      <c r="M12" s="35"/>
      <c r="N12" s="35"/>
    </row>
    <row r="13" spans="1:14" s="30" customFormat="1" ht="15.6" x14ac:dyDescent="0.3">
      <c r="A13" s="40" t="str">
        <f>+DATA!A23</f>
        <v>JULY</v>
      </c>
      <c r="B13" s="198">
        <f>+DATA!D79</f>
        <v>0</v>
      </c>
      <c r="C13" s="198">
        <f>+DATA!E79</f>
        <v>979</v>
      </c>
      <c r="D13" s="198">
        <f>+DATA!F79</f>
        <v>979</v>
      </c>
      <c r="E13" s="198">
        <f>+DATA!G79</f>
        <v>0</v>
      </c>
      <c r="F13" s="198">
        <f>SUM(B13:D13)</f>
        <v>1958</v>
      </c>
      <c r="G13" s="33">
        <v>43332</v>
      </c>
      <c r="H13" s="93">
        <v>43329</v>
      </c>
      <c r="I13" s="34">
        <f t="shared" ref="I13:I21" si="1">+H13-G13</f>
        <v>-3</v>
      </c>
      <c r="J13" s="35">
        <f>IF(F13=0,0,IF(I13&lt;1,0,(F13)*$J$7*I13/365))</f>
        <v>0</v>
      </c>
      <c r="L13" s="35">
        <f>IF(B13=0,0,J13/F13*B13)</f>
        <v>0</v>
      </c>
      <c r="M13" s="35"/>
      <c r="N13" s="35"/>
    </row>
    <row r="14" spans="1:14" s="30" customFormat="1" ht="15.6" x14ac:dyDescent="0.3">
      <c r="A14" s="40" t="str">
        <f>+DATA!A24</f>
        <v>AUG</v>
      </c>
      <c r="B14" s="198">
        <f>+DATA!D80</f>
        <v>0</v>
      </c>
      <c r="C14" s="198">
        <f>+DATA!E80</f>
        <v>554</v>
      </c>
      <c r="D14" s="198">
        <f>+DATA!F80</f>
        <v>554</v>
      </c>
      <c r="E14" s="198">
        <f>+DATA!G80</f>
        <v>0</v>
      </c>
      <c r="F14" s="198">
        <f t="shared" ref="F14:F21" si="2">SUM(B14:D14)</f>
        <v>1108</v>
      </c>
      <c r="G14" s="33">
        <v>43363</v>
      </c>
      <c r="H14" s="93">
        <v>43361</v>
      </c>
      <c r="I14" s="34">
        <f t="shared" si="1"/>
        <v>-2</v>
      </c>
      <c r="J14" s="35">
        <f t="shared" ref="J14:J21" si="3">IF(F14=0,0,IF(I14&lt;1,0,(F14)*$J$7*I14/365))</f>
        <v>0</v>
      </c>
      <c r="L14" s="35">
        <f t="shared" ref="L14" si="4">IF(B14=0,0,J14/F14*B14)</f>
        <v>0</v>
      </c>
      <c r="M14" s="35"/>
      <c r="N14" s="35"/>
    </row>
    <row r="15" spans="1:14" s="30" customFormat="1" ht="15.6" x14ac:dyDescent="0.3">
      <c r="A15" s="40" t="str">
        <f>+DATA!A25</f>
        <v>SEP</v>
      </c>
      <c r="B15" s="198">
        <f>+DATA!D81</f>
        <v>0</v>
      </c>
      <c r="C15" s="198">
        <f>+DATA!E81</f>
        <v>772</v>
      </c>
      <c r="D15" s="198">
        <f>+DATA!F81</f>
        <v>522286</v>
      </c>
      <c r="E15" s="198">
        <f>+DATA!G81</f>
        <v>0</v>
      </c>
      <c r="F15" s="198">
        <f t="shared" si="2"/>
        <v>523058</v>
      </c>
      <c r="G15" s="33">
        <v>43393</v>
      </c>
      <c r="H15" s="93">
        <v>43407</v>
      </c>
      <c r="I15" s="34">
        <f t="shared" si="1"/>
        <v>14</v>
      </c>
      <c r="J15" s="35">
        <f t="shared" si="3"/>
        <v>3611.2497534246581</v>
      </c>
      <c r="L15" s="35">
        <f>IF(B15=0,0,J15/F15*B15)</f>
        <v>0</v>
      </c>
      <c r="M15" s="35"/>
      <c r="N15" s="35"/>
    </row>
    <row r="16" spans="1:14" s="30" customFormat="1" ht="15.6" x14ac:dyDescent="0.3">
      <c r="A16" s="40" t="str">
        <f>+DATA!A26</f>
        <v>OCT</v>
      </c>
      <c r="B16" s="198">
        <f>+DATA!D82</f>
        <v>0</v>
      </c>
      <c r="C16" s="198">
        <f>+DATA!E82</f>
        <v>462</v>
      </c>
      <c r="D16" s="198">
        <f>+DATA!F82</f>
        <v>462</v>
      </c>
      <c r="E16" s="198">
        <f>+DATA!G82</f>
        <v>0</v>
      </c>
      <c r="F16" s="198">
        <f t="shared" si="2"/>
        <v>924</v>
      </c>
      <c r="G16" s="33">
        <v>43424</v>
      </c>
      <c r="H16" s="93">
        <v>43420</v>
      </c>
      <c r="I16" s="34">
        <f t="shared" si="1"/>
        <v>-4</v>
      </c>
      <c r="J16" s="35">
        <f t="shared" si="3"/>
        <v>0</v>
      </c>
      <c r="L16" s="35">
        <f t="shared" ref="L16:L21" si="5">IF(B16=0,0,J16/F16*B16)</f>
        <v>0</v>
      </c>
      <c r="M16" s="35"/>
      <c r="N16" s="35"/>
    </row>
    <row r="17" spans="1:15" s="30" customFormat="1" ht="15.6" x14ac:dyDescent="0.3">
      <c r="A17" s="40" t="str">
        <f>+DATA!A27</f>
        <v>NOV</v>
      </c>
      <c r="B17" s="198">
        <f>+DATA!D83</f>
        <v>0</v>
      </c>
      <c r="C17" s="198">
        <f>+DATA!E83</f>
        <v>175</v>
      </c>
      <c r="D17" s="198">
        <f>+DATA!F83</f>
        <v>175</v>
      </c>
      <c r="E17" s="198">
        <f>+DATA!G83</f>
        <v>0</v>
      </c>
      <c r="F17" s="198">
        <f t="shared" si="2"/>
        <v>350</v>
      </c>
      <c r="G17" s="33">
        <v>43454</v>
      </c>
      <c r="H17" s="93">
        <v>43452</v>
      </c>
      <c r="I17" s="34">
        <f t="shared" si="1"/>
        <v>-2</v>
      </c>
      <c r="J17" s="35">
        <f t="shared" si="3"/>
        <v>0</v>
      </c>
      <c r="L17" s="35">
        <f t="shared" si="5"/>
        <v>0</v>
      </c>
      <c r="M17" s="35"/>
      <c r="N17" s="35"/>
    </row>
    <row r="18" spans="1:15" s="30" customFormat="1" ht="15.6" x14ac:dyDescent="0.3">
      <c r="A18" s="40" t="str">
        <f>+DATA!A28</f>
        <v>DEC</v>
      </c>
      <c r="B18" s="198">
        <f>+DATA!D84</f>
        <v>37068</v>
      </c>
      <c r="C18" s="198">
        <f>+DATA!E84</f>
        <v>28345</v>
      </c>
      <c r="D18" s="198">
        <f>+DATA!F84</f>
        <v>28345</v>
      </c>
      <c r="E18" s="198">
        <f>+DATA!G84</f>
        <v>0</v>
      </c>
      <c r="F18" s="198">
        <f t="shared" si="2"/>
        <v>93758</v>
      </c>
      <c r="G18" s="33">
        <v>43485</v>
      </c>
      <c r="H18" s="93">
        <v>43483</v>
      </c>
      <c r="I18" s="34">
        <f t="shared" si="1"/>
        <v>-2</v>
      </c>
      <c r="J18" s="35">
        <f t="shared" si="3"/>
        <v>0</v>
      </c>
      <c r="L18" s="35">
        <f t="shared" si="5"/>
        <v>0</v>
      </c>
      <c r="M18" s="35"/>
      <c r="N18" s="35"/>
    </row>
    <row r="19" spans="1:15" s="30" customFormat="1" ht="15.6" x14ac:dyDescent="0.3">
      <c r="A19" s="40" t="str">
        <f>+DATA!A29</f>
        <v>JAN</v>
      </c>
      <c r="B19" s="198">
        <f>+DATA!D85</f>
        <v>47048</v>
      </c>
      <c r="C19" s="198">
        <f>+DATA!E85</f>
        <v>14714</v>
      </c>
      <c r="D19" s="198">
        <f>+DATA!F85</f>
        <v>14714</v>
      </c>
      <c r="E19" s="198">
        <f>+DATA!G85</f>
        <v>0</v>
      </c>
      <c r="F19" s="198">
        <f t="shared" si="2"/>
        <v>76476</v>
      </c>
      <c r="G19" s="33">
        <v>43516</v>
      </c>
      <c r="H19" s="93">
        <v>43515</v>
      </c>
      <c r="I19" s="34">
        <f t="shared" si="1"/>
        <v>-1</v>
      </c>
      <c r="J19" s="35">
        <f t="shared" si="3"/>
        <v>0</v>
      </c>
      <c r="L19" s="35">
        <f t="shared" si="5"/>
        <v>0</v>
      </c>
      <c r="M19" s="35"/>
      <c r="N19" s="35"/>
    </row>
    <row r="20" spans="1:15" s="30" customFormat="1" ht="15.6" x14ac:dyDescent="0.3">
      <c r="A20" s="40" t="str">
        <f>+DATA!A30</f>
        <v>FEB</v>
      </c>
      <c r="B20" s="198">
        <f>+DATA!D86</f>
        <v>42713</v>
      </c>
      <c r="C20" s="198">
        <f>+DATA!E86</f>
        <v>58131</v>
      </c>
      <c r="D20" s="198">
        <f>+DATA!F86</f>
        <v>58131</v>
      </c>
      <c r="E20" s="198">
        <f>+DATA!G86</f>
        <v>0</v>
      </c>
      <c r="F20" s="198">
        <f t="shared" si="2"/>
        <v>158975</v>
      </c>
      <c r="G20" s="33">
        <v>43544</v>
      </c>
      <c r="H20" s="93">
        <v>43543</v>
      </c>
      <c r="I20" s="34">
        <f t="shared" si="1"/>
        <v>-1</v>
      </c>
      <c r="J20" s="35">
        <f t="shared" si="3"/>
        <v>0</v>
      </c>
      <c r="L20" s="35">
        <f t="shared" si="5"/>
        <v>0</v>
      </c>
      <c r="M20" s="35"/>
      <c r="N20" s="35"/>
    </row>
    <row r="21" spans="1:15" s="30" customFormat="1" ht="15.6" x14ac:dyDescent="0.3">
      <c r="A21" s="40" t="str">
        <f>+DATA!A31</f>
        <v>MARCH</v>
      </c>
      <c r="B21" s="198">
        <f>+DATA!D87</f>
        <v>0</v>
      </c>
      <c r="C21" s="198">
        <f>+DATA!E87</f>
        <v>161</v>
      </c>
      <c r="D21" s="198">
        <f>+DATA!F87</f>
        <v>161</v>
      </c>
      <c r="E21" s="198">
        <f>+DATA!G87</f>
        <v>0</v>
      </c>
      <c r="F21" s="198">
        <f t="shared" si="2"/>
        <v>322</v>
      </c>
      <c r="G21" s="33">
        <v>43575</v>
      </c>
      <c r="H21" s="93">
        <v>43573</v>
      </c>
      <c r="I21" s="34">
        <f t="shared" si="1"/>
        <v>-2</v>
      </c>
      <c r="J21" s="35">
        <f t="shared" si="3"/>
        <v>0</v>
      </c>
      <c r="L21" s="35">
        <f t="shared" si="5"/>
        <v>0</v>
      </c>
      <c r="M21" s="35"/>
      <c r="N21" s="35"/>
    </row>
    <row r="22" spans="1:15" s="30" customFormat="1" ht="15.6" x14ac:dyDescent="0.3">
      <c r="A22" s="73" t="s">
        <v>2</v>
      </c>
      <c r="B22" s="74">
        <f>SUM(B10:B21)</f>
        <v>126829</v>
      </c>
      <c r="C22" s="74">
        <f>SUM(C10:C21)</f>
        <v>108960</v>
      </c>
      <c r="D22" s="74">
        <f>SUM(D10:D21)</f>
        <v>1016153</v>
      </c>
      <c r="E22" s="74"/>
      <c r="F22" s="74">
        <f>SUM(F10:F21)</f>
        <v>1251942</v>
      </c>
      <c r="G22" s="73"/>
      <c r="H22" s="73"/>
      <c r="I22" s="73"/>
      <c r="J22" s="74">
        <f>SUM(J13:J21)</f>
        <v>3611.2497534246581</v>
      </c>
      <c r="K22" s="75"/>
      <c r="L22" s="76">
        <f>SUM(L13:L21)</f>
        <v>0</v>
      </c>
      <c r="M22" s="76"/>
      <c r="N22" s="76"/>
    </row>
    <row r="23" spans="1:15" s="30" customFormat="1" ht="15.6" x14ac:dyDescent="0.3">
      <c r="H23" s="32" t="s">
        <v>72</v>
      </c>
      <c r="I23" s="32"/>
      <c r="J23" s="77">
        <v>0</v>
      </c>
      <c r="L23" s="35">
        <v>0</v>
      </c>
      <c r="M23" s="35"/>
      <c r="N23" s="35"/>
    </row>
    <row r="24" spans="1:15" s="30" customFormat="1" ht="15.6" x14ac:dyDescent="0.3">
      <c r="H24" s="78" t="s">
        <v>73</v>
      </c>
      <c r="I24" s="78"/>
      <c r="J24" s="79">
        <f>+J22-J23</f>
        <v>3611.2497534246581</v>
      </c>
      <c r="K24" s="72"/>
      <c r="L24" s="79">
        <f>+L22-L23</f>
        <v>0</v>
      </c>
      <c r="M24" s="79">
        <f>+(J24-L24)/2</f>
        <v>1805.6248767123291</v>
      </c>
      <c r="N24" s="79">
        <f>+M24</f>
        <v>1805.6248767123291</v>
      </c>
      <c r="O24" s="30">
        <f>+J24-L24-M24-N24</f>
        <v>0</v>
      </c>
    </row>
    <row r="25" spans="1:15" x14ac:dyDescent="0.25">
      <c r="B25" s="36"/>
    </row>
    <row r="26" spans="1:15" x14ac:dyDescent="0.25">
      <c r="A26" t="s">
        <v>144</v>
      </c>
    </row>
    <row r="27" spans="1:15" x14ac:dyDescent="0.25">
      <c r="A27" t="s">
        <v>145</v>
      </c>
    </row>
  </sheetData>
  <mergeCells count="7">
    <mergeCell ref="A5:N5"/>
    <mergeCell ref="B8:F8"/>
    <mergeCell ref="L8:N8"/>
    <mergeCell ref="A1:N1"/>
    <mergeCell ref="A2:N2"/>
    <mergeCell ref="A3:N3"/>
    <mergeCell ref="A4:N4"/>
  </mergeCells>
  <pageMargins left="0.23" right="0.16" top="0.22" bottom="0.25" header="0.26" footer="0.31496062992125984"/>
  <pageSetup paperSize="9" scale="9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B130"/>
  <sheetViews>
    <sheetView topLeftCell="H16" zoomScale="125" zoomScaleNormal="125" zoomScaleSheetLayoutView="100" workbookViewId="0">
      <selection activeCell="N29" sqref="N29:P29"/>
    </sheetView>
  </sheetViews>
  <sheetFormatPr defaultColWidth="8.88671875" defaultRowHeight="13.2" x14ac:dyDescent="0.25"/>
  <cols>
    <col min="1" max="1" width="10.44140625" style="1" customWidth="1"/>
    <col min="2" max="2" width="16.33203125" style="1" customWidth="1"/>
    <col min="3" max="3" width="8.5546875" style="1" customWidth="1"/>
    <col min="4" max="4" width="14.5546875" style="1" customWidth="1"/>
    <col min="5" max="5" width="13.77734375" style="1" customWidth="1"/>
    <col min="6" max="6" width="13.109375" style="1" customWidth="1"/>
    <col min="7" max="7" width="14.33203125" style="1" customWidth="1"/>
    <col min="8" max="8" width="7.44140625" style="1" customWidth="1"/>
    <col min="9" max="9" width="14.6640625" style="1" bestFit="1" customWidth="1"/>
    <col min="10" max="10" width="2" style="1" customWidth="1"/>
    <col min="11" max="11" width="13.88671875" style="1" customWidth="1"/>
    <col min="12" max="12" width="9.33203125" style="1" customWidth="1"/>
    <col min="13" max="13" width="14.33203125" style="1" customWidth="1"/>
    <col min="14" max="14" width="13" style="1" bestFit="1" customWidth="1"/>
    <col min="15" max="15" width="13.33203125" style="1" customWidth="1"/>
    <col min="16" max="16" width="13" style="1" bestFit="1" customWidth="1"/>
    <col min="17" max="17" width="5.6640625" style="1" bestFit="1" customWidth="1"/>
    <col min="18" max="18" width="14.77734375" style="1" customWidth="1"/>
    <col min="19" max="19" width="2.109375" style="1" customWidth="1"/>
    <col min="20" max="20" width="12.44140625" style="1" customWidth="1"/>
    <col min="21" max="21" width="9.44140625" style="1" bestFit="1" customWidth="1"/>
    <col min="22" max="22" width="14.6640625" style="1" bestFit="1" customWidth="1"/>
    <col min="23" max="23" width="12" style="1" bestFit="1" customWidth="1"/>
    <col min="24" max="25" width="13" style="1" bestFit="1" customWidth="1"/>
    <col min="26" max="26" width="9.33203125" style="1" bestFit="1" customWidth="1"/>
    <col min="27" max="27" width="13" style="1" bestFit="1" customWidth="1"/>
    <col min="28" max="16384" width="8.88671875" style="1"/>
  </cols>
  <sheetData>
    <row r="1" spans="1:27" ht="20.399999999999999" x14ac:dyDescent="0.35">
      <c r="A1" s="296" t="str">
        <f>+DATA!A1</f>
        <v>ABC LTD.</v>
      </c>
      <c r="B1" s="296"/>
      <c r="C1" s="296"/>
      <c r="D1" s="296"/>
      <c r="E1" s="296"/>
      <c r="F1" s="296"/>
      <c r="G1" s="296"/>
      <c r="H1" s="296"/>
      <c r="I1" s="296"/>
      <c r="J1" s="296"/>
      <c r="K1" s="296"/>
      <c r="L1" s="296"/>
      <c r="M1" s="296"/>
      <c r="N1" s="296"/>
      <c r="O1" s="296"/>
      <c r="P1" s="296"/>
      <c r="Q1" s="296"/>
      <c r="R1" s="296"/>
      <c r="S1" s="296"/>
      <c r="T1" s="296"/>
      <c r="U1" s="296"/>
      <c r="V1" s="296"/>
      <c r="W1" s="296"/>
      <c r="X1" s="296"/>
      <c r="Y1" s="296"/>
      <c r="Z1" s="296"/>
      <c r="AA1" s="296"/>
    </row>
    <row r="2" spans="1:27" ht="20.399999999999999" x14ac:dyDescent="0.35">
      <c r="A2" s="296" t="str">
        <f>+DATA!A2</f>
        <v>ADDRESS OR PROPRIETOR NAME</v>
      </c>
      <c r="B2" s="296"/>
      <c r="C2" s="296"/>
      <c r="D2" s="296"/>
      <c r="E2" s="296"/>
      <c r="F2" s="296"/>
      <c r="G2" s="296"/>
      <c r="H2" s="296"/>
      <c r="I2" s="296"/>
      <c r="J2" s="296"/>
      <c r="K2" s="296"/>
      <c r="L2" s="296"/>
      <c r="M2" s="296"/>
      <c r="N2" s="296"/>
      <c r="O2" s="296"/>
      <c r="P2" s="296"/>
      <c r="Q2" s="296"/>
      <c r="R2" s="296"/>
      <c r="S2" s="296"/>
      <c r="T2" s="296"/>
      <c r="U2" s="296"/>
      <c r="V2" s="296"/>
      <c r="W2" s="296"/>
      <c r="X2" s="296"/>
      <c r="Y2" s="296"/>
      <c r="Z2" s="296"/>
      <c r="AA2" s="296"/>
    </row>
    <row r="3" spans="1:27" ht="16.5" customHeight="1" x14ac:dyDescent="0.35">
      <c r="A3" s="297" t="str">
        <f>+DATA!A3</f>
        <v>FINANCIAL YEAR 2018-2019</v>
      </c>
      <c r="B3" s="297"/>
      <c r="C3" s="297"/>
      <c r="D3" s="297"/>
      <c r="E3" s="297"/>
      <c r="F3" s="297"/>
      <c r="G3" s="297"/>
      <c r="H3" s="297"/>
      <c r="I3" s="297"/>
      <c r="J3" s="297"/>
      <c r="K3" s="297"/>
      <c r="L3" s="297"/>
      <c r="M3" s="297"/>
      <c r="N3" s="297"/>
      <c r="O3" s="297"/>
      <c r="P3" s="297"/>
      <c r="Q3" s="297"/>
      <c r="R3" s="297"/>
      <c r="S3" s="297"/>
      <c r="T3" s="297"/>
      <c r="U3" s="297"/>
      <c r="V3" s="297"/>
      <c r="W3" s="297"/>
      <c r="X3" s="297"/>
      <c r="Y3" s="297"/>
      <c r="Z3" s="297"/>
      <c r="AA3" s="297"/>
    </row>
    <row r="4" spans="1:27" ht="20.399999999999999" x14ac:dyDescent="0.35">
      <c r="A4" s="297" t="str">
        <f>+DATA!A4</f>
        <v>GST NO.</v>
      </c>
      <c r="B4" s="297"/>
      <c r="C4" s="297"/>
      <c r="D4" s="297"/>
      <c r="E4" s="297"/>
      <c r="F4" s="297"/>
      <c r="G4" s="297"/>
      <c r="H4" s="297"/>
      <c r="I4" s="297"/>
      <c r="J4" s="297"/>
      <c r="K4" s="297"/>
      <c r="L4" s="297"/>
      <c r="M4" s="297"/>
      <c r="N4" s="297"/>
      <c r="O4" s="297"/>
      <c r="P4" s="297"/>
      <c r="Q4" s="297"/>
      <c r="R4" s="297"/>
      <c r="S4" s="297"/>
      <c r="T4" s="297"/>
      <c r="U4" s="297"/>
      <c r="V4" s="297"/>
      <c r="W4" s="297"/>
      <c r="X4" s="297"/>
      <c r="Y4" s="297"/>
      <c r="Z4" s="297"/>
      <c r="AA4" s="297"/>
    </row>
    <row r="5" spans="1:27" ht="15" customHeight="1" x14ac:dyDescent="0.25">
      <c r="A5" s="2"/>
      <c r="F5" s="2"/>
    </row>
    <row r="6" spans="1:27" x14ac:dyDescent="0.25">
      <c r="A6" s="295" t="s">
        <v>12</v>
      </c>
      <c r="B6" s="295"/>
      <c r="C6" s="295"/>
      <c r="D6" s="295"/>
      <c r="E6" s="295"/>
      <c r="F6" s="295"/>
      <c r="G6" s="295"/>
      <c r="H6" s="295"/>
      <c r="I6" s="295"/>
    </row>
    <row r="7" spans="1:27" x14ac:dyDescent="0.25">
      <c r="F7" s="2"/>
      <c r="I7" s="3" t="s">
        <v>5</v>
      </c>
    </row>
    <row r="8" spans="1:27" ht="20.399999999999999" x14ac:dyDescent="0.35">
      <c r="A8" s="1" t="s">
        <v>14</v>
      </c>
      <c r="I8" s="162">
        <f>+DATA!I8</f>
        <v>113064</v>
      </c>
      <c r="K8" s="1" t="s">
        <v>15</v>
      </c>
      <c r="R8" s="293" t="s">
        <v>6</v>
      </c>
      <c r="S8" s="294"/>
      <c r="T8" s="108" t="s">
        <v>9</v>
      </c>
    </row>
    <row r="9" spans="1:27" ht="20.399999999999999" x14ac:dyDescent="0.35">
      <c r="A9" s="1" t="s">
        <v>16</v>
      </c>
      <c r="I9" s="162">
        <f>+DATA!I11</f>
        <v>0</v>
      </c>
      <c r="K9" s="1" t="s">
        <v>17</v>
      </c>
      <c r="R9" s="293" t="s">
        <v>10</v>
      </c>
      <c r="S9" s="294"/>
      <c r="T9" s="108" t="s">
        <v>11</v>
      </c>
    </row>
    <row r="10" spans="1:27" x14ac:dyDescent="0.25">
      <c r="A10" s="1" t="s">
        <v>18</v>
      </c>
      <c r="I10" s="162">
        <f>+DATA!I14</f>
        <v>113064</v>
      </c>
      <c r="R10" s="293" t="s">
        <v>13</v>
      </c>
      <c r="S10" s="303"/>
      <c r="T10" s="294"/>
    </row>
    <row r="11" spans="1:27" x14ac:dyDescent="0.25">
      <c r="G11" s="4" t="s">
        <v>19</v>
      </c>
      <c r="H11" s="4"/>
      <c r="I11" s="163">
        <f>+I8-I9-I10</f>
        <v>0</v>
      </c>
    </row>
    <row r="13" spans="1:27" x14ac:dyDescent="0.25">
      <c r="A13" s="304" t="str">
        <f>+DATA!A17</f>
        <v>OUTPUT TAX LIABILITY</v>
      </c>
      <c r="B13" s="304"/>
      <c r="C13" s="304"/>
      <c r="D13" s="304"/>
      <c r="E13" s="304"/>
      <c r="F13" s="304"/>
      <c r="G13" s="304"/>
      <c r="H13" s="304"/>
      <c r="I13" s="304"/>
    </row>
    <row r="14" spans="1:27" x14ac:dyDescent="0.25">
      <c r="A14" s="5"/>
      <c r="B14" s="305" t="str">
        <f>+DATA!B18</f>
        <v>AS PER GSTR 3B</v>
      </c>
      <c r="C14" s="306"/>
      <c r="D14" s="306"/>
      <c r="E14" s="306"/>
      <c r="F14" s="306"/>
      <c r="G14" s="306"/>
      <c r="H14" s="306"/>
      <c r="I14" s="307"/>
      <c r="J14" s="6"/>
      <c r="K14" s="305" t="str">
        <f>+DATA!I18</f>
        <v>AS PER  BOOKS</v>
      </c>
      <c r="L14" s="306"/>
      <c r="M14" s="306"/>
      <c r="N14" s="306"/>
      <c r="O14" s="306"/>
      <c r="P14" s="306"/>
      <c r="Q14" s="306"/>
      <c r="R14" s="306"/>
      <c r="S14" s="7"/>
      <c r="T14" s="299" t="s">
        <v>97</v>
      </c>
      <c r="U14" s="300"/>
      <c r="V14" s="300"/>
      <c r="W14" s="300"/>
      <c r="X14" s="300"/>
      <c r="Y14" s="300"/>
      <c r="Z14" s="300"/>
      <c r="AA14" s="300"/>
    </row>
    <row r="15" spans="1:27" ht="29.25" customHeight="1" x14ac:dyDescent="0.25">
      <c r="A15" s="8" t="str">
        <f>+DATA!A19</f>
        <v>MONTH</v>
      </c>
      <c r="B15" s="8" t="str">
        <f>+DATA!B19</f>
        <v>TAXABLE SALES</v>
      </c>
      <c r="C15" s="8" t="str">
        <f>+DATA!C19</f>
        <v>TAX FREE</v>
      </c>
      <c r="D15" s="8" t="s">
        <v>24</v>
      </c>
      <c r="E15" s="9" t="str">
        <f>+DATA!D19</f>
        <v>IGST</v>
      </c>
      <c r="F15" s="9" t="str">
        <f>+DATA!E19</f>
        <v>CGST</v>
      </c>
      <c r="G15" s="9" t="str">
        <f>+DATA!F19</f>
        <v>SGST</v>
      </c>
      <c r="H15" s="9" t="str">
        <f>+DATA!G19</f>
        <v>CESS</v>
      </c>
      <c r="I15" s="9" t="s">
        <v>28</v>
      </c>
      <c r="J15" s="10"/>
      <c r="K15" s="8" t="str">
        <f>+DATA!I19</f>
        <v>TAXABLE SALES</v>
      </c>
      <c r="L15" s="8" t="str">
        <f>+DATA!J19</f>
        <v>TAX FREE</v>
      </c>
      <c r="M15" s="8" t="s">
        <v>24</v>
      </c>
      <c r="N15" s="9" t="str">
        <f>+DATA!K19</f>
        <v>IGST</v>
      </c>
      <c r="O15" s="9" t="str">
        <f>+DATA!L19</f>
        <v>CGST</v>
      </c>
      <c r="P15" s="9" t="str">
        <f>+DATA!M19</f>
        <v>SGST</v>
      </c>
      <c r="Q15" s="9" t="str">
        <f>+DATA!N19</f>
        <v>CESS</v>
      </c>
      <c r="R15" s="9" t="s">
        <v>68</v>
      </c>
      <c r="S15" s="11"/>
      <c r="T15" s="8" t="str">
        <f>+K15</f>
        <v>TAXABLE SALES</v>
      </c>
      <c r="U15" s="8" t="str">
        <f t="shared" ref="U15:AA15" si="0">+L15</f>
        <v>TAX FREE</v>
      </c>
      <c r="V15" s="8" t="str">
        <f t="shared" si="0"/>
        <v>GROSS SALES</v>
      </c>
      <c r="W15" s="8" t="str">
        <f t="shared" si="0"/>
        <v>IGST</v>
      </c>
      <c r="X15" s="8" t="str">
        <f t="shared" si="0"/>
        <v>CGST</v>
      </c>
      <c r="Y15" s="8" t="str">
        <f t="shared" si="0"/>
        <v>SGST</v>
      </c>
      <c r="Z15" s="8" t="str">
        <f t="shared" si="0"/>
        <v>CESS</v>
      </c>
      <c r="AA15" s="8" t="str">
        <f t="shared" si="0"/>
        <v>TOTAL TAX</v>
      </c>
    </row>
    <row r="16" spans="1:27" x14ac:dyDescent="0.25">
      <c r="A16" s="40" t="str">
        <f>+DATA!A20</f>
        <v>APRIL</v>
      </c>
      <c r="B16" s="165">
        <f>+DATA!B20</f>
        <v>1886779.16</v>
      </c>
      <c r="C16" s="165">
        <f>+DATA!C20</f>
        <v>0</v>
      </c>
      <c r="D16" s="165">
        <f>+C16+B16</f>
        <v>1886779.16</v>
      </c>
      <c r="E16" s="165">
        <f>+DATA!D20</f>
        <v>21963</v>
      </c>
      <c r="F16" s="165">
        <f>+DATA!E20</f>
        <v>156812</v>
      </c>
      <c r="G16" s="165">
        <f>+DATA!F20</f>
        <v>156812</v>
      </c>
      <c r="H16" s="165">
        <f>+DATA!G20</f>
        <v>0</v>
      </c>
      <c r="I16" s="165">
        <f>SUM(E16:H16)</f>
        <v>335587</v>
      </c>
      <c r="J16" s="12"/>
      <c r="K16" s="164">
        <f>+DATA!I20</f>
        <v>1886779.16</v>
      </c>
      <c r="L16" s="164">
        <f>+DATA!J20</f>
        <v>0</v>
      </c>
      <c r="M16" s="164">
        <f>+L16+K16</f>
        <v>1886779.16</v>
      </c>
      <c r="N16" s="164">
        <f>+DATA!K20</f>
        <v>21963</v>
      </c>
      <c r="O16" s="164">
        <f>+DATA!L20</f>
        <v>156812</v>
      </c>
      <c r="P16" s="164">
        <f>+DATA!M20</f>
        <v>156812</v>
      </c>
      <c r="Q16" s="164">
        <f>+DATA!N20</f>
        <v>0</v>
      </c>
      <c r="R16" s="164">
        <f>SUM(N16:Q16)</f>
        <v>335587</v>
      </c>
      <c r="T16" s="167">
        <f t="shared" ref="T16:T27" si="1">+B16-K16</f>
        <v>0</v>
      </c>
      <c r="U16" s="167">
        <f t="shared" ref="U16:V27" si="2">+C16-L16</f>
        <v>0</v>
      </c>
      <c r="V16" s="167">
        <f t="shared" si="2"/>
        <v>0</v>
      </c>
      <c r="W16" s="167">
        <f t="shared" ref="W16:W27" si="3">+E16-N16</f>
        <v>0</v>
      </c>
      <c r="X16" s="167">
        <f t="shared" ref="X16:X27" si="4">+F16-O16</f>
        <v>0</v>
      </c>
      <c r="Y16" s="167">
        <f t="shared" ref="Y16:Y27" si="5">+G16-P16</f>
        <v>0</v>
      </c>
      <c r="Z16" s="167">
        <f t="shared" ref="Z16:Z27" si="6">+H16-Q16</f>
        <v>0</v>
      </c>
      <c r="AA16" s="168">
        <f>SUM(W16:Z16)</f>
        <v>0</v>
      </c>
    </row>
    <row r="17" spans="1:27" x14ac:dyDescent="0.25">
      <c r="A17" s="40" t="str">
        <f>+DATA!A21</f>
        <v>MAY</v>
      </c>
      <c r="B17" s="165">
        <f>+DATA!B21</f>
        <v>15890781.359999999</v>
      </c>
      <c r="C17" s="165">
        <f>+DATA!C21</f>
        <v>0</v>
      </c>
      <c r="D17" s="165">
        <f t="shared" ref="D17:D28" si="7">+C17+B17</f>
        <v>15890781.359999999</v>
      </c>
      <c r="E17" s="165">
        <f>+DATA!D21</f>
        <v>0</v>
      </c>
      <c r="F17" s="165">
        <f>+DATA!E21</f>
        <v>1297049</v>
      </c>
      <c r="G17" s="165">
        <f>+DATA!F21</f>
        <v>1297049</v>
      </c>
      <c r="H17" s="165">
        <f>+DATA!G21</f>
        <v>0</v>
      </c>
      <c r="I17" s="165">
        <f t="shared" ref="I17:I28" si="8">SUM(E17:H17)</f>
        <v>2594098</v>
      </c>
      <c r="J17" s="12"/>
      <c r="K17" s="164">
        <f>+DATA!I21</f>
        <v>15890781.359999999</v>
      </c>
      <c r="L17" s="164">
        <f>+DATA!J21</f>
        <v>0</v>
      </c>
      <c r="M17" s="164">
        <f t="shared" ref="M17:M27" si="9">+L17+K17</f>
        <v>15890781.359999999</v>
      </c>
      <c r="N17" s="164">
        <f>+DATA!K21</f>
        <v>0</v>
      </c>
      <c r="O17" s="164">
        <f>+DATA!L21</f>
        <v>1297049</v>
      </c>
      <c r="P17" s="164">
        <f>+DATA!M21</f>
        <v>1297049</v>
      </c>
      <c r="Q17" s="164">
        <f>+DATA!N21</f>
        <v>0</v>
      </c>
      <c r="R17" s="164">
        <f t="shared" ref="R17:R27" si="10">SUM(N17:Q17)</f>
        <v>2594098</v>
      </c>
      <c r="T17" s="167">
        <f t="shared" si="1"/>
        <v>0</v>
      </c>
      <c r="U17" s="167">
        <f t="shared" si="2"/>
        <v>0</v>
      </c>
      <c r="V17" s="167">
        <f t="shared" si="2"/>
        <v>0</v>
      </c>
      <c r="W17" s="167">
        <f t="shared" si="3"/>
        <v>0</v>
      </c>
      <c r="X17" s="167">
        <f t="shared" si="4"/>
        <v>0</v>
      </c>
      <c r="Y17" s="167">
        <f t="shared" si="5"/>
        <v>0</v>
      </c>
      <c r="Z17" s="167">
        <f t="shared" si="6"/>
        <v>0</v>
      </c>
      <c r="AA17" s="168">
        <f t="shared" ref="AA17:AA27" si="11">SUM(W17:Z17)</f>
        <v>0</v>
      </c>
    </row>
    <row r="18" spans="1:27" x14ac:dyDescent="0.25">
      <c r="A18" s="40" t="str">
        <f>+DATA!A22</f>
        <v>JUNE</v>
      </c>
      <c r="B18" s="165">
        <f>+DATA!B22</f>
        <v>23884526.879999999</v>
      </c>
      <c r="C18" s="165">
        <f>+DATA!C22</f>
        <v>0</v>
      </c>
      <c r="D18" s="165">
        <f t="shared" si="7"/>
        <v>23884526.879999999</v>
      </c>
      <c r="E18" s="165">
        <f>+DATA!D22</f>
        <v>0</v>
      </c>
      <c r="F18" s="165">
        <f>+DATA!E22</f>
        <v>2003808</v>
      </c>
      <c r="G18" s="165">
        <f>+DATA!F22</f>
        <v>2003808</v>
      </c>
      <c r="H18" s="165">
        <f>+DATA!G22</f>
        <v>0</v>
      </c>
      <c r="I18" s="165">
        <f t="shared" si="8"/>
        <v>4007616</v>
      </c>
      <c r="J18" s="12"/>
      <c r="K18" s="164">
        <f>+DATA!I22</f>
        <v>23884526.879999999</v>
      </c>
      <c r="L18" s="164">
        <f>+DATA!J22</f>
        <v>0</v>
      </c>
      <c r="M18" s="164">
        <f t="shared" si="9"/>
        <v>23884526.879999999</v>
      </c>
      <c r="N18" s="164">
        <f>+DATA!K22</f>
        <v>0</v>
      </c>
      <c r="O18" s="164">
        <f>+DATA!L22</f>
        <v>2003808</v>
      </c>
      <c r="P18" s="164">
        <f>+DATA!M22</f>
        <v>2003808</v>
      </c>
      <c r="Q18" s="164">
        <f>+DATA!N22</f>
        <v>0</v>
      </c>
      <c r="R18" s="164">
        <f t="shared" si="10"/>
        <v>4007616</v>
      </c>
      <c r="T18" s="167">
        <f t="shared" si="1"/>
        <v>0</v>
      </c>
      <c r="U18" s="167">
        <f t="shared" si="2"/>
        <v>0</v>
      </c>
      <c r="V18" s="167">
        <f t="shared" si="2"/>
        <v>0</v>
      </c>
      <c r="W18" s="167">
        <f t="shared" si="3"/>
        <v>0</v>
      </c>
      <c r="X18" s="167">
        <f t="shared" si="4"/>
        <v>0</v>
      </c>
      <c r="Y18" s="167">
        <f t="shared" si="5"/>
        <v>0</v>
      </c>
      <c r="Z18" s="167">
        <f t="shared" si="6"/>
        <v>0</v>
      </c>
      <c r="AA18" s="168">
        <f t="shared" si="11"/>
        <v>0</v>
      </c>
    </row>
    <row r="19" spans="1:27" x14ac:dyDescent="0.25">
      <c r="A19" s="40" t="str">
        <f>+DATA!A23</f>
        <v>JULY</v>
      </c>
      <c r="B19" s="165">
        <f>+DATA!B23</f>
        <v>6270534.7999999998</v>
      </c>
      <c r="C19" s="165">
        <f>+DATA!C23</f>
        <v>0</v>
      </c>
      <c r="D19" s="165">
        <f t="shared" si="7"/>
        <v>6270534.7999999998</v>
      </c>
      <c r="E19" s="165">
        <f>+DATA!D23</f>
        <v>14433</v>
      </c>
      <c r="F19" s="165">
        <f>+DATA!E23</f>
        <v>541408.4</v>
      </c>
      <c r="G19" s="165">
        <f>+DATA!F23</f>
        <v>541408.4</v>
      </c>
      <c r="H19" s="165">
        <f>+DATA!G23</f>
        <v>0</v>
      </c>
      <c r="I19" s="165">
        <f t="shared" si="8"/>
        <v>1097249.8</v>
      </c>
      <c r="J19" s="12"/>
      <c r="K19" s="164">
        <f>+DATA!I23</f>
        <v>6250969.0800000001</v>
      </c>
      <c r="L19" s="164">
        <f>+DATA!J23</f>
        <v>0</v>
      </c>
      <c r="M19" s="164">
        <f t="shared" si="9"/>
        <v>6250969.0800000001</v>
      </c>
      <c r="N19" s="164">
        <f>+DATA!K23</f>
        <v>14433</v>
      </c>
      <c r="O19" s="164">
        <f>+DATA!L23</f>
        <v>539647.55000000005</v>
      </c>
      <c r="P19" s="164">
        <f>+DATA!M23</f>
        <v>539647.55000000005</v>
      </c>
      <c r="Q19" s="164">
        <f>+DATA!N23</f>
        <v>0</v>
      </c>
      <c r="R19" s="164">
        <f t="shared" si="10"/>
        <v>1093728.1000000001</v>
      </c>
      <c r="T19" s="167">
        <f t="shared" si="1"/>
        <v>19565.719999999739</v>
      </c>
      <c r="U19" s="167">
        <f t="shared" si="2"/>
        <v>0</v>
      </c>
      <c r="V19" s="167">
        <f t="shared" si="2"/>
        <v>19565.719999999739</v>
      </c>
      <c r="W19" s="167">
        <f t="shared" si="3"/>
        <v>0</v>
      </c>
      <c r="X19" s="167">
        <f t="shared" si="4"/>
        <v>1760.8499999999767</v>
      </c>
      <c r="Y19" s="167">
        <f t="shared" si="5"/>
        <v>1760.8499999999767</v>
      </c>
      <c r="Z19" s="167">
        <f t="shared" si="6"/>
        <v>0</v>
      </c>
      <c r="AA19" s="168">
        <f t="shared" si="11"/>
        <v>3521.6999999999534</v>
      </c>
    </row>
    <row r="20" spans="1:27" x14ac:dyDescent="0.25">
      <c r="A20" s="40" t="str">
        <f>+DATA!A24</f>
        <v>AUG</v>
      </c>
      <c r="B20" s="165">
        <f>+DATA!B24</f>
        <v>2982349.96</v>
      </c>
      <c r="C20" s="165">
        <f>+DATA!C24</f>
        <v>0</v>
      </c>
      <c r="D20" s="165">
        <f t="shared" si="7"/>
        <v>2982349.96</v>
      </c>
      <c r="E20" s="165">
        <f>+DATA!D24</f>
        <v>0</v>
      </c>
      <c r="F20" s="165">
        <f>+DATA!E24</f>
        <v>243373.05</v>
      </c>
      <c r="G20" s="165">
        <f>+DATA!F24</f>
        <v>243373.05</v>
      </c>
      <c r="H20" s="165">
        <f>+DATA!G24</f>
        <v>0</v>
      </c>
      <c r="I20" s="165">
        <f t="shared" si="8"/>
        <v>486746.1</v>
      </c>
      <c r="J20" s="12"/>
      <c r="K20" s="164">
        <f>+DATA!I24</f>
        <v>1622299.67</v>
      </c>
      <c r="L20" s="164">
        <f>+DATA!J24</f>
        <v>0</v>
      </c>
      <c r="M20" s="164">
        <f t="shared" si="9"/>
        <v>1622299.67</v>
      </c>
      <c r="N20" s="164">
        <f>+DATA!K24</f>
        <v>0</v>
      </c>
      <c r="O20" s="164">
        <f>+DATA!L24</f>
        <v>127649.73324999999</v>
      </c>
      <c r="P20" s="164">
        <f>+DATA!M24</f>
        <v>127649.73324999999</v>
      </c>
      <c r="Q20" s="164">
        <f>+DATA!N24</f>
        <v>0</v>
      </c>
      <c r="R20" s="164">
        <f t="shared" si="10"/>
        <v>255299.46649999998</v>
      </c>
      <c r="T20" s="167">
        <f t="shared" si="1"/>
        <v>1360050.29</v>
      </c>
      <c r="U20" s="167">
        <f t="shared" si="2"/>
        <v>0</v>
      </c>
      <c r="V20" s="167">
        <f t="shared" si="2"/>
        <v>1360050.29</v>
      </c>
      <c r="W20" s="167">
        <f t="shared" si="3"/>
        <v>0</v>
      </c>
      <c r="X20" s="167">
        <f t="shared" si="4"/>
        <v>115723.31675</v>
      </c>
      <c r="Y20" s="167">
        <f t="shared" si="5"/>
        <v>115723.31675</v>
      </c>
      <c r="Z20" s="167">
        <f t="shared" si="6"/>
        <v>0</v>
      </c>
      <c r="AA20" s="168">
        <f t="shared" si="11"/>
        <v>231446.6335</v>
      </c>
    </row>
    <row r="21" spans="1:27" x14ac:dyDescent="0.25">
      <c r="A21" s="40" t="str">
        <f>+DATA!A25</f>
        <v>SEP</v>
      </c>
      <c r="B21" s="165">
        <f>+DATA!B25</f>
        <v>8056565.2199999997</v>
      </c>
      <c r="C21" s="165">
        <f>+DATA!C25</f>
        <v>0</v>
      </c>
      <c r="D21" s="165">
        <f t="shared" si="7"/>
        <v>8056565.2199999997</v>
      </c>
      <c r="E21" s="165">
        <f>+DATA!D25</f>
        <v>269210</v>
      </c>
      <c r="F21" s="165">
        <f>+DATA!E25</f>
        <v>576480.5</v>
      </c>
      <c r="G21" s="165">
        <f>+DATA!F25</f>
        <v>576480.5</v>
      </c>
      <c r="H21" s="165">
        <f>+DATA!G25</f>
        <v>0</v>
      </c>
      <c r="I21" s="165">
        <f t="shared" si="8"/>
        <v>1422171</v>
      </c>
      <c r="J21" s="12"/>
      <c r="K21" s="164">
        <f>+DATA!I25</f>
        <v>8056565.2200000007</v>
      </c>
      <c r="L21" s="164">
        <f>+DATA!J25</f>
        <v>0</v>
      </c>
      <c r="M21" s="164">
        <f t="shared" si="9"/>
        <v>8056565.2200000007</v>
      </c>
      <c r="N21" s="164">
        <f>+DATA!K25</f>
        <v>269210</v>
      </c>
      <c r="O21" s="164">
        <f>+DATA!L25</f>
        <v>576480.5</v>
      </c>
      <c r="P21" s="164">
        <f>+DATA!M25</f>
        <v>576480.5</v>
      </c>
      <c r="Q21" s="164">
        <f>+DATA!N25</f>
        <v>0</v>
      </c>
      <c r="R21" s="164">
        <f t="shared" si="10"/>
        <v>1422171</v>
      </c>
      <c r="T21" s="167">
        <f t="shared" si="1"/>
        <v>0</v>
      </c>
      <c r="U21" s="167">
        <f t="shared" si="2"/>
        <v>0</v>
      </c>
      <c r="V21" s="167">
        <f t="shared" si="2"/>
        <v>0</v>
      </c>
      <c r="W21" s="167">
        <f t="shared" si="3"/>
        <v>0</v>
      </c>
      <c r="X21" s="167">
        <f t="shared" si="4"/>
        <v>0</v>
      </c>
      <c r="Y21" s="167">
        <f t="shared" si="5"/>
        <v>0</v>
      </c>
      <c r="Z21" s="167">
        <f t="shared" si="6"/>
        <v>0</v>
      </c>
      <c r="AA21" s="168">
        <f t="shared" si="11"/>
        <v>0</v>
      </c>
    </row>
    <row r="22" spans="1:27" x14ac:dyDescent="0.25">
      <c r="A22" s="40" t="str">
        <f>+DATA!A26</f>
        <v>OCT</v>
      </c>
      <c r="B22" s="165">
        <f>+DATA!B26</f>
        <v>346980.8</v>
      </c>
      <c r="C22" s="165">
        <f>+DATA!C26</f>
        <v>0</v>
      </c>
      <c r="D22" s="165">
        <f t="shared" si="7"/>
        <v>346980.8</v>
      </c>
      <c r="E22" s="165">
        <f>+DATA!D26</f>
        <v>25745</v>
      </c>
      <c r="F22" s="165">
        <f>+DATA!E26</f>
        <v>16866</v>
      </c>
      <c r="G22" s="165">
        <f>+DATA!F26</f>
        <v>16866</v>
      </c>
      <c r="H22" s="165">
        <f>+DATA!G26</f>
        <v>0</v>
      </c>
      <c r="I22" s="165">
        <f t="shared" si="8"/>
        <v>59477</v>
      </c>
      <c r="J22" s="12"/>
      <c r="K22" s="164">
        <f>+DATA!I26</f>
        <v>346980.79999999981</v>
      </c>
      <c r="L22" s="164">
        <f>+DATA!J26</f>
        <v>0</v>
      </c>
      <c r="M22" s="164">
        <f t="shared" si="9"/>
        <v>346980.79999999981</v>
      </c>
      <c r="N22" s="164">
        <f>+DATA!K26</f>
        <v>25745</v>
      </c>
      <c r="O22" s="164">
        <f>+DATA!L26</f>
        <v>16866</v>
      </c>
      <c r="P22" s="164">
        <f>+DATA!M26</f>
        <v>16866</v>
      </c>
      <c r="Q22" s="164">
        <f>+DATA!N26</f>
        <v>0</v>
      </c>
      <c r="R22" s="164">
        <f t="shared" si="10"/>
        <v>59477</v>
      </c>
      <c r="T22" s="167">
        <f t="shared" si="1"/>
        <v>0</v>
      </c>
      <c r="U22" s="167">
        <f t="shared" si="2"/>
        <v>0</v>
      </c>
      <c r="V22" s="167">
        <f t="shared" si="2"/>
        <v>0</v>
      </c>
      <c r="W22" s="167">
        <f t="shared" si="3"/>
        <v>0</v>
      </c>
      <c r="X22" s="167">
        <f t="shared" si="4"/>
        <v>0</v>
      </c>
      <c r="Y22" s="167">
        <f t="shared" si="5"/>
        <v>0</v>
      </c>
      <c r="Z22" s="167">
        <f t="shared" si="6"/>
        <v>0</v>
      </c>
      <c r="AA22" s="168">
        <f t="shared" si="11"/>
        <v>0</v>
      </c>
    </row>
    <row r="23" spans="1:27" x14ac:dyDescent="0.25">
      <c r="A23" s="40" t="str">
        <f>+DATA!A27</f>
        <v>NOV</v>
      </c>
      <c r="B23" s="165">
        <f>+DATA!B27</f>
        <v>1354476</v>
      </c>
      <c r="C23" s="165">
        <f>+DATA!C27</f>
        <v>0</v>
      </c>
      <c r="D23" s="165">
        <f t="shared" si="7"/>
        <v>1354476</v>
      </c>
      <c r="E23" s="165">
        <f>+DATA!D27</f>
        <v>122552</v>
      </c>
      <c r="F23" s="165">
        <f>+DATA!E27</f>
        <v>58093</v>
      </c>
      <c r="G23" s="165">
        <f>+DATA!F27</f>
        <v>58093</v>
      </c>
      <c r="H23" s="165">
        <f>+DATA!G27</f>
        <v>0</v>
      </c>
      <c r="I23" s="165">
        <f t="shared" si="8"/>
        <v>238738</v>
      </c>
      <c r="J23" s="12"/>
      <c r="K23" s="164">
        <f>+DATA!I27</f>
        <v>1354476</v>
      </c>
      <c r="L23" s="164">
        <f>+DATA!J27</f>
        <v>0</v>
      </c>
      <c r="M23" s="164">
        <f t="shared" si="9"/>
        <v>1354476</v>
      </c>
      <c r="N23" s="164">
        <f>+DATA!K27</f>
        <v>122552</v>
      </c>
      <c r="O23" s="164">
        <f>+DATA!L27</f>
        <v>58093</v>
      </c>
      <c r="P23" s="164">
        <f>+DATA!M27</f>
        <v>58093</v>
      </c>
      <c r="Q23" s="164">
        <f>+DATA!N27</f>
        <v>0</v>
      </c>
      <c r="R23" s="164">
        <f t="shared" si="10"/>
        <v>238738</v>
      </c>
      <c r="T23" s="167">
        <f t="shared" si="1"/>
        <v>0</v>
      </c>
      <c r="U23" s="167">
        <f t="shared" si="2"/>
        <v>0</v>
      </c>
      <c r="V23" s="167">
        <f t="shared" si="2"/>
        <v>0</v>
      </c>
      <c r="W23" s="167">
        <f t="shared" si="3"/>
        <v>0</v>
      </c>
      <c r="X23" s="167">
        <f t="shared" si="4"/>
        <v>0</v>
      </c>
      <c r="Y23" s="167">
        <f t="shared" si="5"/>
        <v>0</v>
      </c>
      <c r="Z23" s="167">
        <f t="shared" si="6"/>
        <v>0</v>
      </c>
      <c r="AA23" s="168">
        <f t="shared" si="11"/>
        <v>0</v>
      </c>
    </row>
    <row r="24" spans="1:27" x14ac:dyDescent="0.25">
      <c r="A24" s="40" t="str">
        <f>+DATA!A28</f>
        <v>DEC</v>
      </c>
      <c r="B24" s="165">
        <f>+DATA!B28</f>
        <v>1116514</v>
      </c>
      <c r="C24" s="165">
        <f>+DATA!C28</f>
        <v>0</v>
      </c>
      <c r="D24" s="165">
        <f t="shared" si="7"/>
        <v>1116514</v>
      </c>
      <c r="E24" s="165">
        <f>+DATA!D28</f>
        <v>140413</v>
      </c>
      <c r="F24" s="165">
        <f>+DATA!E28</f>
        <v>28325</v>
      </c>
      <c r="G24" s="165">
        <f>+DATA!F28</f>
        <v>28325</v>
      </c>
      <c r="H24" s="165">
        <f>+DATA!G28</f>
        <v>0</v>
      </c>
      <c r="I24" s="165">
        <f t="shared" si="8"/>
        <v>197063</v>
      </c>
      <c r="J24" s="12"/>
      <c r="K24" s="164">
        <f>+DATA!I28</f>
        <v>1116514</v>
      </c>
      <c r="L24" s="164">
        <f>+DATA!J28</f>
        <v>0</v>
      </c>
      <c r="M24" s="164">
        <f t="shared" si="9"/>
        <v>1116514</v>
      </c>
      <c r="N24" s="164">
        <f>+DATA!K28</f>
        <v>140413</v>
      </c>
      <c r="O24" s="164">
        <f>+DATA!L28</f>
        <v>28325</v>
      </c>
      <c r="P24" s="164">
        <f>+DATA!M28</f>
        <v>28325</v>
      </c>
      <c r="Q24" s="164">
        <f>+DATA!N28</f>
        <v>0</v>
      </c>
      <c r="R24" s="164">
        <f t="shared" si="10"/>
        <v>197063</v>
      </c>
      <c r="T24" s="167">
        <f t="shared" si="1"/>
        <v>0</v>
      </c>
      <c r="U24" s="167">
        <f t="shared" si="2"/>
        <v>0</v>
      </c>
      <c r="V24" s="167">
        <f t="shared" si="2"/>
        <v>0</v>
      </c>
      <c r="W24" s="167">
        <f t="shared" si="3"/>
        <v>0</v>
      </c>
      <c r="X24" s="167">
        <f t="shared" si="4"/>
        <v>0</v>
      </c>
      <c r="Y24" s="167">
        <f t="shared" si="5"/>
        <v>0</v>
      </c>
      <c r="Z24" s="167">
        <f t="shared" si="6"/>
        <v>0</v>
      </c>
      <c r="AA24" s="168">
        <f t="shared" si="11"/>
        <v>0</v>
      </c>
    </row>
    <row r="25" spans="1:27" x14ac:dyDescent="0.25">
      <c r="A25" s="40" t="str">
        <f>+DATA!A29</f>
        <v>JAN</v>
      </c>
      <c r="B25" s="165">
        <f>+DATA!B29</f>
        <v>1047946</v>
      </c>
      <c r="C25" s="165">
        <f>+DATA!C29</f>
        <v>0</v>
      </c>
      <c r="D25" s="165">
        <f t="shared" si="7"/>
        <v>1047946</v>
      </c>
      <c r="E25" s="165">
        <f>+DATA!D29</f>
        <v>56308</v>
      </c>
      <c r="F25" s="165">
        <f>+DATA!E29</f>
        <v>14617</v>
      </c>
      <c r="G25" s="165">
        <f>+DATA!F29</f>
        <v>14617</v>
      </c>
      <c r="H25" s="165">
        <f>+DATA!G29</f>
        <v>0</v>
      </c>
      <c r="I25" s="165">
        <f t="shared" si="8"/>
        <v>85542</v>
      </c>
      <c r="J25" s="12"/>
      <c r="K25" s="164">
        <f>+DATA!I29</f>
        <v>710406</v>
      </c>
      <c r="L25" s="164">
        <f>+DATA!J29</f>
        <v>0</v>
      </c>
      <c r="M25" s="164">
        <f t="shared" si="9"/>
        <v>710406</v>
      </c>
      <c r="N25" s="164">
        <f>+DATA!K29</f>
        <v>56308</v>
      </c>
      <c r="O25" s="164">
        <f>+DATA!L29</f>
        <v>14615.189999999999</v>
      </c>
      <c r="P25" s="164">
        <f>+DATA!M29</f>
        <v>14615.189999999999</v>
      </c>
      <c r="Q25" s="164">
        <f>+DATA!N29</f>
        <v>0</v>
      </c>
      <c r="R25" s="164">
        <f t="shared" si="10"/>
        <v>85538.38</v>
      </c>
      <c r="T25" s="167">
        <f t="shared" si="1"/>
        <v>337540</v>
      </c>
      <c r="U25" s="167">
        <f t="shared" si="2"/>
        <v>0</v>
      </c>
      <c r="V25" s="167">
        <f t="shared" si="2"/>
        <v>337540</v>
      </c>
      <c r="W25" s="167">
        <f t="shared" si="3"/>
        <v>0</v>
      </c>
      <c r="X25" s="167">
        <f t="shared" si="4"/>
        <v>1.8100000000013097</v>
      </c>
      <c r="Y25" s="167">
        <f t="shared" si="5"/>
        <v>1.8100000000013097</v>
      </c>
      <c r="Z25" s="167">
        <f t="shared" si="6"/>
        <v>0</v>
      </c>
      <c r="AA25" s="168">
        <f t="shared" si="11"/>
        <v>3.6200000000026193</v>
      </c>
    </row>
    <row r="26" spans="1:27" x14ac:dyDescent="0.25">
      <c r="A26" s="40" t="str">
        <f>+DATA!A30</f>
        <v>FEB</v>
      </c>
      <c r="B26" s="165">
        <f>+DATA!B30</f>
        <v>1619127</v>
      </c>
      <c r="C26" s="165">
        <f>+DATA!C30</f>
        <v>0</v>
      </c>
      <c r="D26" s="165">
        <f t="shared" si="7"/>
        <v>1619127</v>
      </c>
      <c r="E26" s="165">
        <f>+DATA!D30</f>
        <v>124643</v>
      </c>
      <c r="F26" s="165">
        <f>+DATA!E30</f>
        <v>58400</v>
      </c>
      <c r="G26" s="165">
        <f>+DATA!F30</f>
        <v>58400</v>
      </c>
      <c r="H26" s="165">
        <f>+DATA!G30</f>
        <v>0</v>
      </c>
      <c r="I26" s="165">
        <f t="shared" si="8"/>
        <v>241443</v>
      </c>
      <c r="J26" s="12"/>
      <c r="K26" s="164">
        <f>+DATA!I30</f>
        <v>1619127</v>
      </c>
      <c r="L26" s="164">
        <f>+DATA!J30</f>
        <v>0</v>
      </c>
      <c r="M26" s="164">
        <f t="shared" si="9"/>
        <v>1619127</v>
      </c>
      <c r="N26" s="164">
        <f>+DATA!K30</f>
        <v>124643</v>
      </c>
      <c r="O26" s="164">
        <f>+DATA!L30</f>
        <v>58400</v>
      </c>
      <c r="P26" s="164">
        <f>+DATA!M30</f>
        <v>58400</v>
      </c>
      <c r="Q26" s="164">
        <f>+DATA!N30</f>
        <v>0</v>
      </c>
      <c r="R26" s="164">
        <f t="shared" si="10"/>
        <v>241443</v>
      </c>
      <c r="T26" s="167">
        <f t="shared" si="1"/>
        <v>0</v>
      </c>
      <c r="U26" s="167">
        <f t="shared" si="2"/>
        <v>0</v>
      </c>
      <c r="V26" s="167">
        <f t="shared" si="2"/>
        <v>0</v>
      </c>
      <c r="W26" s="167">
        <f t="shared" si="3"/>
        <v>0</v>
      </c>
      <c r="X26" s="167">
        <f t="shared" si="4"/>
        <v>0</v>
      </c>
      <c r="Y26" s="167">
        <f t="shared" si="5"/>
        <v>0</v>
      </c>
      <c r="Z26" s="167">
        <f t="shared" si="6"/>
        <v>0</v>
      </c>
      <c r="AA26" s="168">
        <f t="shared" si="11"/>
        <v>0</v>
      </c>
    </row>
    <row r="27" spans="1:27" x14ac:dyDescent="0.25">
      <c r="A27" s="40" t="str">
        <f>+DATA!A31</f>
        <v>MARCH</v>
      </c>
      <c r="B27" s="165">
        <f>+DATA!B31</f>
        <v>635208.6</v>
      </c>
      <c r="C27" s="165">
        <f>+DATA!C31</f>
        <v>0</v>
      </c>
      <c r="D27" s="165">
        <f t="shared" si="7"/>
        <v>635208.6</v>
      </c>
      <c r="E27" s="165">
        <f>+DATA!D31</f>
        <v>0</v>
      </c>
      <c r="F27" s="165">
        <f>+DATA!E31</f>
        <v>47264.18</v>
      </c>
      <c r="G27" s="165">
        <f>+DATA!F31</f>
        <v>47264.18</v>
      </c>
      <c r="H27" s="165">
        <f>+DATA!G31</f>
        <v>0</v>
      </c>
      <c r="I27" s="165">
        <f t="shared" si="8"/>
        <v>94528.36</v>
      </c>
      <c r="J27" s="12"/>
      <c r="K27" s="164">
        <f>+DATA!I31</f>
        <v>-4427591.4000000004</v>
      </c>
      <c r="L27" s="164">
        <f>+DATA!J31</f>
        <v>0</v>
      </c>
      <c r="M27" s="164">
        <f t="shared" si="9"/>
        <v>-4427591.4000000004</v>
      </c>
      <c r="N27" s="164">
        <f>+DATA!K31</f>
        <v>0</v>
      </c>
      <c r="O27" s="164">
        <f>+DATA!L31</f>
        <v>-388270.88000000012</v>
      </c>
      <c r="P27" s="164">
        <f>+DATA!M31</f>
        <v>-388270.88000000012</v>
      </c>
      <c r="Q27" s="164">
        <f>+DATA!N31</f>
        <v>0</v>
      </c>
      <c r="R27" s="164">
        <f t="shared" si="10"/>
        <v>-776541.76000000024</v>
      </c>
      <c r="T27" s="167">
        <f t="shared" si="1"/>
        <v>5062800</v>
      </c>
      <c r="U27" s="167">
        <f t="shared" si="2"/>
        <v>0</v>
      </c>
      <c r="V27" s="167">
        <f t="shared" si="2"/>
        <v>5062800</v>
      </c>
      <c r="W27" s="167">
        <f t="shared" si="3"/>
        <v>0</v>
      </c>
      <c r="X27" s="167">
        <f t="shared" si="4"/>
        <v>435535.06000000011</v>
      </c>
      <c r="Y27" s="167">
        <f t="shared" si="5"/>
        <v>435535.06000000011</v>
      </c>
      <c r="Z27" s="167">
        <f t="shared" si="6"/>
        <v>0</v>
      </c>
      <c r="AA27" s="168">
        <f t="shared" si="11"/>
        <v>871070.12000000023</v>
      </c>
    </row>
    <row r="28" spans="1:27" ht="54" customHeight="1" x14ac:dyDescent="0.25">
      <c r="A28" s="196" t="str">
        <f>+DATA!A32</f>
        <v>L.Y. SALE ADDED/DEDUCTED IN 3B OF C.Y.</v>
      </c>
      <c r="B28" s="199">
        <f>+DATA!B32</f>
        <v>0</v>
      </c>
      <c r="C28" s="199">
        <f>+DATA!C32</f>
        <v>0</v>
      </c>
      <c r="D28" s="200">
        <f t="shared" si="7"/>
        <v>0</v>
      </c>
      <c r="E28" s="199">
        <f>+DATA!D32</f>
        <v>0</v>
      </c>
      <c r="F28" s="199">
        <f>+DATA!E32</f>
        <v>0</v>
      </c>
      <c r="G28" s="199">
        <f>+DATA!F32</f>
        <v>0</v>
      </c>
      <c r="H28" s="199">
        <f>+DATA!G32</f>
        <v>0</v>
      </c>
      <c r="I28" s="200">
        <f t="shared" si="8"/>
        <v>0</v>
      </c>
      <c r="J28" s="12"/>
      <c r="K28" s="44"/>
      <c r="L28" s="44"/>
      <c r="M28" s="44"/>
      <c r="N28" s="44"/>
      <c r="O28" s="44"/>
      <c r="P28" s="44"/>
      <c r="Q28" s="44"/>
      <c r="R28" s="44"/>
      <c r="T28" s="202">
        <f t="shared" ref="T28" si="12">+B28-K28</f>
        <v>0</v>
      </c>
      <c r="U28" s="202">
        <f t="shared" ref="U28" si="13">+C28-L28</f>
        <v>0</v>
      </c>
      <c r="V28" s="202">
        <f t="shared" ref="V28" si="14">+D28-M28</f>
        <v>0</v>
      </c>
      <c r="W28" s="202">
        <f t="shared" ref="W28" si="15">+E28-N28</f>
        <v>0</v>
      </c>
      <c r="X28" s="202">
        <f t="shared" ref="X28" si="16">+F28-O28</f>
        <v>0</v>
      </c>
      <c r="Y28" s="202">
        <f t="shared" ref="Y28" si="17">+G28-P28</f>
        <v>0</v>
      </c>
      <c r="Z28" s="202">
        <f t="shared" ref="Z28" si="18">+H28-Q28</f>
        <v>0</v>
      </c>
      <c r="AA28" s="203">
        <f t="shared" ref="AA28" si="19">SUM(W28:Z28)</f>
        <v>0</v>
      </c>
    </row>
    <row r="29" spans="1:27" x14ac:dyDescent="0.25">
      <c r="A29" s="13" t="s">
        <v>1</v>
      </c>
      <c r="B29" s="14">
        <f>SUM(B16:B28)</f>
        <v>65091789.779999994</v>
      </c>
      <c r="C29" s="14">
        <f t="shared" ref="C29:I29" si="20">SUM(C16:C28)</f>
        <v>0</v>
      </c>
      <c r="D29" s="14">
        <f t="shared" si="20"/>
        <v>65091789.779999994</v>
      </c>
      <c r="E29" s="14">
        <f t="shared" si="20"/>
        <v>775267</v>
      </c>
      <c r="F29" s="14">
        <f t="shared" si="20"/>
        <v>5042496.13</v>
      </c>
      <c r="G29" s="14">
        <f t="shared" si="20"/>
        <v>5042496.13</v>
      </c>
      <c r="H29" s="14">
        <f t="shared" si="20"/>
        <v>0</v>
      </c>
      <c r="I29" s="14">
        <f t="shared" si="20"/>
        <v>10860259.26</v>
      </c>
      <c r="J29" s="15"/>
      <c r="K29" s="14">
        <f t="shared" ref="K29" si="21">SUM(K16:K27)</f>
        <v>58311833.769999996</v>
      </c>
      <c r="L29" s="14">
        <f t="shared" ref="L29:R29" si="22">SUM(L16:L27)</f>
        <v>0</v>
      </c>
      <c r="M29" s="14">
        <f t="shared" si="22"/>
        <v>58311833.769999996</v>
      </c>
      <c r="N29" s="14">
        <f t="shared" si="22"/>
        <v>775267</v>
      </c>
      <c r="O29" s="14">
        <f t="shared" si="22"/>
        <v>4489475.0932500008</v>
      </c>
      <c r="P29" s="14">
        <f t="shared" si="22"/>
        <v>4489475.0932500008</v>
      </c>
      <c r="Q29" s="14">
        <f t="shared" si="22"/>
        <v>0</v>
      </c>
      <c r="R29" s="14">
        <f t="shared" si="22"/>
        <v>9754217.1865000017</v>
      </c>
      <c r="T29" s="14">
        <f>SUM(T16:T28)</f>
        <v>6779956.0099999998</v>
      </c>
      <c r="U29" s="14">
        <f t="shared" ref="U29:AA29" si="23">SUM(U16:U28)</f>
        <v>0</v>
      </c>
      <c r="V29" s="14">
        <f t="shared" si="23"/>
        <v>6779956.0099999998</v>
      </c>
      <c r="W29" s="14">
        <f t="shared" si="23"/>
        <v>0</v>
      </c>
      <c r="X29" s="14">
        <f t="shared" si="23"/>
        <v>553021.03675000009</v>
      </c>
      <c r="Y29" s="14">
        <f t="shared" si="23"/>
        <v>553021.03675000009</v>
      </c>
      <c r="Z29" s="14">
        <f t="shared" si="23"/>
        <v>0</v>
      </c>
      <c r="AA29" s="14">
        <f t="shared" si="23"/>
        <v>1106042.0735000002</v>
      </c>
    </row>
    <row r="30" spans="1:27" x14ac:dyDescent="0.25">
      <c r="D30" s="1">
        <f>+B29+C29-D29</f>
        <v>0</v>
      </c>
      <c r="I30" s="1">
        <f>+I29-G29-F29-E29</f>
        <v>0</v>
      </c>
      <c r="M30" s="1">
        <f>+K29+L29-M29</f>
        <v>0</v>
      </c>
      <c r="R30" s="1">
        <f>+R29-P29-O29-N29</f>
        <v>0</v>
      </c>
      <c r="T30" s="38" t="str">
        <f>IF(T29&gt;0,"(3B MORE)","(3B LESS)")</f>
        <v>(3B MORE)</v>
      </c>
      <c r="U30" s="38" t="str">
        <f t="shared" ref="U30:AA30" si="24">IF(U29&gt;0,"(3B MORE)","(3B LESS)")</f>
        <v>(3B LESS)</v>
      </c>
      <c r="V30" s="38" t="str">
        <f t="shared" si="24"/>
        <v>(3B MORE)</v>
      </c>
      <c r="W30" s="38" t="str">
        <f t="shared" si="24"/>
        <v>(3B LESS)</v>
      </c>
      <c r="X30" s="38" t="str">
        <f t="shared" si="24"/>
        <v>(3B MORE)</v>
      </c>
      <c r="Y30" s="38" t="str">
        <f t="shared" si="24"/>
        <v>(3B MORE)</v>
      </c>
      <c r="Z30" s="38" t="str">
        <f t="shared" si="24"/>
        <v>(3B LESS)</v>
      </c>
      <c r="AA30" s="38" t="str">
        <f t="shared" si="24"/>
        <v>(3B MORE)</v>
      </c>
    </row>
    <row r="31" spans="1:27" x14ac:dyDescent="0.25">
      <c r="W31" s="4"/>
      <c r="AA31" s="1">
        <f>+AA29-Y29-X29-W29</f>
        <v>0</v>
      </c>
    </row>
    <row r="32" spans="1:27" x14ac:dyDescent="0.25">
      <c r="A32" s="304" t="str">
        <f>+A13</f>
        <v>OUTPUT TAX LIABILITY</v>
      </c>
      <c r="B32" s="304"/>
      <c r="C32" s="304"/>
      <c r="D32" s="304"/>
      <c r="E32" s="304"/>
      <c r="F32" s="304"/>
      <c r="G32" s="304"/>
      <c r="H32" s="304"/>
      <c r="I32" s="304"/>
    </row>
    <row r="33" spans="1:28" x14ac:dyDescent="0.25">
      <c r="A33" s="5"/>
      <c r="B33" s="305" t="str">
        <f>+B14</f>
        <v>AS PER GSTR 3B</v>
      </c>
      <c r="C33" s="306"/>
      <c r="D33" s="306"/>
      <c r="E33" s="306"/>
      <c r="F33" s="306"/>
      <c r="G33" s="306"/>
      <c r="H33" s="306"/>
      <c r="I33" s="307"/>
      <c r="J33" s="6"/>
      <c r="K33" s="305" t="s">
        <v>126</v>
      </c>
      <c r="L33" s="306"/>
      <c r="M33" s="306"/>
      <c r="N33" s="306"/>
      <c r="O33" s="306"/>
      <c r="P33" s="306"/>
      <c r="Q33" s="306"/>
      <c r="R33" s="306"/>
      <c r="S33" s="7"/>
      <c r="T33" s="299" t="s">
        <v>136</v>
      </c>
      <c r="U33" s="300"/>
      <c r="V33" s="300"/>
      <c r="W33" s="300"/>
      <c r="X33" s="300"/>
      <c r="Y33" s="300"/>
      <c r="Z33" s="300"/>
      <c r="AA33" s="300"/>
    </row>
    <row r="34" spans="1:28" ht="26.4" x14ac:dyDescent="0.25">
      <c r="A34" s="8" t="str">
        <f>+A15</f>
        <v>MONTH</v>
      </c>
      <c r="B34" s="8" t="str">
        <f t="shared" ref="B34:I34" si="25">+B15</f>
        <v>TAXABLE SALES</v>
      </c>
      <c r="C34" s="8" t="str">
        <f t="shared" si="25"/>
        <v>TAX FREE</v>
      </c>
      <c r="D34" s="8" t="str">
        <f t="shared" si="25"/>
        <v>GROSS SALES</v>
      </c>
      <c r="E34" s="8" t="str">
        <f t="shared" si="25"/>
        <v>IGST</v>
      </c>
      <c r="F34" s="8" t="str">
        <f t="shared" si="25"/>
        <v>CGST</v>
      </c>
      <c r="G34" s="8" t="str">
        <f t="shared" si="25"/>
        <v>SGST</v>
      </c>
      <c r="H34" s="8" t="str">
        <f t="shared" si="25"/>
        <v>CESS</v>
      </c>
      <c r="I34" s="8" t="str">
        <f t="shared" si="25"/>
        <v>TOTALTAX</v>
      </c>
      <c r="J34" s="10"/>
      <c r="K34" s="8" t="str">
        <f>+DATA!P19</f>
        <v>TAXABLE SALES</v>
      </c>
      <c r="L34" s="8" t="str">
        <f>+DATA!Q19</f>
        <v>TAX FREE</v>
      </c>
      <c r="M34" s="8" t="s">
        <v>24</v>
      </c>
      <c r="N34" s="9" t="str">
        <f>+DATA!R19</f>
        <v>IGST</v>
      </c>
      <c r="O34" s="9" t="str">
        <f>+DATA!S19</f>
        <v>CGST</v>
      </c>
      <c r="P34" s="9" t="str">
        <f>+DATA!T19</f>
        <v>SGST</v>
      </c>
      <c r="Q34" s="9" t="str">
        <f>+DATA!U19</f>
        <v>CESS</v>
      </c>
      <c r="R34" s="9" t="str">
        <f>+R15</f>
        <v>TOTAL TAX</v>
      </c>
      <c r="S34" s="11"/>
      <c r="T34" s="8" t="str">
        <f>+K34</f>
        <v>TAXABLE SALES</v>
      </c>
      <c r="U34" s="8" t="str">
        <f t="shared" ref="U34" si="26">+L34</f>
        <v>TAX FREE</v>
      </c>
      <c r="V34" s="8" t="str">
        <f t="shared" ref="V34" si="27">+M34</f>
        <v>GROSS SALES</v>
      </c>
      <c r="W34" s="8" t="str">
        <f t="shared" ref="W34" si="28">+N34</f>
        <v>IGST</v>
      </c>
      <c r="X34" s="8" t="str">
        <f t="shared" ref="X34" si="29">+O34</f>
        <v>CGST</v>
      </c>
      <c r="Y34" s="8" t="str">
        <f t="shared" ref="Y34" si="30">+P34</f>
        <v>SGST</v>
      </c>
      <c r="Z34" s="8" t="str">
        <f t="shared" ref="Z34" si="31">+Q34</f>
        <v>CESS</v>
      </c>
      <c r="AA34" s="8" t="str">
        <f t="shared" ref="AA34" si="32">+R34</f>
        <v>TOTAL TAX</v>
      </c>
    </row>
    <row r="35" spans="1:28" x14ac:dyDescent="0.25">
      <c r="A35" s="40" t="str">
        <f>+A16</f>
        <v>APRIL</v>
      </c>
      <c r="B35" s="165">
        <f t="shared" ref="B35:I35" si="33">+B16</f>
        <v>1886779.16</v>
      </c>
      <c r="C35" s="165">
        <f t="shared" si="33"/>
        <v>0</v>
      </c>
      <c r="D35" s="165">
        <f t="shared" si="33"/>
        <v>1886779.16</v>
      </c>
      <c r="E35" s="165">
        <f t="shared" si="33"/>
        <v>21963</v>
      </c>
      <c r="F35" s="165">
        <f t="shared" si="33"/>
        <v>156812</v>
      </c>
      <c r="G35" s="165">
        <f t="shared" si="33"/>
        <v>156812</v>
      </c>
      <c r="H35" s="165">
        <f t="shared" si="33"/>
        <v>0</v>
      </c>
      <c r="I35" s="165">
        <f t="shared" si="33"/>
        <v>335587</v>
      </c>
      <c r="J35" s="12"/>
      <c r="K35" s="164">
        <f>+DATA!P20</f>
        <v>1886779.16</v>
      </c>
      <c r="L35" s="164">
        <f>+DATA!Q20</f>
        <v>0</v>
      </c>
      <c r="M35" s="164">
        <f>+L35+K35</f>
        <v>1886779.16</v>
      </c>
      <c r="N35" s="164">
        <f>+DATA!R20</f>
        <v>21962.3</v>
      </c>
      <c r="O35" s="164">
        <f>+DATA!S20</f>
        <v>156808.35</v>
      </c>
      <c r="P35" s="164">
        <f>+DATA!T20</f>
        <v>156808.35</v>
      </c>
      <c r="Q35" s="164">
        <f>+DATA!U20</f>
        <v>0</v>
      </c>
      <c r="R35" s="164">
        <f>SUM(N35:Q35)</f>
        <v>335579</v>
      </c>
      <c r="T35" s="167">
        <f t="shared" ref="T35:T47" si="34">+B35-K35</f>
        <v>0</v>
      </c>
      <c r="U35" s="167">
        <f t="shared" ref="U35:U47" si="35">+C35-L35</f>
        <v>0</v>
      </c>
      <c r="V35" s="167">
        <f t="shared" ref="V35:V47" si="36">+D35-M35</f>
        <v>0</v>
      </c>
      <c r="W35" s="167">
        <f t="shared" ref="W35:W47" si="37">+E35-N35</f>
        <v>0.7000000000007276</v>
      </c>
      <c r="X35" s="167">
        <f t="shared" ref="X35:X47" si="38">+F35-O35</f>
        <v>3.6499999999941792</v>
      </c>
      <c r="Y35" s="167">
        <f t="shared" ref="Y35:Y47" si="39">+G35-P35</f>
        <v>3.6499999999941792</v>
      </c>
      <c r="Z35" s="167">
        <f t="shared" ref="Z35:Z47" si="40">+H35-Q35</f>
        <v>0</v>
      </c>
      <c r="AA35" s="168">
        <f>SUM(W35:Z35)</f>
        <v>7.9999999999890861</v>
      </c>
    </row>
    <row r="36" spans="1:28" x14ac:dyDescent="0.25">
      <c r="A36" s="40" t="str">
        <f t="shared" ref="A36:I36" si="41">+A17</f>
        <v>MAY</v>
      </c>
      <c r="B36" s="165">
        <f t="shared" si="41"/>
        <v>15890781.359999999</v>
      </c>
      <c r="C36" s="165">
        <f t="shared" si="41"/>
        <v>0</v>
      </c>
      <c r="D36" s="165">
        <f t="shared" si="41"/>
        <v>15890781.359999999</v>
      </c>
      <c r="E36" s="165">
        <f t="shared" si="41"/>
        <v>0</v>
      </c>
      <c r="F36" s="165">
        <f t="shared" si="41"/>
        <v>1297049</v>
      </c>
      <c r="G36" s="165">
        <f t="shared" si="41"/>
        <v>1297049</v>
      </c>
      <c r="H36" s="165">
        <f t="shared" si="41"/>
        <v>0</v>
      </c>
      <c r="I36" s="165">
        <f t="shared" si="41"/>
        <v>2594098</v>
      </c>
      <c r="J36" s="12"/>
      <c r="K36" s="164">
        <f>+DATA!P21</f>
        <v>15890781.359999999</v>
      </c>
      <c r="L36" s="164">
        <f>+DATA!Q21</f>
        <v>0</v>
      </c>
      <c r="M36" s="164">
        <f t="shared" ref="M36:M46" si="42">+L36+K36</f>
        <v>15890781.359999999</v>
      </c>
      <c r="N36" s="164">
        <f>+DATA!R21</f>
        <v>0</v>
      </c>
      <c r="O36" s="164">
        <f>+DATA!S21</f>
        <v>1297014.17</v>
      </c>
      <c r="P36" s="164">
        <f>+DATA!T21</f>
        <v>1297014.17</v>
      </c>
      <c r="Q36" s="164">
        <f>+DATA!U21</f>
        <v>0</v>
      </c>
      <c r="R36" s="164">
        <f t="shared" ref="R36:R46" si="43">SUM(N36:Q36)</f>
        <v>2594028.34</v>
      </c>
      <c r="T36" s="167">
        <f t="shared" si="34"/>
        <v>0</v>
      </c>
      <c r="U36" s="167">
        <f t="shared" si="35"/>
        <v>0</v>
      </c>
      <c r="V36" s="167">
        <f t="shared" si="36"/>
        <v>0</v>
      </c>
      <c r="W36" s="167">
        <f t="shared" si="37"/>
        <v>0</v>
      </c>
      <c r="X36" s="167">
        <f t="shared" si="38"/>
        <v>34.830000000074506</v>
      </c>
      <c r="Y36" s="167">
        <f t="shared" si="39"/>
        <v>34.830000000074506</v>
      </c>
      <c r="Z36" s="167">
        <f t="shared" si="40"/>
        <v>0</v>
      </c>
      <c r="AA36" s="168">
        <f t="shared" ref="AA36:AA47" si="44">SUM(W36:Z36)</f>
        <v>69.660000000149012</v>
      </c>
    </row>
    <row r="37" spans="1:28" x14ac:dyDescent="0.25">
      <c r="A37" s="40" t="str">
        <f t="shared" ref="A37:I37" si="45">+A18</f>
        <v>JUNE</v>
      </c>
      <c r="B37" s="165">
        <f t="shared" si="45"/>
        <v>23884526.879999999</v>
      </c>
      <c r="C37" s="165">
        <f t="shared" si="45"/>
        <v>0</v>
      </c>
      <c r="D37" s="165">
        <f t="shared" si="45"/>
        <v>23884526.879999999</v>
      </c>
      <c r="E37" s="165">
        <f t="shared" si="45"/>
        <v>0</v>
      </c>
      <c r="F37" s="165">
        <f t="shared" si="45"/>
        <v>2003808</v>
      </c>
      <c r="G37" s="165">
        <f t="shared" si="45"/>
        <v>2003808</v>
      </c>
      <c r="H37" s="165">
        <f t="shared" si="45"/>
        <v>0</v>
      </c>
      <c r="I37" s="165">
        <f t="shared" si="45"/>
        <v>4007616</v>
      </c>
      <c r="J37" s="12"/>
      <c r="K37" s="164">
        <f>+DATA!P22</f>
        <v>23884526.879999999</v>
      </c>
      <c r="L37" s="164">
        <f>+DATA!Q22</f>
        <v>0</v>
      </c>
      <c r="M37" s="164">
        <f t="shared" si="42"/>
        <v>23884526.879999999</v>
      </c>
      <c r="N37" s="164">
        <f>+DATA!R22</f>
        <v>0</v>
      </c>
      <c r="O37" s="164">
        <f>+DATA!S22</f>
        <v>2003776.88</v>
      </c>
      <c r="P37" s="164">
        <f>+DATA!T22</f>
        <v>2003776.88</v>
      </c>
      <c r="Q37" s="164">
        <f>+DATA!U22</f>
        <v>0</v>
      </c>
      <c r="R37" s="164">
        <f t="shared" si="43"/>
        <v>4007553.76</v>
      </c>
      <c r="T37" s="167">
        <f t="shared" si="34"/>
        <v>0</v>
      </c>
      <c r="U37" s="167">
        <f t="shared" si="35"/>
        <v>0</v>
      </c>
      <c r="V37" s="167">
        <f t="shared" si="36"/>
        <v>0</v>
      </c>
      <c r="W37" s="167">
        <f t="shared" si="37"/>
        <v>0</v>
      </c>
      <c r="X37" s="167">
        <f t="shared" si="38"/>
        <v>31.120000000111759</v>
      </c>
      <c r="Y37" s="167">
        <f t="shared" si="39"/>
        <v>31.120000000111759</v>
      </c>
      <c r="Z37" s="167">
        <f t="shared" si="40"/>
        <v>0</v>
      </c>
      <c r="AA37" s="168">
        <f t="shared" si="44"/>
        <v>62.240000000223517</v>
      </c>
    </row>
    <row r="38" spans="1:28" x14ac:dyDescent="0.25">
      <c r="A38" s="40" t="str">
        <f t="shared" ref="A38:I38" si="46">+A19</f>
        <v>JULY</v>
      </c>
      <c r="B38" s="165">
        <f t="shared" si="46"/>
        <v>6270534.7999999998</v>
      </c>
      <c r="C38" s="165">
        <f t="shared" si="46"/>
        <v>0</v>
      </c>
      <c r="D38" s="165">
        <f t="shared" si="46"/>
        <v>6270534.7999999998</v>
      </c>
      <c r="E38" s="165">
        <f t="shared" si="46"/>
        <v>14433</v>
      </c>
      <c r="F38" s="165">
        <f t="shared" si="46"/>
        <v>541408.4</v>
      </c>
      <c r="G38" s="165">
        <f t="shared" si="46"/>
        <v>541408.4</v>
      </c>
      <c r="H38" s="165">
        <f t="shared" si="46"/>
        <v>0</v>
      </c>
      <c r="I38" s="165">
        <f t="shared" si="46"/>
        <v>1097249.8</v>
      </c>
      <c r="J38" s="12"/>
      <c r="K38" s="164">
        <f>+DATA!P23</f>
        <v>6250969.0800000001</v>
      </c>
      <c r="L38" s="164">
        <f>+DATA!Q23</f>
        <v>0</v>
      </c>
      <c r="M38" s="164">
        <f t="shared" si="42"/>
        <v>6250969.0800000001</v>
      </c>
      <c r="N38" s="164">
        <f>+DATA!R23</f>
        <v>14432.4</v>
      </c>
      <c r="O38" s="164">
        <f>+DATA!S23</f>
        <v>539621.91</v>
      </c>
      <c r="P38" s="164">
        <f>+DATA!T23</f>
        <v>539621.91</v>
      </c>
      <c r="Q38" s="164">
        <f>+DATA!U23</f>
        <v>0</v>
      </c>
      <c r="R38" s="164">
        <f t="shared" si="43"/>
        <v>1093676.2200000002</v>
      </c>
      <c r="T38" s="167">
        <f t="shared" si="34"/>
        <v>19565.719999999739</v>
      </c>
      <c r="U38" s="167">
        <f t="shared" si="35"/>
        <v>0</v>
      </c>
      <c r="V38" s="167">
        <f t="shared" si="36"/>
        <v>19565.719999999739</v>
      </c>
      <c r="W38" s="167">
        <f t="shared" si="37"/>
        <v>0.6000000000003638</v>
      </c>
      <c r="X38" s="167">
        <f t="shared" si="38"/>
        <v>1786.4899999999907</v>
      </c>
      <c r="Y38" s="167">
        <f t="shared" si="39"/>
        <v>1786.4899999999907</v>
      </c>
      <c r="Z38" s="167">
        <f t="shared" si="40"/>
        <v>0</v>
      </c>
      <c r="AA38" s="168">
        <f t="shared" si="44"/>
        <v>3573.5799999999817</v>
      </c>
    </row>
    <row r="39" spans="1:28" x14ac:dyDescent="0.25">
      <c r="A39" s="40" t="str">
        <f t="shared" ref="A39:I39" si="47">+A20</f>
        <v>AUG</v>
      </c>
      <c r="B39" s="165">
        <f t="shared" si="47"/>
        <v>2982349.96</v>
      </c>
      <c r="C39" s="165">
        <f t="shared" si="47"/>
        <v>0</v>
      </c>
      <c r="D39" s="165">
        <f t="shared" si="47"/>
        <v>2982349.96</v>
      </c>
      <c r="E39" s="165">
        <f t="shared" si="47"/>
        <v>0</v>
      </c>
      <c r="F39" s="165">
        <f t="shared" si="47"/>
        <v>243373.05</v>
      </c>
      <c r="G39" s="165">
        <f t="shared" si="47"/>
        <v>243373.05</v>
      </c>
      <c r="H39" s="165">
        <f t="shared" si="47"/>
        <v>0</v>
      </c>
      <c r="I39" s="165">
        <f t="shared" si="47"/>
        <v>486746.1</v>
      </c>
      <c r="J39" s="12"/>
      <c r="K39" s="164">
        <f>+DATA!P24</f>
        <v>1469391</v>
      </c>
      <c r="L39" s="164">
        <f>+DATA!Q24</f>
        <v>0</v>
      </c>
      <c r="M39" s="164">
        <f t="shared" si="42"/>
        <v>1469391</v>
      </c>
      <c r="N39" s="164">
        <f>+DATA!R24</f>
        <v>0</v>
      </c>
      <c r="O39" s="164">
        <f>+DATA!S24</f>
        <v>114219.85</v>
      </c>
      <c r="P39" s="164">
        <f>+DATA!T24</f>
        <v>114219.85</v>
      </c>
      <c r="Q39" s="164">
        <f>+DATA!U24</f>
        <v>0</v>
      </c>
      <c r="R39" s="164">
        <f t="shared" si="43"/>
        <v>228439.7</v>
      </c>
      <c r="T39" s="167">
        <f t="shared" si="34"/>
        <v>1512958.96</v>
      </c>
      <c r="U39" s="167">
        <f t="shared" si="35"/>
        <v>0</v>
      </c>
      <c r="V39" s="167">
        <f t="shared" si="36"/>
        <v>1512958.96</v>
      </c>
      <c r="W39" s="167">
        <f t="shared" si="37"/>
        <v>0</v>
      </c>
      <c r="X39" s="167">
        <f t="shared" si="38"/>
        <v>129153.19999999998</v>
      </c>
      <c r="Y39" s="167">
        <f t="shared" si="39"/>
        <v>129153.19999999998</v>
      </c>
      <c r="Z39" s="167">
        <f t="shared" si="40"/>
        <v>0</v>
      </c>
      <c r="AA39" s="168">
        <f t="shared" si="44"/>
        <v>258306.39999999997</v>
      </c>
    </row>
    <row r="40" spans="1:28" x14ac:dyDescent="0.25">
      <c r="A40" s="40" t="str">
        <f t="shared" ref="A40:I40" si="48">+A21</f>
        <v>SEP</v>
      </c>
      <c r="B40" s="165">
        <f t="shared" si="48"/>
        <v>8056565.2199999997</v>
      </c>
      <c r="C40" s="165">
        <f t="shared" si="48"/>
        <v>0</v>
      </c>
      <c r="D40" s="165">
        <f t="shared" si="48"/>
        <v>8056565.2199999997</v>
      </c>
      <c r="E40" s="165">
        <f t="shared" si="48"/>
        <v>269210</v>
      </c>
      <c r="F40" s="165">
        <f t="shared" si="48"/>
        <v>576480.5</v>
      </c>
      <c r="G40" s="165">
        <f t="shared" si="48"/>
        <v>576480.5</v>
      </c>
      <c r="H40" s="165">
        <f t="shared" si="48"/>
        <v>0</v>
      </c>
      <c r="I40" s="165">
        <f t="shared" si="48"/>
        <v>1422171</v>
      </c>
      <c r="J40" s="12"/>
      <c r="K40" s="164">
        <f>+DATA!P25</f>
        <v>8056565.2199999997</v>
      </c>
      <c r="L40" s="164">
        <f>+DATA!Q25</f>
        <v>0</v>
      </c>
      <c r="M40" s="164">
        <f t="shared" si="42"/>
        <v>8056565.2199999997</v>
      </c>
      <c r="N40" s="164">
        <f>+DATA!R25</f>
        <v>269210</v>
      </c>
      <c r="O40" s="164">
        <f>+DATA!S25</f>
        <v>576460.57999999996</v>
      </c>
      <c r="P40" s="164">
        <f>+DATA!T25</f>
        <v>576460.57999999996</v>
      </c>
      <c r="Q40" s="164">
        <f>+DATA!U25</f>
        <v>0</v>
      </c>
      <c r="R40" s="164">
        <f t="shared" si="43"/>
        <v>1422131.16</v>
      </c>
      <c r="T40" s="167">
        <f t="shared" si="34"/>
        <v>0</v>
      </c>
      <c r="U40" s="167">
        <f t="shared" si="35"/>
        <v>0</v>
      </c>
      <c r="V40" s="167">
        <f t="shared" si="36"/>
        <v>0</v>
      </c>
      <c r="W40" s="167">
        <f t="shared" si="37"/>
        <v>0</v>
      </c>
      <c r="X40" s="167">
        <f t="shared" si="38"/>
        <v>19.92000000004191</v>
      </c>
      <c r="Y40" s="167">
        <f t="shared" si="39"/>
        <v>19.92000000004191</v>
      </c>
      <c r="Z40" s="167">
        <f t="shared" si="40"/>
        <v>0</v>
      </c>
      <c r="AA40" s="168">
        <f t="shared" si="44"/>
        <v>39.840000000083819</v>
      </c>
    </row>
    <row r="41" spans="1:28" x14ac:dyDescent="0.25">
      <c r="A41" s="40" t="str">
        <f t="shared" ref="A41:I41" si="49">+A22</f>
        <v>OCT</v>
      </c>
      <c r="B41" s="165">
        <f t="shared" si="49"/>
        <v>346980.8</v>
      </c>
      <c r="C41" s="165">
        <f t="shared" si="49"/>
        <v>0</v>
      </c>
      <c r="D41" s="165">
        <f t="shared" si="49"/>
        <v>346980.8</v>
      </c>
      <c r="E41" s="165">
        <f t="shared" si="49"/>
        <v>25745</v>
      </c>
      <c r="F41" s="165">
        <f t="shared" si="49"/>
        <v>16866</v>
      </c>
      <c r="G41" s="165">
        <f t="shared" si="49"/>
        <v>16866</v>
      </c>
      <c r="H41" s="165">
        <f t="shared" si="49"/>
        <v>0</v>
      </c>
      <c r="I41" s="165">
        <f t="shared" si="49"/>
        <v>59477</v>
      </c>
      <c r="J41" s="12"/>
      <c r="K41" s="164">
        <f>+DATA!P26</f>
        <v>346980.8</v>
      </c>
      <c r="L41" s="164">
        <f>+DATA!Q26</f>
        <v>0</v>
      </c>
      <c r="M41" s="164">
        <f t="shared" si="42"/>
        <v>346980.8</v>
      </c>
      <c r="N41" s="164">
        <f>+DATA!R26</f>
        <v>25745.4</v>
      </c>
      <c r="O41" s="164">
        <f>+DATA!S26</f>
        <v>16863.080000000002</v>
      </c>
      <c r="P41" s="164">
        <f>+DATA!T26</f>
        <v>16863.080000000002</v>
      </c>
      <c r="Q41" s="164">
        <f>+DATA!U26</f>
        <v>0</v>
      </c>
      <c r="R41" s="164">
        <f t="shared" si="43"/>
        <v>59471.560000000005</v>
      </c>
      <c r="T41" s="167">
        <f t="shared" si="34"/>
        <v>0</v>
      </c>
      <c r="U41" s="167">
        <f t="shared" si="35"/>
        <v>0</v>
      </c>
      <c r="V41" s="167">
        <f t="shared" si="36"/>
        <v>0</v>
      </c>
      <c r="W41" s="167">
        <f t="shared" si="37"/>
        <v>-0.40000000000145519</v>
      </c>
      <c r="X41" s="167">
        <f t="shared" si="38"/>
        <v>2.9199999999982538</v>
      </c>
      <c r="Y41" s="167">
        <f t="shared" si="39"/>
        <v>2.9199999999982538</v>
      </c>
      <c r="Z41" s="167">
        <f t="shared" si="40"/>
        <v>0</v>
      </c>
      <c r="AA41" s="168">
        <f t="shared" si="44"/>
        <v>5.4399999999950523</v>
      </c>
    </row>
    <row r="42" spans="1:28" x14ac:dyDescent="0.25">
      <c r="A42" s="40" t="str">
        <f t="shared" ref="A42:I42" si="50">+A23</f>
        <v>NOV</v>
      </c>
      <c r="B42" s="165">
        <f t="shared" si="50"/>
        <v>1354476</v>
      </c>
      <c r="C42" s="165">
        <f t="shared" si="50"/>
        <v>0</v>
      </c>
      <c r="D42" s="165">
        <f t="shared" si="50"/>
        <v>1354476</v>
      </c>
      <c r="E42" s="165">
        <f t="shared" si="50"/>
        <v>122552</v>
      </c>
      <c r="F42" s="165">
        <f t="shared" si="50"/>
        <v>58093</v>
      </c>
      <c r="G42" s="165">
        <f t="shared" si="50"/>
        <v>58093</v>
      </c>
      <c r="H42" s="165">
        <f t="shared" si="50"/>
        <v>0</v>
      </c>
      <c r="I42" s="165">
        <f t="shared" si="50"/>
        <v>238738</v>
      </c>
      <c r="J42" s="12"/>
      <c r="K42" s="164">
        <f>+DATA!P27</f>
        <v>1354476</v>
      </c>
      <c r="L42" s="164">
        <f>+DATA!Q27</f>
        <v>0</v>
      </c>
      <c r="M42" s="164">
        <f t="shared" si="42"/>
        <v>1354476</v>
      </c>
      <c r="N42" s="164">
        <f>+DATA!R27</f>
        <v>122553</v>
      </c>
      <c r="O42" s="164">
        <f>+DATA!S27</f>
        <v>58091.3</v>
      </c>
      <c r="P42" s="164">
        <f>+DATA!T27</f>
        <v>58091.3</v>
      </c>
      <c r="Q42" s="164">
        <f>+DATA!U27</f>
        <v>0</v>
      </c>
      <c r="R42" s="164">
        <f t="shared" si="43"/>
        <v>238735.59999999998</v>
      </c>
      <c r="T42" s="167">
        <f t="shared" si="34"/>
        <v>0</v>
      </c>
      <c r="U42" s="167">
        <f t="shared" si="35"/>
        <v>0</v>
      </c>
      <c r="V42" s="167">
        <f t="shared" si="36"/>
        <v>0</v>
      </c>
      <c r="W42" s="167">
        <f t="shared" si="37"/>
        <v>-1</v>
      </c>
      <c r="X42" s="167">
        <f t="shared" si="38"/>
        <v>1.6999999999970896</v>
      </c>
      <c r="Y42" s="167">
        <f t="shared" si="39"/>
        <v>1.6999999999970896</v>
      </c>
      <c r="Z42" s="167">
        <f t="shared" si="40"/>
        <v>0</v>
      </c>
      <c r="AA42" s="168">
        <f t="shared" si="44"/>
        <v>2.3999999999941792</v>
      </c>
    </row>
    <row r="43" spans="1:28" x14ac:dyDescent="0.25">
      <c r="A43" s="40" t="str">
        <f t="shared" ref="A43:I43" si="51">+A24</f>
        <v>DEC</v>
      </c>
      <c r="B43" s="165">
        <f t="shared" si="51"/>
        <v>1116514</v>
      </c>
      <c r="C43" s="165">
        <f t="shared" si="51"/>
        <v>0</v>
      </c>
      <c r="D43" s="165">
        <f t="shared" si="51"/>
        <v>1116514</v>
      </c>
      <c r="E43" s="165">
        <f t="shared" si="51"/>
        <v>140413</v>
      </c>
      <c r="F43" s="165">
        <f t="shared" si="51"/>
        <v>28325</v>
      </c>
      <c r="G43" s="165">
        <f t="shared" si="51"/>
        <v>28325</v>
      </c>
      <c r="H43" s="165">
        <f t="shared" si="51"/>
        <v>0</v>
      </c>
      <c r="I43" s="165">
        <f t="shared" si="51"/>
        <v>197063</v>
      </c>
      <c r="J43" s="12"/>
      <c r="K43" s="164">
        <f>+DATA!P28</f>
        <v>1116514</v>
      </c>
      <c r="L43" s="164">
        <f>+DATA!Q28</f>
        <v>0</v>
      </c>
      <c r="M43" s="164">
        <f t="shared" si="42"/>
        <v>1116514</v>
      </c>
      <c r="N43" s="164">
        <f>+DATA!R28</f>
        <v>140412</v>
      </c>
      <c r="O43" s="164">
        <f>+DATA!S28</f>
        <v>28322.43</v>
      </c>
      <c r="P43" s="164">
        <f>+DATA!T28</f>
        <v>28322.43</v>
      </c>
      <c r="Q43" s="164">
        <f>+DATA!U28</f>
        <v>0</v>
      </c>
      <c r="R43" s="164">
        <f t="shared" si="43"/>
        <v>197056.86</v>
      </c>
      <c r="T43" s="167">
        <f t="shared" si="34"/>
        <v>0</v>
      </c>
      <c r="U43" s="167">
        <f t="shared" si="35"/>
        <v>0</v>
      </c>
      <c r="V43" s="167">
        <f t="shared" si="36"/>
        <v>0</v>
      </c>
      <c r="W43" s="167">
        <f t="shared" si="37"/>
        <v>1</v>
      </c>
      <c r="X43" s="167">
        <f t="shared" si="38"/>
        <v>2.569999999999709</v>
      </c>
      <c r="Y43" s="167">
        <f t="shared" si="39"/>
        <v>2.569999999999709</v>
      </c>
      <c r="Z43" s="167">
        <f t="shared" si="40"/>
        <v>0</v>
      </c>
      <c r="AA43" s="168">
        <f t="shared" si="44"/>
        <v>6.1399999999994179</v>
      </c>
    </row>
    <row r="44" spans="1:28" x14ac:dyDescent="0.25">
      <c r="A44" s="40" t="str">
        <f t="shared" ref="A44:I44" si="52">+A25</f>
        <v>JAN</v>
      </c>
      <c r="B44" s="165">
        <f t="shared" si="52"/>
        <v>1047946</v>
      </c>
      <c r="C44" s="165">
        <f t="shared" si="52"/>
        <v>0</v>
      </c>
      <c r="D44" s="165">
        <f t="shared" si="52"/>
        <v>1047946</v>
      </c>
      <c r="E44" s="165">
        <f t="shared" si="52"/>
        <v>56308</v>
      </c>
      <c r="F44" s="165">
        <f t="shared" si="52"/>
        <v>14617</v>
      </c>
      <c r="G44" s="165">
        <f t="shared" si="52"/>
        <v>14617</v>
      </c>
      <c r="H44" s="165">
        <f t="shared" si="52"/>
        <v>0</v>
      </c>
      <c r="I44" s="165">
        <f t="shared" si="52"/>
        <v>85542</v>
      </c>
      <c r="J44" s="12"/>
      <c r="K44" s="164">
        <f>+DATA!P29</f>
        <v>710406</v>
      </c>
      <c r="L44" s="164">
        <f>+DATA!Q29</f>
        <v>0</v>
      </c>
      <c r="M44" s="164">
        <f t="shared" si="42"/>
        <v>710406</v>
      </c>
      <c r="N44" s="164">
        <f>+DATA!R29</f>
        <v>56307.6</v>
      </c>
      <c r="O44" s="164">
        <f>+DATA!S29</f>
        <v>14610.35</v>
      </c>
      <c r="P44" s="164">
        <f>+DATA!T29</f>
        <v>14610.35</v>
      </c>
      <c r="Q44" s="164">
        <f>+DATA!U29</f>
        <v>0</v>
      </c>
      <c r="R44" s="164">
        <f t="shared" si="43"/>
        <v>85528.3</v>
      </c>
      <c r="T44" s="167">
        <f t="shared" si="34"/>
        <v>337540</v>
      </c>
      <c r="U44" s="167">
        <f t="shared" si="35"/>
        <v>0</v>
      </c>
      <c r="V44" s="167">
        <f t="shared" si="36"/>
        <v>337540</v>
      </c>
      <c r="W44" s="167">
        <f t="shared" si="37"/>
        <v>0.40000000000145519</v>
      </c>
      <c r="X44" s="167">
        <f t="shared" si="38"/>
        <v>6.6499999999996362</v>
      </c>
      <c r="Y44" s="167">
        <f t="shared" si="39"/>
        <v>6.6499999999996362</v>
      </c>
      <c r="Z44" s="167">
        <f t="shared" si="40"/>
        <v>0</v>
      </c>
      <c r="AA44" s="168">
        <f t="shared" si="44"/>
        <v>13.700000000000728</v>
      </c>
    </row>
    <row r="45" spans="1:28" x14ac:dyDescent="0.25">
      <c r="A45" s="40" t="str">
        <f t="shared" ref="A45:I45" si="53">+A26</f>
        <v>FEB</v>
      </c>
      <c r="B45" s="165">
        <f t="shared" si="53"/>
        <v>1619127</v>
      </c>
      <c r="C45" s="165">
        <f t="shared" si="53"/>
        <v>0</v>
      </c>
      <c r="D45" s="165">
        <f t="shared" si="53"/>
        <v>1619127</v>
      </c>
      <c r="E45" s="165">
        <f t="shared" si="53"/>
        <v>124643</v>
      </c>
      <c r="F45" s="165">
        <f t="shared" si="53"/>
        <v>58400</v>
      </c>
      <c r="G45" s="165">
        <f t="shared" si="53"/>
        <v>58400</v>
      </c>
      <c r="H45" s="165">
        <f t="shared" si="53"/>
        <v>0</v>
      </c>
      <c r="I45" s="165">
        <f t="shared" si="53"/>
        <v>241443</v>
      </c>
      <c r="J45" s="12"/>
      <c r="K45" s="164">
        <f>+DATA!P30</f>
        <v>1619127</v>
      </c>
      <c r="L45" s="164">
        <f>+DATA!Q30</f>
        <v>0</v>
      </c>
      <c r="M45" s="164">
        <f t="shared" si="42"/>
        <v>1619127</v>
      </c>
      <c r="N45" s="164">
        <f>+DATA!R30</f>
        <v>124641.72</v>
      </c>
      <c r="O45" s="164">
        <f>+DATA!S30</f>
        <v>58386.15</v>
      </c>
      <c r="P45" s="164">
        <f>+DATA!T30</f>
        <v>58386.15</v>
      </c>
      <c r="Q45" s="164">
        <f>+DATA!U30</f>
        <v>0</v>
      </c>
      <c r="R45" s="164">
        <f t="shared" si="43"/>
        <v>241414.02</v>
      </c>
      <c r="T45" s="167">
        <f t="shared" si="34"/>
        <v>0</v>
      </c>
      <c r="U45" s="167">
        <f t="shared" si="35"/>
        <v>0</v>
      </c>
      <c r="V45" s="167">
        <f t="shared" si="36"/>
        <v>0</v>
      </c>
      <c r="W45" s="167">
        <f t="shared" si="37"/>
        <v>1.2799999999988358</v>
      </c>
      <c r="X45" s="167">
        <f t="shared" si="38"/>
        <v>13.849999999998545</v>
      </c>
      <c r="Y45" s="167">
        <f t="shared" si="39"/>
        <v>13.849999999998545</v>
      </c>
      <c r="Z45" s="167">
        <f t="shared" si="40"/>
        <v>0</v>
      </c>
      <c r="AA45" s="168">
        <f t="shared" si="44"/>
        <v>28.979999999995925</v>
      </c>
    </row>
    <row r="46" spans="1:28" x14ac:dyDescent="0.25">
      <c r="A46" s="40" t="str">
        <f t="shared" ref="A46:I46" si="54">+A27</f>
        <v>MARCH</v>
      </c>
      <c r="B46" s="165">
        <f t="shared" si="54"/>
        <v>635208.6</v>
      </c>
      <c r="C46" s="165">
        <f t="shared" si="54"/>
        <v>0</v>
      </c>
      <c r="D46" s="165">
        <f t="shared" si="54"/>
        <v>635208.6</v>
      </c>
      <c r="E46" s="165">
        <f t="shared" si="54"/>
        <v>0</v>
      </c>
      <c r="F46" s="165">
        <f t="shared" si="54"/>
        <v>47264.18</v>
      </c>
      <c r="G46" s="165">
        <f t="shared" si="54"/>
        <v>47264.18</v>
      </c>
      <c r="H46" s="165">
        <f t="shared" si="54"/>
        <v>0</v>
      </c>
      <c r="I46" s="165">
        <f t="shared" si="54"/>
        <v>94528.36</v>
      </c>
      <c r="J46" s="12"/>
      <c r="K46" s="164">
        <f>+DATA!P31</f>
        <v>-4468227.9000000004</v>
      </c>
      <c r="L46" s="164">
        <f>+DATA!Q31</f>
        <v>0</v>
      </c>
      <c r="M46" s="164">
        <f t="shared" si="42"/>
        <v>-4468227.9000000004</v>
      </c>
      <c r="N46" s="164">
        <f>+DATA!R31</f>
        <v>0</v>
      </c>
      <c r="O46" s="164">
        <f>+DATA!S31</f>
        <v>-391350.45</v>
      </c>
      <c r="P46" s="164">
        <f>+DATA!T31</f>
        <v>-391350.45</v>
      </c>
      <c r="Q46" s="164">
        <f>+DATA!U31</f>
        <v>0</v>
      </c>
      <c r="R46" s="164">
        <f t="shared" si="43"/>
        <v>-782700.9</v>
      </c>
      <c r="T46" s="167">
        <f t="shared" si="34"/>
        <v>5103436.5</v>
      </c>
      <c r="U46" s="167">
        <f t="shared" si="35"/>
        <v>0</v>
      </c>
      <c r="V46" s="167">
        <f t="shared" si="36"/>
        <v>5103436.5</v>
      </c>
      <c r="W46" s="167">
        <f t="shared" si="37"/>
        <v>0</v>
      </c>
      <c r="X46" s="167">
        <f t="shared" si="38"/>
        <v>438614.63</v>
      </c>
      <c r="Y46" s="167">
        <f t="shared" si="39"/>
        <v>438614.63</v>
      </c>
      <c r="Z46" s="167">
        <f t="shared" si="40"/>
        <v>0</v>
      </c>
      <c r="AA46" s="168">
        <f t="shared" si="44"/>
        <v>877229.26</v>
      </c>
    </row>
    <row r="47" spans="1:28" ht="54" customHeight="1" x14ac:dyDescent="0.25">
      <c r="A47" s="196" t="str">
        <f>+A28</f>
        <v>L.Y. SALE ADDED/DEDUCTED IN 3B OF C.Y.</v>
      </c>
      <c r="B47" s="199">
        <f>+B28</f>
        <v>0</v>
      </c>
      <c r="C47" s="199">
        <f t="shared" ref="C47:I47" si="55">+C28</f>
        <v>0</v>
      </c>
      <c r="D47" s="199">
        <f t="shared" si="55"/>
        <v>0</v>
      </c>
      <c r="E47" s="199">
        <f t="shared" si="55"/>
        <v>0</v>
      </c>
      <c r="F47" s="199">
        <f t="shared" si="55"/>
        <v>0</v>
      </c>
      <c r="G47" s="199">
        <f t="shared" si="55"/>
        <v>0</v>
      </c>
      <c r="H47" s="199">
        <f t="shared" si="55"/>
        <v>0</v>
      </c>
      <c r="I47" s="199">
        <f t="shared" si="55"/>
        <v>0</v>
      </c>
      <c r="J47" s="12"/>
      <c r="K47" s="44"/>
      <c r="L47" s="44"/>
      <c r="M47" s="44"/>
      <c r="N47" s="44"/>
      <c r="O47" s="44"/>
      <c r="P47" s="44"/>
      <c r="Q47" s="44"/>
      <c r="R47" s="44"/>
      <c r="T47" s="202">
        <f t="shared" si="34"/>
        <v>0</v>
      </c>
      <c r="U47" s="202">
        <f t="shared" si="35"/>
        <v>0</v>
      </c>
      <c r="V47" s="202">
        <f t="shared" si="36"/>
        <v>0</v>
      </c>
      <c r="W47" s="202">
        <f t="shared" si="37"/>
        <v>0</v>
      </c>
      <c r="X47" s="202">
        <f t="shared" si="38"/>
        <v>0</v>
      </c>
      <c r="Y47" s="202">
        <f t="shared" si="39"/>
        <v>0</v>
      </c>
      <c r="Z47" s="202">
        <f t="shared" si="40"/>
        <v>0</v>
      </c>
      <c r="AA47" s="203">
        <f t="shared" si="44"/>
        <v>0</v>
      </c>
    </row>
    <row r="48" spans="1:28" x14ac:dyDescent="0.25">
      <c r="A48" s="13" t="s">
        <v>1</v>
      </c>
      <c r="B48" s="14">
        <f>SUM(B35:B46)</f>
        <v>65091789.779999994</v>
      </c>
      <c r="C48" s="14">
        <f>SUM(C35:C46)</f>
        <v>0</v>
      </c>
      <c r="D48" s="14">
        <f>SUM(D35:D46)</f>
        <v>65091789.779999994</v>
      </c>
      <c r="E48" s="14">
        <f t="shared" ref="E48:G48" si="56">SUM(E35:E46)</f>
        <v>775267</v>
      </c>
      <c r="F48" s="14">
        <f t="shared" si="56"/>
        <v>5042496.13</v>
      </c>
      <c r="G48" s="14">
        <f t="shared" si="56"/>
        <v>5042496.13</v>
      </c>
      <c r="H48" s="14">
        <f>SUM(H35:H46)</f>
        <v>0</v>
      </c>
      <c r="I48" s="14">
        <f t="shared" ref="I48" si="57">SUM(I35:I46)</f>
        <v>10860259.26</v>
      </c>
      <c r="J48" s="15"/>
      <c r="K48" s="14">
        <f t="shared" ref="K48:R48" si="58">SUM(K35:K46)</f>
        <v>58118288.599999994</v>
      </c>
      <c r="L48" s="14">
        <f t="shared" si="58"/>
        <v>0</v>
      </c>
      <c r="M48" s="14">
        <f t="shared" si="58"/>
        <v>58118288.599999994</v>
      </c>
      <c r="N48" s="14">
        <f t="shared" si="58"/>
        <v>775264.42</v>
      </c>
      <c r="O48" s="14">
        <f t="shared" si="58"/>
        <v>4472824.5999999996</v>
      </c>
      <c r="P48" s="14">
        <f t="shared" si="58"/>
        <v>4472824.5999999996</v>
      </c>
      <c r="Q48" s="14">
        <f t="shared" si="58"/>
        <v>0</v>
      </c>
      <c r="R48" s="14">
        <f t="shared" si="58"/>
        <v>9720913.6199999992</v>
      </c>
      <c r="T48" s="14">
        <f>SUM(T35:T47)</f>
        <v>6973501.1799999997</v>
      </c>
      <c r="U48" s="14">
        <f t="shared" ref="U48:AA48" si="59">SUM(U35:U47)</f>
        <v>0</v>
      </c>
      <c r="V48" s="14">
        <f t="shared" si="59"/>
        <v>6973501.1799999997</v>
      </c>
      <c r="W48" s="14">
        <f t="shared" si="59"/>
        <v>2.5799999999999272</v>
      </c>
      <c r="X48" s="14">
        <f t="shared" si="59"/>
        <v>569671.53000000026</v>
      </c>
      <c r="Y48" s="14">
        <f t="shared" si="59"/>
        <v>569671.53000000026</v>
      </c>
      <c r="Z48" s="14">
        <f t="shared" si="59"/>
        <v>0</v>
      </c>
      <c r="AA48" s="14">
        <f t="shared" si="59"/>
        <v>1139345.6400000004</v>
      </c>
      <c r="AB48" s="1">
        <f>+W48+X48+Y48+Z48-AA48</f>
        <v>0</v>
      </c>
    </row>
    <row r="49" spans="1:27" x14ac:dyDescent="0.25">
      <c r="D49" s="1">
        <f>+B48+C48-D48</f>
        <v>0</v>
      </c>
      <c r="I49" s="1">
        <f>+I48-G48-F48-E48</f>
        <v>0</v>
      </c>
      <c r="M49" s="1">
        <f>+K48+L48-M48</f>
        <v>0</v>
      </c>
      <c r="R49" s="1">
        <f>+R48-P48-O48-N48</f>
        <v>0</v>
      </c>
      <c r="T49" s="38" t="str">
        <f>IF(T48&gt;0,"(3B MORE)","(3B LESS)")</f>
        <v>(3B MORE)</v>
      </c>
      <c r="U49" s="38" t="str">
        <f t="shared" ref="U49:AA49" si="60">IF(U48&gt;0,"(3B MORE)","(3B LESS)")</f>
        <v>(3B LESS)</v>
      </c>
      <c r="V49" s="38" t="str">
        <f t="shared" si="60"/>
        <v>(3B MORE)</v>
      </c>
      <c r="W49" s="38" t="str">
        <f t="shared" si="60"/>
        <v>(3B MORE)</v>
      </c>
      <c r="X49" s="38" t="str">
        <f t="shared" si="60"/>
        <v>(3B MORE)</v>
      </c>
      <c r="Y49" s="38" t="str">
        <f t="shared" si="60"/>
        <v>(3B MORE)</v>
      </c>
      <c r="Z49" s="38" t="str">
        <f t="shared" si="60"/>
        <v>(3B LESS)</v>
      </c>
      <c r="AA49" s="38" t="str">
        <f t="shared" si="60"/>
        <v>(3B MORE)</v>
      </c>
    </row>
    <row r="50" spans="1:27" x14ac:dyDescent="0.25">
      <c r="W50" s="4"/>
    </row>
    <row r="51" spans="1:27" x14ac:dyDescent="0.25">
      <c r="A51" s="309" t="str">
        <f>+DATA!A35</f>
        <v>INPUT TAX CREDIT (OTHER THAN RCM)</v>
      </c>
      <c r="B51" s="309"/>
      <c r="C51" s="309"/>
      <c r="D51" s="309"/>
      <c r="E51" s="309"/>
      <c r="F51" s="309"/>
      <c r="G51" s="309"/>
      <c r="H51" s="309"/>
      <c r="I51" s="309"/>
      <c r="W51" s="4"/>
    </row>
    <row r="52" spans="1:27" x14ac:dyDescent="0.25">
      <c r="A52" s="299" t="str">
        <f>+DATA!A36</f>
        <v>AS PER GSTR 3B</v>
      </c>
      <c r="B52" s="300"/>
      <c r="C52" s="300"/>
      <c r="D52" s="300"/>
      <c r="E52" s="300"/>
      <c r="F52" s="300"/>
      <c r="G52" s="300"/>
      <c r="H52" s="300"/>
      <c r="I52" s="301"/>
      <c r="K52" s="299" t="str">
        <f>+DATA!I36</f>
        <v>AS PER BOOKS</v>
      </c>
      <c r="L52" s="300"/>
      <c r="M52" s="300"/>
      <c r="N52" s="300"/>
      <c r="O52" s="300"/>
      <c r="P52" s="300"/>
      <c r="Q52" s="300"/>
      <c r="R52" s="300"/>
      <c r="T52" s="299" t="s">
        <v>97</v>
      </c>
      <c r="U52" s="300"/>
      <c r="V52" s="300"/>
      <c r="W52" s="300"/>
      <c r="X52" s="300"/>
      <c r="Y52" s="300"/>
      <c r="Z52" s="300"/>
      <c r="AA52" s="300"/>
    </row>
    <row r="53" spans="1:27" x14ac:dyDescent="0.25">
      <c r="A53" s="45" t="str">
        <f>+DATA!A37</f>
        <v>MONTH</v>
      </c>
      <c r="B53" s="113"/>
      <c r="C53" s="302"/>
      <c r="D53" s="302"/>
      <c r="E53" s="45" t="str">
        <f>+DATA!D37</f>
        <v>IGST</v>
      </c>
      <c r="F53" s="46" t="str">
        <f>+DATA!E37</f>
        <v>CGST</v>
      </c>
      <c r="G53" s="46" t="str">
        <f>+DATA!F37</f>
        <v>SGST</v>
      </c>
      <c r="H53" s="46" t="str">
        <f>+DATA!G37</f>
        <v>CESS</v>
      </c>
      <c r="I53" s="45" t="s">
        <v>2</v>
      </c>
      <c r="J53" s="28"/>
      <c r="K53" s="106"/>
      <c r="L53" s="107"/>
      <c r="M53" s="107"/>
      <c r="N53" s="45" t="str">
        <f>+DATA!K37</f>
        <v>IGST</v>
      </c>
      <c r="O53" s="46" t="str">
        <f>+DATA!L37</f>
        <v>CGST</v>
      </c>
      <c r="P53" s="46" t="str">
        <f>+DATA!M37</f>
        <v>SGST</v>
      </c>
      <c r="Q53" s="46" t="str">
        <f>+DATA!N37</f>
        <v>CESS</v>
      </c>
      <c r="R53" s="45" t="s">
        <v>2</v>
      </c>
      <c r="S53" s="28"/>
      <c r="T53" s="106"/>
      <c r="U53" s="107"/>
      <c r="V53" s="107"/>
      <c r="W53" s="45" t="str">
        <f>+N53</f>
        <v>IGST</v>
      </c>
      <c r="X53" s="46" t="str">
        <f t="shared" ref="X53:AA53" si="61">+O53</f>
        <v>CGST</v>
      </c>
      <c r="Y53" s="46" t="str">
        <f t="shared" si="61"/>
        <v>SGST</v>
      </c>
      <c r="Z53" s="46" t="str">
        <f t="shared" si="61"/>
        <v>CESS</v>
      </c>
      <c r="AA53" s="46" t="str">
        <f t="shared" si="61"/>
        <v>TOTAL</v>
      </c>
    </row>
    <row r="54" spans="1:27" x14ac:dyDescent="0.25">
      <c r="A54" s="183" t="str">
        <f>+DATA!A38</f>
        <v>APRIL</v>
      </c>
      <c r="B54" s="44"/>
      <c r="C54" s="44"/>
      <c r="D54" s="44"/>
      <c r="E54" s="166">
        <f>+DATA!D38</f>
        <v>277187</v>
      </c>
      <c r="F54" s="166">
        <f>+DATA!E38</f>
        <v>58</v>
      </c>
      <c r="G54" s="166">
        <f>+DATA!F38</f>
        <v>58</v>
      </c>
      <c r="H54" s="166">
        <f>+DATA!G38</f>
        <v>0</v>
      </c>
      <c r="I54" s="166">
        <f>SUM(E54:H54)</f>
        <v>277303</v>
      </c>
      <c r="K54" s="39"/>
      <c r="L54" s="41"/>
      <c r="M54" s="41"/>
      <c r="N54" s="172">
        <f>+DATA!K38</f>
        <v>277187</v>
      </c>
      <c r="O54" s="172">
        <f>+DATA!L38</f>
        <v>57.5</v>
      </c>
      <c r="P54" s="172">
        <f>+DATA!M38</f>
        <v>57.5</v>
      </c>
      <c r="Q54" s="172">
        <f>+DATA!N38</f>
        <v>0</v>
      </c>
      <c r="R54" s="172">
        <f>SUM(N54:Q54)</f>
        <v>277302</v>
      </c>
      <c r="T54" s="43"/>
      <c r="U54" s="44"/>
      <c r="V54" s="44"/>
      <c r="W54" s="165">
        <f t="shared" ref="W54:W65" si="62">+E54-N54</f>
        <v>0</v>
      </c>
      <c r="X54" s="165">
        <f t="shared" ref="X54:X65" si="63">+F54-O54</f>
        <v>0.5</v>
      </c>
      <c r="Y54" s="165">
        <f t="shared" ref="Y54:Y65" si="64">+G54-P54</f>
        <v>0.5</v>
      </c>
      <c r="Z54" s="165">
        <f t="shared" ref="Z54:Z65" si="65">+H54-Q54</f>
        <v>0</v>
      </c>
      <c r="AA54" s="165">
        <f t="shared" ref="AA54:AA65" si="66">+I54-R54</f>
        <v>1</v>
      </c>
    </row>
    <row r="55" spans="1:27" x14ac:dyDescent="0.25">
      <c r="A55" s="183" t="str">
        <f>+DATA!A39</f>
        <v>MAY</v>
      </c>
      <c r="B55" s="44"/>
      <c r="C55" s="44"/>
      <c r="D55" s="44"/>
      <c r="E55" s="166">
        <f>+DATA!D39</f>
        <v>2721189</v>
      </c>
      <c r="F55" s="166">
        <f>+DATA!E39</f>
        <v>39</v>
      </c>
      <c r="G55" s="166">
        <f>+DATA!F39</f>
        <v>39</v>
      </c>
      <c r="H55" s="166">
        <f>+DATA!G39</f>
        <v>0</v>
      </c>
      <c r="I55" s="166">
        <f t="shared" ref="I55:I65" si="67">SUM(E55:H55)</f>
        <v>2721267</v>
      </c>
      <c r="K55" s="39"/>
      <c r="L55" s="41"/>
      <c r="M55" s="41"/>
      <c r="N55" s="172">
        <f>+DATA!K39</f>
        <v>2721189</v>
      </c>
      <c r="O55" s="172">
        <f>+DATA!L39</f>
        <v>39.07</v>
      </c>
      <c r="P55" s="172">
        <f>+DATA!M39</f>
        <v>39.07</v>
      </c>
      <c r="Q55" s="172">
        <f>+DATA!N39</f>
        <v>0</v>
      </c>
      <c r="R55" s="172">
        <f t="shared" ref="R55:R66" si="68">SUM(N55:Q55)</f>
        <v>2721267.1399999997</v>
      </c>
      <c r="T55" s="43"/>
      <c r="U55" s="44"/>
      <c r="V55" s="44"/>
      <c r="W55" s="165">
        <f t="shared" si="62"/>
        <v>0</v>
      </c>
      <c r="X55" s="165">
        <f t="shared" si="63"/>
        <v>-7.0000000000000284E-2</v>
      </c>
      <c r="Y55" s="165">
        <f t="shared" si="64"/>
        <v>-7.0000000000000284E-2</v>
      </c>
      <c r="Z55" s="165">
        <f t="shared" si="65"/>
        <v>0</v>
      </c>
      <c r="AA55" s="165">
        <f t="shared" si="66"/>
        <v>-0.13999999966472387</v>
      </c>
    </row>
    <row r="56" spans="1:27" x14ac:dyDescent="0.25">
      <c r="A56" s="183" t="str">
        <f>+DATA!A40</f>
        <v>JUNE</v>
      </c>
      <c r="B56" s="44"/>
      <c r="C56" s="44"/>
      <c r="D56" s="44"/>
      <c r="E56" s="166">
        <f>+DATA!D40</f>
        <v>3548071</v>
      </c>
      <c r="F56" s="166">
        <f>+DATA!E40</f>
        <v>0</v>
      </c>
      <c r="G56" s="166">
        <f>+DATA!F40</f>
        <v>0</v>
      </c>
      <c r="H56" s="166">
        <f>+DATA!G40</f>
        <v>0</v>
      </c>
      <c r="I56" s="166">
        <f t="shared" si="67"/>
        <v>3548071</v>
      </c>
      <c r="K56" s="39"/>
      <c r="L56" s="41"/>
      <c r="M56" s="41"/>
      <c r="N56" s="172">
        <f>+DATA!K40</f>
        <v>3548071</v>
      </c>
      <c r="O56" s="172">
        <f>+DATA!L40</f>
        <v>0</v>
      </c>
      <c r="P56" s="172">
        <f>+DATA!M40</f>
        <v>0</v>
      </c>
      <c r="Q56" s="172">
        <f>+DATA!N40</f>
        <v>0</v>
      </c>
      <c r="R56" s="172">
        <f t="shared" si="68"/>
        <v>3548071</v>
      </c>
      <c r="T56" s="43"/>
      <c r="U56" s="44"/>
      <c r="V56" s="44"/>
      <c r="W56" s="165">
        <f t="shared" si="62"/>
        <v>0</v>
      </c>
      <c r="X56" s="165">
        <f t="shared" si="63"/>
        <v>0</v>
      </c>
      <c r="Y56" s="165">
        <f t="shared" si="64"/>
        <v>0</v>
      </c>
      <c r="Z56" s="165">
        <f t="shared" si="65"/>
        <v>0</v>
      </c>
      <c r="AA56" s="165">
        <f t="shared" si="66"/>
        <v>0</v>
      </c>
    </row>
    <row r="57" spans="1:27" x14ac:dyDescent="0.25">
      <c r="A57" s="183" t="str">
        <f>+DATA!A41</f>
        <v>JULY</v>
      </c>
      <c r="B57" s="44"/>
      <c r="C57" s="44"/>
      <c r="D57" s="44"/>
      <c r="E57" s="166">
        <f>+DATA!D41</f>
        <v>1107993</v>
      </c>
      <c r="F57" s="166">
        <f>+DATA!E41</f>
        <v>1810</v>
      </c>
      <c r="G57" s="166">
        <f>+DATA!F41</f>
        <v>1810</v>
      </c>
      <c r="H57" s="166">
        <f>+DATA!G41</f>
        <v>0</v>
      </c>
      <c r="I57" s="166">
        <f t="shared" si="67"/>
        <v>1111613</v>
      </c>
      <c r="K57" s="39"/>
      <c r="L57" s="41"/>
      <c r="M57" s="41"/>
      <c r="N57" s="172">
        <f>+DATA!K41</f>
        <v>1107993</v>
      </c>
      <c r="O57" s="172">
        <f>+DATA!L41</f>
        <v>1810.25</v>
      </c>
      <c r="P57" s="172">
        <f>+DATA!M41</f>
        <v>1810.25</v>
      </c>
      <c r="Q57" s="172">
        <f>+DATA!N41</f>
        <v>0</v>
      </c>
      <c r="R57" s="172">
        <f t="shared" si="68"/>
        <v>1111613.5</v>
      </c>
      <c r="T57" s="43"/>
      <c r="U57" s="44"/>
      <c r="V57" s="44"/>
      <c r="W57" s="165">
        <f t="shared" si="62"/>
        <v>0</v>
      </c>
      <c r="X57" s="165">
        <f t="shared" si="63"/>
        <v>-0.25</v>
      </c>
      <c r="Y57" s="165">
        <f t="shared" si="64"/>
        <v>-0.25</v>
      </c>
      <c r="Z57" s="165">
        <f t="shared" si="65"/>
        <v>0</v>
      </c>
      <c r="AA57" s="165">
        <f t="shared" si="66"/>
        <v>-0.5</v>
      </c>
    </row>
    <row r="58" spans="1:27" x14ac:dyDescent="0.25">
      <c r="A58" s="183" t="str">
        <f>+DATA!A42</f>
        <v>AUG</v>
      </c>
      <c r="B58" s="44"/>
      <c r="C58" s="44"/>
      <c r="D58" s="44"/>
      <c r="E58" s="166">
        <f>+DATA!D42</f>
        <v>314664</v>
      </c>
      <c r="F58" s="166">
        <f>+DATA!E42</f>
        <v>129214.27</v>
      </c>
      <c r="G58" s="166">
        <f>+DATA!F42</f>
        <v>129214.27</v>
      </c>
      <c r="H58" s="166">
        <f>+DATA!G42</f>
        <v>0</v>
      </c>
      <c r="I58" s="166">
        <f t="shared" si="67"/>
        <v>573092.54</v>
      </c>
      <c r="K58" s="39"/>
      <c r="L58" s="41"/>
      <c r="M58" s="41"/>
      <c r="N58" s="172">
        <f>+DATA!K42</f>
        <v>314664</v>
      </c>
      <c r="O58" s="172">
        <f>+DATA!L42</f>
        <v>129214.37</v>
      </c>
      <c r="P58" s="172">
        <f>+DATA!M42</f>
        <v>129214.37</v>
      </c>
      <c r="Q58" s="172">
        <f>+DATA!N42</f>
        <v>0</v>
      </c>
      <c r="R58" s="172">
        <f t="shared" si="68"/>
        <v>573092.74</v>
      </c>
      <c r="T58" s="43"/>
      <c r="U58" s="44"/>
      <c r="V58" s="44"/>
      <c r="W58" s="165">
        <f t="shared" si="62"/>
        <v>0</v>
      </c>
      <c r="X58" s="165">
        <f t="shared" si="63"/>
        <v>-9.9999999991268851E-2</v>
      </c>
      <c r="Y58" s="165">
        <f t="shared" si="64"/>
        <v>-9.9999999991268851E-2</v>
      </c>
      <c r="Z58" s="165">
        <f t="shared" si="65"/>
        <v>0</v>
      </c>
      <c r="AA58" s="165">
        <f t="shared" si="66"/>
        <v>-0.19999999995343387</v>
      </c>
    </row>
    <row r="59" spans="1:27" x14ac:dyDescent="0.25">
      <c r="A59" s="183" t="str">
        <f>+DATA!A43</f>
        <v>SEP</v>
      </c>
      <c r="B59" s="44"/>
      <c r="C59" s="44"/>
      <c r="D59" s="44"/>
      <c r="E59" s="166">
        <f>+DATA!D43</f>
        <v>746175</v>
      </c>
      <c r="F59" s="166">
        <f>+DATA!E43</f>
        <v>22975</v>
      </c>
      <c r="G59" s="166">
        <f>+DATA!F43</f>
        <v>22975</v>
      </c>
      <c r="H59" s="166">
        <f>+DATA!G43</f>
        <v>0</v>
      </c>
      <c r="I59" s="166">
        <f t="shared" si="67"/>
        <v>792125</v>
      </c>
      <c r="K59" s="39"/>
      <c r="L59" s="41"/>
      <c r="M59" s="41"/>
      <c r="N59" s="172">
        <f>+DATA!K43</f>
        <v>746175</v>
      </c>
      <c r="O59" s="172">
        <f>+DATA!L43</f>
        <v>22975.32</v>
      </c>
      <c r="P59" s="172">
        <f>+DATA!M43</f>
        <v>22975.32</v>
      </c>
      <c r="Q59" s="172">
        <f>+DATA!N43</f>
        <v>0</v>
      </c>
      <c r="R59" s="172">
        <f t="shared" si="68"/>
        <v>792125.6399999999</v>
      </c>
      <c r="T59" s="43"/>
      <c r="U59" s="44"/>
      <c r="V59" s="44"/>
      <c r="W59" s="165">
        <f t="shared" si="62"/>
        <v>0</v>
      </c>
      <c r="X59" s="165">
        <f t="shared" si="63"/>
        <v>-0.31999999999970896</v>
      </c>
      <c r="Y59" s="165">
        <f t="shared" si="64"/>
        <v>-0.31999999999970896</v>
      </c>
      <c r="Z59" s="165">
        <f t="shared" si="65"/>
        <v>0</v>
      </c>
      <c r="AA59" s="165">
        <f t="shared" si="66"/>
        <v>-0.63999999989755452</v>
      </c>
    </row>
    <row r="60" spans="1:27" x14ac:dyDescent="0.25">
      <c r="A60" s="183" t="str">
        <f>+DATA!A44</f>
        <v>OCT</v>
      </c>
      <c r="B60" s="44"/>
      <c r="C60" s="44"/>
      <c r="D60" s="44"/>
      <c r="E60" s="166">
        <f>+DATA!D44</f>
        <v>372592</v>
      </c>
      <c r="F60" s="166">
        <f>+DATA!E44</f>
        <v>27.35</v>
      </c>
      <c r="G60" s="166">
        <f>+DATA!F44</f>
        <v>27.35</v>
      </c>
      <c r="H60" s="166">
        <f>+DATA!G44</f>
        <v>0</v>
      </c>
      <c r="I60" s="166">
        <f t="shared" si="67"/>
        <v>372646.69999999995</v>
      </c>
      <c r="K60" s="39"/>
      <c r="L60" s="41"/>
      <c r="M60" s="41"/>
      <c r="N60" s="172">
        <f>+DATA!K44</f>
        <v>372592</v>
      </c>
      <c r="O60" s="172">
        <f>+DATA!L44</f>
        <v>27.35</v>
      </c>
      <c r="P60" s="172">
        <f>+DATA!M44</f>
        <v>27.35</v>
      </c>
      <c r="Q60" s="172">
        <f>+DATA!N44</f>
        <v>0</v>
      </c>
      <c r="R60" s="172">
        <f t="shared" si="68"/>
        <v>372646.69999999995</v>
      </c>
      <c r="T60" s="43"/>
      <c r="U60" s="44"/>
      <c r="V60" s="44"/>
      <c r="W60" s="165">
        <f t="shared" si="62"/>
        <v>0</v>
      </c>
      <c r="X60" s="165">
        <f t="shared" si="63"/>
        <v>0</v>
      </c>
      <c r="Y60" s="165">
        <f t="shared" si="64"/>
        <v>0</v>
      </c>
      <c r="Z60" s="165">
        <f t="shared" si="65"/>
        <v>0</v>
      </c>
      <c r="AA60" s="165">
        <f t="shared" si="66"/>
        <v>0</v>
      </c>
    </row>
    <row r="61" spans="1:27" x14ac:dyDescent="0.25">
      <c r="A61" s="183" t="str">
        <f>+DATA!A45</f>
        <v>NOV</v>
      </c>
      <c r="B61" s="44"/>
      <c r="C61" s="44"/>
      <c r="D61" s="44"/>
      <c r="E61" s="166">
        <f>+DATA!D45</f>
        <v>0</v>
      </c>
      <c r="F61" s="166">
        <f>+DATA!E45</f>
        <v>72.150000000000006</v>
      </c>
      <c r="G61" s="166">
        <f>+DATA!F45</f>
        <v>72.150000000000006</v>
      </c>
      <c r="H61" s="166">
        <f>+DATA!G45</f>
        <v>0</v>
      </c>
      <c r="I61" s="166">
        <f t="shared" si="67"/>
        <v>144.30000000000001</v>
      </c>
      <c r="K61" s="39"/>
      <c r="L61" s="41"/>
      <c r="M61" s="41"/>
      <c r="N61" s="172">
        <f>+DATA!K45</f>
        <v>0</v>
      </c>
      <c r="O61" s="172">
        <f>+DATA!L45</f>
        <v>72.150000000000006</v>
      </c>
      <c r="P61" s="172">
        <f>+DATA!M45</f>
        <v>72.150000000000006</v>
      </c>
      <c r="Q61" s="172">
        <f>+DATA!N45</f>
        <v>0</v>
      </c>
      <c r="R61" s="172">
        <f t="shared" si="68"/>
        <v>144.30000000000001</v>
      </c>
      <c r="T61" s="43"/>
      <c r="U61" s="44"/>
      <c r="V61" s="44"/>
      <c r="W61" s="165">
        <f t="shared" si="62"/>
        <v>0</v>
      </c>
      <c r="X61" s="165">
        <f t="shared" si="63"/>
        <v>0</v>
      </c>
      <c r="Y61" s="165">
        <f t="shared" si="64"/>
        <v>0</v>
      </c>
      <c r="Z61" s="165">
        <f t="shared" si="65"/>
        <v>0</v>
      </c>
      <c r="AA61" s="165">
        <f t="shared" si="66"/>
        <v>0</v>
      </c>
    </row>
    <row r="62" spans="1:27" x14ac:dyDescent="0.25">
      <c r="A62" s="183" t="str">
        <f>+DATA!A46</f>
        <v>DEC</v>
      </c>
      <c r="B62" s="44"/>
      <c r="C62" s="44"/>
      <c r="D62" s="44"/>
      <c r="E62" s="166">
        <f>+DATA!D46</f>
        <v>26302</v>
      </c>
      <c r="F62" s="166">
        <f>+DATA!E46</f>
        <v>0</v>
      </c>
      <c r="G62" s="166">
        <f>+DATA!F46</f>
        <v>0</v>
      </c>
      <c r="H62" s="166">
        <f>+DATA!G46</f>
        <v>0</v>
      </c>
      <c r="I62" s="166">
        <f t="shared" si="67"/>
        <v>26302</v>
      </c>
      <c r="K62" s="39"/>
      <c r="L62" s="41"/>
      <c r="M62" s="41"/>
      <c r="N62" s="172">
        <f>+DATA!K46</f>
        <v>26302</v>
      </c>
      <c r="O62" s="172">
        <f>+DATA!L46</f>
        <v>0</v>
      </c>
      <c r="P62" s="172">
        <f>+DATA!M46</f>
        <v>0</v>
      </c>
      <c r="Q62" s="172">
        <f>+DATA!N46</f>
        <v>0</v>
      </c>
      <c r="R62" s="172">
        <f t="shared" si="68"/>
        <v>26302</v>
      </c>
      <c r="T62" s="43"/>
      <c r="U62" s="44"/>
      <c r="V62" s="44"/>
      <c r="W62" s="165">
        <f t="shared" si="62"/>
        <v>0</v>
      </c>
      <c r="X62" s="165">
        <f t="shared" si="63"/>
        <v>0</v>
      </c>
      <c r="Y62" s="165">
        <f t="shared" si="64"/>
        <v>0</v>
      </c>
      <c r="Z62" s="165">
        <f t="shared" si="65"/>
        <v>0</v>
      </c>
      <c r="AA62" s="165">
        <f t="shared" si="66"/>
        <v>0</v>
      </c>
    </row>
    <row r="63" spans="1:27" x14ac:dyDescent="0.25">
      <c r="A63" s="183" t="str">
        <f>+DATA!A47</f>
        <v>JAN</v>
      </c>
      <c r="B63" s="44"/>
      <c r="C63" s="44"/>
      <c r="D63" s="44"/>
      <c r="E63" s="166">
        <f>+DATA!D47</f>
        <v>9259.64</v>
      </c>
      <c r="F63" s="166">
        <f>+DATA!E47</f>
        <v>0</v>
      </c>
      <c r="G63" s="166">
        <f>+DATA!F47</f>
        <v>0</v>
      </c>
      <c r="H63" s="166">
        <f>+DATA!G47</f>
        <v>0</v>
      </c>
      <c r="I63" s="166">
        <f t="shared" si="67"/>
        <v>9259.64</v>
      </c>
      <c r="K63" s="39"/>
      <c r="L63" s="41"/>
      <c r="M63" s="41"/>
      <c r="N63" s="172">
        <f>+DATA!K47</f>
        <v>9259.64</v>
      </c>
      <c r="O63" s="172">
        <f>+DATA!L47</f>
        <v>0</v>
      </c>
      <c r="P63" s="172">
        <f>+DATA!M47</f>
        <v>0</v>
      </c>
      <c r="Q63" s="172">
        <f>+DATA!N47</f>
        <v>0</v>
      </c>
      <c r="R63" s="172">
        <f t="shared" si="68"/>
        <v>9259.64</v>
      </c>
      <c r="T63" s="43"/>
      <c r="U63" s="44"/>
      <c r="V63" s="44"/>
      <c r="W63" s="165">
        <f t="shared" si="62"/>
        <v>0</v>
      </c>
      <c r="X63" s="165">
        <f t="shared" si="63"/>
        <v>0</v>
      </c>
      <c r="Y63" s="165">
        <f t="shared" si="64"/>
        <v>0</v>
      </c>
      <c r="Z63" s="165">
        <f t="shared" si="65"/>
        <v>0</v>
      </c>
      <c r="AA63" s="165">
        <f t="shared" si="66"/>
        <v>0</v>
      </c>
    </row>
    <row r="64" spans="1:27" x14ac:dyDescent="0.25">
      <c r="A64" s="183" t="str">
        <f>+DATA!A48</f>
        <v>FEB</v>
      </c>
      <c r="B64" s="44"/>
      <c r="C64" s="44"/>
      <c r="D64" s="44"/>
      <c r="E64" s="166">
        <f>+DATA!D48</f>
        <v>81930.179999999993</v>
      </c>
      <c r="F64" s="166">
        <f>+DATA!E48</f>
        <v>318.94</v>
      </c>
      <c r="G64" s="166">
        <f>+DATA!F48</f>
        <v>318.94</v>
      </c>
      <c r="H64" s="166">
        <f>+DATA!G48</f>
        <v>0</v>
      </c>
      <c r="I64" s="166">
        <f t="shared" si="67"/>
        <v>82568.06</v>
      </c>
      <c r="K64" s="39"/>
      <c r="L64" s="41"/>
      <c r="M64" s="41"/>
      <c r="N64" s="172">
        <f>+DATA!K48</f>
        <v>81930.179999999993</v>
      </c>
      <c r="O64" s="172">
        <f>+DATA!L48</f>
        <v>318.94</v>
      </c>
      <c r="P64" s="172">
        <f>+DATA!M48</f>
        <v>318.94</v>
      </c>
      <c r="Q64" s="172">
        <f>+DATA!N48</f>
        <v>0</v>
      </c>
      <c r="R64" s="172">
        <f t="shared" si="68"/>
        <v>82568.06</v>
      </c>
      <c r="T64" s="43"/>
      <c r="U64" s="44"/>
      <c r="V64" s="44"/>
      <c r="W64" s="165">
        <f t="shared" si="62"/>
        <v>0</v>
      </c>
      <c r="X64" s="165">
        <f t="shared" si="63"/>
        <v>0</v>
      </c>
      <c r="Y64" s="165">
        <f t="shared" si="64"/>
        <v>0</v>
      </c>
      <c r="Z64" s="165">
        <f t="shared" si="65"/>
        <v>0</v>
      </c>
      <c r="AA64" s="165">
        <f t="shared" si="66"/>
        <v>0</v>
      </c>
    </row>
    <row r="65" spans="1:28" x14ac:dyDescent="0.25">
      <c r="A65" s="183" t="str">
        <f>+DATA!A49</f>
        <v>MARCH</v>
      </c>
      <c r="B65" s="44"/>
      <c r="C65" s="44"/>
      <c r="D65" s="44"/>
      <c r="E65" s="166">
        <f>+DATA!D49</f>
        <v>0</v>
      </c>
      <c r="F65" s="166">
        <f>+DATA!E49</f>
        <v>438787.24</v>
      </c>
      <c r="G65" s="166">
        <f>+DATA!F49</f>
        <v>438787.24</v>
      </c>
      <c r="H65" s="166">
        <f>+DATA!G49</f>
        <v>0</v>
      </c>
      <c r="I65" s="166">
        <f t="shared" si="67"/>
        <v>877574.48</v>
      </c>
      <c r="K65" s="39"/>
      <c r="L65" s="41"/>
      <c r="M65" s="41"/>
      <c r="N65" s="172">
        <f>+DATA!K49</f>
        <v>0</v>
      </c>
      <c r="O65" s="172">
        <f>+DATA!L49</f>
        <v>438787.24</v>
      </c>
      <c r="P65" s="172">
        <f>+DATA!M49</f>
        <v>438787.24</v>
      </c>
      <c r="Q65" s="172">
        <f>+DATA!N49</f>
        <v>0</v>
      </c>
      <c r="R65" s="172">
        <f t="shared" si="68"/>
        <v>877574.48</v>
      </c>
      <c r="T65" s="43"/>
      <c r="U65" s="44"/>
      <c r="V65" s="44"/>
      <c r="W65" s="165">
        <f t="shared" si="62"/>
        <v>0</v>
      </c>
      <c r="X65" s="165">
        <f t="shared" si="63"/>
        <v>0</v>
      </c>
      <c r="Y65" s="165">
        <f t="shared" si="64"/>
        <v>0</v>
      </c>
      <c r="Z65" s="165">
        <f t="shared" si="65"/>
        <v>0</v>
      </c>
      <c r="AA65" s="165">
        <f t="shared" si="66"/>
        <v>0</v>
      </c>
    </row>
    <row r="66" spans="1:28" ht="57" customHeight="1" x14ac:dyDescent="0.25">
      <c r="A66" s="196" t="str">
        <f>+DATA!A50</f>
        <v>L.Y. ITC ADDED/DEDUCTED IN C.Y.</v>
      </c>
      <c r="B66" s="204"/>
      <c r="C66" s="204"/>
      <c r="D66" s="204"/>
      <c r="E66" s="205">
        <f>+DATA!D50</f>
        <v>0</v>
      </c>
      <c r="F66" s="205">
        <f>+DATA!E50</f>
        <v>0</v>
      </c>
      <c r="G66" s="205">
        <f>+DATA!F50</f>
        <v>0</v>
      </c>
      <c r="H66" s="205">
        <f>+DATA!G50</f>
        <v>0</v>
      </c>
      <c r="I66" s="205">
        <f t="shared" ref="I66" si="69">SUM(E66:H66)</f>
        <v>0</v>
      </c>
      <c r="J66" s="12"/>
      <c r="K66" s="44"/>
      <c r="L66" s="44"/>
      <c r="M66" s="44"/>
      <c r="N66" s="207">
        <f>+DATA!K50</f>
        <v>0</v>
      </c>
      <c r="O66" s="207">
        <f>+DATA!L50</f>
        <v>0</v>
      </c>
      <c r="P66" s="207">
        <f>+DATA!M50</f>
        <v>0</v>
      </c>
      <c r="Q66" s="207">
        <f>+DATA!N50</f>
        <v>0</v>
      </c>
      <c r="R66" s="207">
        <f t="shared" si="68"/>
        <v>0</v>
      </c>
      <c r="T66" s="206"/>
      <c r="U66" s="206"/>
      <c r="V66" s="206"/>
      <c r="W66" s="200">
        <f t="shared" ref="W66" si="70">+E66-N66</f>
        <v>0</v>
      </c>
      <c r="X66" s="200">
        <f t="shared" ref="X66" si="71">+F66-O66</f>
        <v>0</v>
      </c>
      <c r="Y66" s="200">
        <f t="shared" ref="Y66" si="72">+G66-P66</f>
        <v>0</v>
      </c>
      <c r="Z66" s="200">
        <f t="shared" ref="Z66" si="73">+H66-Q66</f>
        <v>0</v>
      </c>
      <c r="AA66" s="200">
        <f t="shared" ref="AA66" si="74">+I66-R66</f>
        <v>0</v>
      </c>
    </row>
    <row r="67" spans="1:28" x14ac:dyDescent="0.25">
      <c r="A67" s="13" t="s">
        <v>1</v>
      </c>
      <c r="B67" s="14"/>
      <c r="C67" s="14"/>
      <c r="D67" s="14"/>
      <c r="E67" s="14">
        <f>SUM(E54:E66)</f>
        <v>9205362.8200000003</v>
      </c>
      <c r="F67" s="14">
        <f t="shared" ref="F67:I67" si="75">SUM(F54:F66)</f>
        <v>593301.94999999995</v>
      </c>
      <c r="G67" s="14">
        <f t="shared" si="75"/>
        <v>593301.94999999995</v>
      </c>
      <c r="H67" s="14">
        <f t="shared" si="75"/>
        <v>0</v>
      </c>
      <c r="I67" s="14">
        <f t="shared" si="75"/>
        <v>10391966.720000001</v>
      </c>
      <c r="K67" s="39"/>
      <c r="L67" s="42"/>
      <c r="M67" s="42"/>
      <c r="N67" s="14">
        <f>SUM(N54:N66)</f>
        <v>9205362.8200000003</v>
      </c>
      <c r="O67" s="14">
        <f t="shared" ref="O67:R67" si="76">SUM(O54:O66)</f>
        <v>593302.18999999994</v>
      </c>
      <c r="P67" s="14">
        <f t="shared" si="76"/>
        <v>593302.18999999994</v>
      </c>
      <c r="Q67" s="14">
        <f t="shared" si="76"/>
        <v>0</v>
      </c>
      <c r="R67" s="14">
        <f t="shared" si="76"/>
        <v>10391967.200000001</v>
      </c>
      <c r="T67" s="39"/>
      <c r="U67" s="42"/>
      <c r="V67" s="42"/>
      <c r="W67" s="14">
        <f>SUM(W54:W66)</f>
        <v>0</v>
      </c>
      <c r="X67" s="14">
        <f t="shared" ref="X67:AA67" si="77">SUM(X54:X66)</f>
        <v>-0.2399999999909781</v>
      </c>
      <c r="Y67" s="14">
        <f t="shared" si="77"/>
        <v>-0.2399999999909781</v>
      </c>
      <c r="Z67" s="14">
        <f t="shared" si="77"/>
        <v>0</v>
      </c>
      <c r="AA67" s="14">
        <f t="shared" si="77"/>
        <v>-0.47999999951571226</v>
      </c>
      <c r="AB67" s="1">
        <f>+W67+X67+Y67+Z67-AA67</f>
        <v>-4.6624393235106254E-10</v>
      </c>
    </row>
    <row r="68" spans="1:28" s="118" customFormat="1" x14ac:dyDescent="0.25">
      <c r="A68" s="120"/>
      <c r="B68" s="117"/>
      <c r="C68" s="117"/>
      <c r="D68" s="1"/>
      <c r="E68" s="117"/>
      <c r="F68" s="117"/>
      <c r="G68" s="117"/>
      <c r="H68" s="117"/>
      <c r="I68" s="1">
        <f>+I67-G67-F67-E67</f>
        <v>0</v>
      </c>
      <c r="K68" s="119"/>
      <c r="L68" s="117"/>
      <c r="M68" s="117"/>
      <c r="N68" s="117"/>
      <c r="O68" s="117"/>
      <c r="P68" s="117"/>
      <c r="Q68" s="117"/>
      <c r="R68" s="1">
        <f>+R67-P67-O67-N67</f>
        <v>0</v>
      </c>
      <c r="T68" s="119"/>
      <c r="U68" s="117"/>
      <c r="V68" s="117"/>
      <c r="W68" s="117"/>
      <c r="X68" s="117"/>
      <c r="Y68" s="117"/>
      <c r="Z68" s="117"/>
      <c r="AA68" s="117"/>
    </row>
    <row r="69" spans="1:28" x14ac:dyDescent="0.25">
      <c r="T69" s="38" t="str">
        <f>IF(T67&gt;0,"(3B MORE)","(3B LESS)")</f>
        <v>(3B LESS)</v>
      </c>
      <c r="U69" s="38" t="str">
        <f t="shared" ref="U69" si="78">IF(U67&gt;0,"(3B MORE)","(3B LESS)")</f>
        <v>(3B LESS)</v>
      </c>
      <c r="V69" s="38"/>
      <c r="W69" s="38" t="str">
        <f t="shared" ref="W69" si="79">IF(W67&gt;0,"(3B MORE)","(3B LESS)")</f>
        <v>(3B LESS)</v>
      </c>
      <c r="X69" s="38" t="str">
        <f t="shared" ref="X69" si="80">IF(X67&gt;0,"(3B MORE)","(3B LESS)")</f>
        <v>(3B LESS)</v>
      </c>
      <c r="Y69" s="38" t="str">
        <f t="shared" ref="Y69" si="81">IF(Y67&gt;0,"(3B MORE)","(3B LESS)")</f>
        <v>(3B LESS)</v>
      </c>
      <c r="Z69" s="38" t="str">
        <f t="shared" ref="Z69" si="82">IF(Z67&gt;0,"(3B MORE)","(3B LESS)")</f>
        <v>(3B LESS)</v>
      </c>
      <c r="AA69" s="38" t="str">
        <f t="shared" ref="AA69" si="83">IF(AA67&gt;0,"(3B MORE)","(3B LESS)")</f>
        <v>(3B LESS)</v>
      </c>
    </row>
    <row r="70" spans="1:28" x14ac:dyDescent="0.25">
      <c r="A70" s="298" t="str">
        <f>+DATA!A73</f>
        <v>CHALLANS PAID (INCLUDING RCM BUT AS PER BOOKS EXCLUDING CHALLANS PAID FOR LIABILITY OF LAST YEAR)</v>
      </c>
      <c r="B70" s="298"/>
      <c r="C70" s="298"/>
      <c r="D70" s="298"/>
      <c r="E70" s="298"/>
      <c r="F70" s="298"/>
      <c r="G70" s="298"/>
      <c r="H70" s="298"/>
      <c r="I70" s="298"/>
      <c r="W70" s="4"/>
    </row>
    <row r="71" spans="1:28" x14ac:dyDescent="0.25">
      <c r="A71" s="299" t="str">
        <f>+DATA!A74</f>
        <v>AS PER GSTR 3B</v>
      </c>
      <c r="B71" s="300"/>
      <c r="C71" s="300"/>
      <c r="D71" s="300"/>
      <c r="E71" s="300"/>
      <c r="F71" s="300"/>
      <c r="G71" s="300"/>
      <c r="H71" s="300"/>
      <c r="I71" s="301"/>
      <c r="K71" s="299" t="str">
        <f>+DATA!I74</f>
        <v>AS PER BOOKS</v>
      </c>
      <c r="L71" s="300"/>
      <c r="M71" s="300"/>
      <c r="N71" s="300"/>
      <c r="O71" s="300"/>
      <c r="P71" s="300"/>
      <c r="Q71" s="300"/>
      <c r="R71" s="300"/>
      <c r="T71" s="299" t="s">
        <v>97</v>
      </c>
      <c r="U71" s="300"/>
      <c r="V71" s="300"/>
      <c r="W71" s="300"/>
      <c r="X71" s="300"/>
      <c r="Y71" s="300"/>
      <c r="Z71" s="300"/>
      <c r="AA71" s="300"/>
    </row>
    <row r="72" spans="1:28" x14ac:dyDescent="0.25">
      <c r="A72" s="45" t="str">
        <f>+DATA!A75</f>
        <v>MONTH</v>
      </c>
      <c r="B72" s="107"/>
      <c r="C72" s="302"/>
      <c r="D72" s="302"/>
      <c r="E72" s="45" t="str">
        <f>+DATA!D75</f>
        <v>IGST</v>
      </c>
      <c r="F72" s="46" t="str">
        <f>+DATA!E75</f>
        <v>CGST</v>
      </c>
      <c r="G72" s="46" t="str">
        <f>+DATA!F75</f>
        <v>SGST</v>
      </c>
      <c r="H72" s="46" t="str">
        <f>+DATA!G75</f>
        <v>CESS</v>
      </c>
      <c r="I72" s="45" t="s">
        <v>2</v>
      </c>
      <c r="J72" s="28"/>
      <c r="K72" s="106"/>
      <c r="L72" s="107"/>
      <c r="M72" s="107"/>
      <c r="N72" s="46" t="str">
        <f>+DATA!K75</f>
        <v>IGST</v>
      </c>
      <c r="O72" s="46" t="str">
        <f>+DATA!L75</f>
        <v>CGST</v>
      </c>
      <c r="P72" s="46" t="str">
        <f>+DATA!M75</f>
        <v>SGST</v>
      </c>
      <c r="Q72" s="46" t="str">
        <f>+DATA!N75</f>
        <v>CESS</v>
      </c>
      <c r="R72" s="46" t="s">
        <v>2</v>
      </c>
      <c r="S72" s="28"/>
      <c r="T72" s="106"/>
      <c r="U72" s="107"/>
      <c r="V72" s="107"/>
      <c r="W72" s="45" t="s">
        <v>25</v>
      </c>
      <c r="X72" s="45" t="s">
        <v>26</v>
      </c>
      <c r="Y72" s="45" t="s">
        <v>27</v>
      </c>
      <c r="Z72" s="45" t="s">
        <v>95</v>
      </c>
      <c r="AA72" s="45" t="s">
        <v>2</v>
      </c>
    </row>
    <row r="73" spans="1:28" x14ac:dyDescent="0.25">
      <c r="A73" s="40" t="str">
        <f>+DATA!A76</f>
        <v>APRIL</v>
      </c>
      <c r="B73" s="41"/>
      <c r="C73" s="41"/>
      <c r="D73" s="41"/>
      <c r="E73" s="169">
        <f>+DATA!D76</f>
        <v>0</v>
      </c>
      <c r="F73" s="169">
        <f>+DATA!E76</f>
        <v>376</v>
      </c>
      <c r="G73" s="169">
        <f>+DATA!F76</f>
        <v>58257</v>
      </c>
      <c r="H73" s="169">
        <f>+DATA!G76</f>
        <v>0</v>
      </c>
      <c r="I73" s="169">
        <f>SUM(E73:H73)</f>
        <v>58633</v>
      </c>
      <c r="K73" s="39"/>
      <c r="L73" s="41"/>
      <c r="M73" s="41"/>
      <c r="N73" s="170">
        <f>+DATA!K76</f>
        <v>34012</v>
      </c>
      <c r="O73" s="170">
        <f>+DATA!L76</f>
        <v>39526</v>
      </c>
      <c r="P73" s="170">
        <f>+DATA!M76</f>
        <v>39526</v>
      </c>
      <c r="Q73" s="170">
        <f>+DATA!N76</f>
        <v>0</v>
      </c>
      <c r="R73" s="170">
        <f>SUM(N73:Q73)</f>
        <v>113064</v>
      </c>
      <c r="T73" s="43"/>
      <c r="U73" s="44"/>
      <c r="V73" s="44"/>
      <c r="W73" s="171">
        <f>+E73-N73</f>
        <v>-34012</v>
      </c>
      <c r="X73" s="171">
        <f>+F73-O73</f>
        <v>-39150</v>
      </c>
      <c r="Y73" s="171">
        <f>+G73-P73</f>
        <v>18731</v>
      </c>
      <c r="Z73" s="171">
        <f>+H73-Q73</f>
        <v>0</v>
      </c>
      <c r="AA73" s="171">
        <f>+I73-R73</f>
        <v>-54431</v>
      </c>
    </row>
    <row r="74" spans="1:28" x14ac:dyDescent="0.25">
      <c r="A74" s="40" t="str">
        <f>+DATA!A77</f>
        <v>MAY</v>
      </c>
      <c r="B74" s="41"/>
      <c r="C74" s="41"/>
      <c r="D74" s="41"/>
      <c r="E74" s="169">
        <f>+DATA!D77</f>
        <v>0</v>
      </c>
      <c r="F74" s="169">
        <f>+DATA!E77</f>
        <v>1913</v>
      </c>
      <c r="G74" s="169">
        <f>+DATA!F77</f>
        <v>1913</v>
      </c>
      <c r="H74" s="169">
        <f>+DATA!G77</f>
        <v>0</v>
      </c>
      <c r="I74" s="169">
        <f t="shared" ref="I74:I84" si="84">SUM(E74:H74)</f>
        <v>3826</v>
      </c>
      <c r="K74" s="39"/>
      <c r="L74" s="41"/>
      <c r="M74" s="41"/>
      <c r="N74" s="170">
        <f>+DATA!K77</f>
        <v>0</v>
      </c>
      <c r="O74" s="170">
        <f>+DATA!L77</f>
        <v>376</v>
      </c>
      <c r="P74" s="170">
        <f>+DATA!M77</f>
        <v>58257</v>
      </c>
      <c r="Q74" s="170">
        <f>+DATA!N77</f>
        <v>0</v>
      </c>
      <c r="R74" s="170">
        <f t="shared" ref="R74:R84" si="85">SUM(N74:Q74)</f>
        <v>58633</v>
      </c>
      <c r="T74" s="43"/>
      <c r="U74" s="44"/>
      <c r="V74" s="44"/>
      <c r="W74" s="171">
        <f t="shared" ref="W74:W84" si="86">+E74-N74</f>
        <v>0</v>
      </c>
      <c r="X74" s="171">
        <f t="shared" ref="X74:X84" si="87">+F74-O74</f>
        <v>1537</v>
      </c>
      <c r="Y74" s="171">
        <f t="shared" ref="Y74:Y84" si="88">+G74-P74</f>
        <v>-56344</v>
      </c>
      <c r="Z74" s="171">
        <f t="shared" ref="Z74:Z84" si="89">+H74-Q74</f>
        <v>0</v>
      </c>
      <c r="AA74" s="171">
        <f t="shared" ref="AA74:AA84" si="90">+I74-R74</f>
        <v>-54807</v>
      </c>
    </row>
    <row r="75" spans="1:28" x14ac:dyDescent="0.25">
      <c r="A75" s="40" t="str">
        <f>+DATA!A78</f>
        <v>JUNE</v>
      </c>
      <c r="B75" s="41"/>
      <c r="C75" s="41"/>
      <c r="D75" s="41"/>
      <c r="E75" s="169">
        <f>+DATA!D78</f>
        <v>0</v>
      </c>
      <c r="F75" s="169">
        <f>+DATA!E78</f>
        <v>2378</v>
      </c>
      <c r="G75" s="169">
        <f>+DATA!F78</f>
        <v>330176</v>
      </c>
      <c r="H75" s="169">
        <f>+DATA!G78</f>
        <v>0</v>
      </c>
      <c r="I75" s="169">
        <f t="shared" si="84"/>
        <v>332554</v>
      </c>
      <c r="K75" s="39"/>
      <c r="L75" s="41"/>
      <c r="M75" s="41"/>
      <c r="N75" s="170">
        <f>+DATA!K78</f>
        <v>0</v>
      </c>
      <c r="O75" s="170">
        <f>+DATA!L78</f>
        <v>1913</v>
      </c>
      <c r="P75" s="170">
        <f>+DATA!M78</f>
        <v>1913</v>
      </c>
      <c r="Q75" s="170">
        <f>+DATA!N78</f>
        <v>0</v>
      </c>
      <c r="R75" s="170">
        <f t="shared" si="85"/>
        <v>3826</v>
      </c>
      <c r="T75" s="43"/>
      <c r="U75" s="44"/>
      <c r="V75" s="44"/>
      <c r="W75" s="171">
        <f t="shared" si="86"/>
        <v>0</v>
      </c>
      <c r="X75" s="171">
        <f t="shared" si="87"/>
        <v>465</v>
      </c>
      <c r="Y75" s="171">
        <f t="shared" si="88"/>
        <v>328263</v>
      </c>
      <c r="Z75" s="171">
        <f t="shared" si="89"/>
        <v>0</v>
      </c>
      <c r="AA75" s="171">
        <f t="shared" si="90"/>
        <v>328728</v>
      </c>
    </row>
    <row r="76" spans="1:28" x14ac:dyDescent="0.25">
      <c r="A76" s="40" t="str">
        <f>+DATA!A79</f>
        <v>JULY</v>
      </c>
      <c r="B76" s="41"/>
      <c r="C76" s="41"/>
      <c r="D76" s="41"/>
      <c r="E76" s="169">
        <f>+DATA!D79</f>
        <v>0</v>
      </c>
      <c r="F76" s="169">
        <f>+DATA!E79</f>
        <v>979</v>
      </c>
      <c r="G76" s="169">
        <f>+DATA!F79</f>
        <v>979</v>
      </c>
      <c r="H76" s="169">
        <f>+DATA!G79</f>
        <v>0</v>
      </c>
      <c r="I76" s="169">
        <f t="shared" si="84"/>
        <v>1958</v>
      </c>
      <c r="K76" s="39"/>
      <c r="L76" s="41"/>
      <c r="M76" s="41"/>
      <c r="N76" s="170">
        <f>+DATA!K79</f>
        <v>0</v>
      </c>
      <c r="O76" s="170">
        <f>+DATA!L79</f>
        <v>2378</v>
      </c>
      <c r="P76" s="170">
        <f>+DATA!M79</f>
        <v>330176</v>
      </c>
      <c r="Q76" s="170">
        <f>+DATA!N79</f>
        <v>0</v>
      </c>
      <c r="R76" s="170">
        <f t="shared" si="85"/>
        <v>332554</v>
      </c>
      <c r="T76" s="43"/>
      <c r="U76" s="44"/>
      <c r="V76" s="44"/>
      <c r="W76" s="171">
        <f t="shared" si="86"/>
        <v>0</v>
      </c>
      <c r="X76" s="171">
        <f t="shared" si="87"/>
        <v>-1399</v>
      </c>
      <c r="Y76" s="171">
        <f t="shared" si="88"/>
        <v>-329197</v>
      </c>
      <c r="Z76" s="171">
        <f t="shared" si="89"/>
        <v>0</v>
      </c>
      <c r="AA76" s="171">
        <f t="shared" si="90"/>
        <v>-330596</v>
      </c>
    </row>
    <row r="77" spans="1:28" x14ac:dyDescent="0.25">
      <c r="A77" s="40" t="str">
        <f>+DATA!A80</f>
        <v>AUG</v>
      </c>
      <c r="B77" s="41"/>
      <c r="C77" s="41"/>
      <c r="D77" s="41"/>
      <c r="E77" s="169">
        <f>+DATA!D80</f>
        <v>0</v>
      </c>
      <c r="F77" s="169">
        <f>+DATA!E80</f>
        <v>554</v>
      </c>
      <c r="G77" s="169">
        <f>+DATA!F80</f>
        <v>554</v>
      </c>
      <c r="H77" s="169">
        <f>+DATA!G80</f>
        <v>0</v>
      </c>
      <c r="I77" s="169">
        <f t="shared" si="84"/>
        <v>1108</v>
      </c>
      <c r="K77" s="39"/>
      <c r="L77" s="41"/>
      <c r="M77" s="41"/>
      <c r="N77" s="170">
        <f>+DATA!K80</f>
        <v>0</v>
      </c>
      <c r="O77" s="170">
        <f>+DATA!L80</f>
        <v>979</v>
      </c>
      <c r="P77" s="170">
        <f>+DATA!M80</f>
        <v>979</v>
      </c>
      <c r="Q77" s="170">
        <f>+DATA!N80</f>
        <v>0</v>
      </c>
      <c r="R77" s="170">
        <f t="shared" si="85"/>
        <v>1958</v>
      </c>
      <c r="T77" s="43"/>
      <c r="U77" s="44"/>
      <c r="V77" s="44"/>
      <c r="W77" s="171">
        <f t="shared" si="86"/>
        <v>0</v>
      </c>
      <c r="X77" s="171">
        <f t="shared" si="87"/>
        <v>-425</v>
      </c>
      <c r="Y77" s="171">
        <f t="shared" si="88"/>
        <v>-425</v>
      </c>
      <c r="Z77" s="171">
        <f t="shared" si="89"/>
        <v>0</v>
      </c>
      <c r="AA77" s="171">
        <f t="shared" si="90"/>
        <v>-850</v>
      </c>
    </row>
    <row r="78" spans="1:28" x14ac:dyDescent="0.25">
      <c r="A78" s="40" t="str">
        <f>+DATA!A81</f>
        <v>SEP</v>
      </c>
      <c r="B78" s="41"/>
      <c r="C78" s="41"/>
      <c r="D78" s="41"/>
      <c r="E78" s="169">
        <f>+DATA!D81</f>
        <v>0</v>
      </c>
      <c r="F78" s="169">
        <f>+DATA!E81</f>
        <v>772</v>
      </c>
      <c r="G78" s="169">
        <f>+DATA!F81</f>
        <v>522286</v>
      </c>
      <c r="H78" s="169">
        <f>+DATA!G81</f>
        <v>0</v>
      </c>
      <c r="I78" s="169">
        <f t="shared" si="84"/>
        <v>523058</v>
      </c>
      <c r="K78" s="39"/>
      <c r="L78" s="41"/>
      <c r="M78" s="41"/>
      <c r="N78" s="170">
        <f>+DATA!K81</f>
        <v>0</v>
      </c>
      <c r="O78" s="170">
        <f>+DATA!L81</f>
        <v>554</v>
      </c>
      <c r="P78" s="170">
        <f>+DATA!M81</f>
        <v>554</v>
      </c>
      <c r="Q78" s="170">
        <f>+DATA!N81</f>
        <v>0</v>
      </c>
      <c r="R78" s="170">
        <f t="shared" si="85"/>
        <v>1108</v>
      </c>
      <c r="T78" s="43"/>
      <c r="U78" s="44"/>
      <c r="V78" s="44"/>
      <c r="W78" s="171">
        <f t="shared" si="86"/>
        <v>0</v>
      </c>
      <c r="X78" s="171">
        <f t="shared" si="87"/>
        <v>218</v>
      </c>
      <c r="Y78" s="171">
        <f t="shared" si="88"/>
        <v>521732</v>
      </c>
      <c r="Z78" s="171">
        <f t="shared" si="89"/>
        <v>0</v>
      </c>
      <c r="AA78" s="171">
        <f t="shared" si="90"/>
        <v>521950</v>
      </c>
    </row>
    <row r="79" spans="1:28" x14ac:dyDescent="0.25">
      <c r="A79" s="40" t="str">
        <f>+DATA!A82</f>
        <v>OCT</v>
      </c>
      <c r="B79" s="41"/>
      <c r="C79" s="41"/>
      <c r="D79" s="41"/>
      <c r="E79" s="169">
        <f>+DATA!D82</f>
        <v>0</v>
      </c>
      <c r="F79" s="169">
        <f>+DATA!E82</f>
        <v>462</v>
      </c>
      <c r="G79" s="169">
        <f>+DATA!F82</f>
        <v>462</v>
      </c>
      <c r="H79" s="169">
        <f>+DATA!G82</f>
        <v>0</v>
      </c>
      <c r="I79" s="169">
        <f t="shared" si="84"/>
        <v>924</v>
      </c>
      <c r="K79" s="39"/>
      <c r="L79" s="41"/>
      <c r="M79" s="41"/>
      <c r="N79" s="170">
        <f>+DATA!K82</f>
        <v>0</v>
      </c>
      <c r="O79" s="170">
        <f>+DATA!L82</f>
        <v>0</v>
      </c>
      <c r="P79" s="170">
        <f>+DATA!M82</f>
        <v>0</v>
      </c>
      <c r="Q79" s="170">
        <f>+DATA!N82</f>
        <v>0</v>
      </c>
      <c r="R79" s="170">
        <f t="shared" si="85"/>
        <v>0</v>
      </c>
      <c r="T79" s="43"/>
      <c r="U79" s="44"/>
      <c r="V79" s="44"/>
      <c r="W79" s="171">
        <f t="shared" si="86"/>
        <v>0</v>
      </c>
      <c r="X79" s="171">
        <f t="shared" si="87"/>
        <v>462</v>
      </c>
      <c r="Y79" s="171">
        <f t="shared" si="88"/>
        <v>462</v>
      </c>
      <c r="Z79" s="171">
        <f t="shared" si="89"/>
        <v>0</v>
      </c>
      <c r="AA79" s="171">
        <f t="shared" si="90"/>
        <v>924</v>
      </c>
    </row>
    <row r="80" spans="1:28" x14ac:dyDescent="0.25">
      <c r="A80" s="40" t="str">
        <f>+DATA!A83</f>
        <v>NOV</v>
      </c>
      <c r="B80" s="41"/>
      <c r="C80" s="41"/>
      <c r="D80" s="41"/>
      <c r="E80" s="169">
        <f>+DATA!D83</f>
        <v>0</v>
      </c>
      <c r="F80" s="169">
        <f>+DATA!E83</f>
        <v>175</v>
      </c>
      <c r="G80" s="169">
        <f>+DATA!F83</f>
        <v>175</v>
      </c>
      <c r="H80" s="169">
        <f>+DATA!G83</f>
        <v>0</v>
      </c>
      <c r="I80" s="169">
        <f t="shared" si="84"/>
        <v>350</v>
      </c>
      <c r="K80" s="39"/>
      <c r="L80" s="41"/>
      <c r="M80" s="41"/>
      <c r="N80" s="170">
        <f>+DATA!K83</f>
        <v>0</v>
      </c>
      <c r="O80" s="170">
        <f>+DATA!L83</f>
        <v>1234</v>
      </c>
      <c r="P80" s="170">
        <f>+DATA!M83</f>
        <v>522748</v>
      </c>
      <c r="Q80" s="170">
        <f>+DATA!N83</f>
        <v>0</v>
      </c>
      <c r="R80" s="170">
        <f t="shared" si="85"/>
        <v>523982</v>
      </c>
      <c r="T80" s="43"/>
      <c r="U80" s="44"/>
      <c r="V80" s="44"/>
      <c r="W80" s="171">
        <f t="shared" si="86"/>
        <v>0</v>
      </c>
      <c r="X80" s="171">
        <f t="shared" si="87"/>
        <v>-1059</v>
      </c>
      <c r="Y80" s="171">
        <f t="shared" si="88"/>
        <v>-522573</v>
      </c>
      <c r="Z80" s="171">
        <f t="shared" si="89"/>
        <v>0</v>
      </c>
      <c r="AA80" s="171">
        <f t="shared" si="90"/>
        <v>-523632</v>
      </c>
    </row>
    <row r="81" spans="1:28" x14ac:dyDescent="0.25">
      <c r="A81" s="40" t="str">
        <f>+DATA!A84</f>
        <v>DEC</v>
      </c>
      <c r="B81" s="41"/>
      <c r="C81" s="41"/>
      <c r="D81" s="41"/>
      <c r="E81" s="169">
        <f>+DATA!D84</f>
        <v>37068</v>
      </c>
      <c r="F81" s="169">
        <f>+DATA!E84</f>
        <v>28345</v>
      </c>
      <c r="G81" s="169">
        <f>+DATA!F84</f>
        <v>28345</v>
      </c>
      <c r="H81" s="169">
        <f>+DATA!G84</f>
        <v>0</v>
      </c>
      <c r="I81" s="169">
        <f t="shared" si="84"/>
        <v>93758</v>
      </c>
      <c r="K81" s="39"/>
      <c r="L81" s="41"/>
      <c r="M81" s="41"/>
      <c r="N81" s="170">
        <f>+DATA!K84</f>
        <v>0</v>
      </c>
      <c r="O81" s="170">
        <f>+DATA!L84</f>
        <v>175</v>
      </c>
      <c r="P81" s="170">
        <f>+DATA!M84</f>
        <v>175</v>
      </c>
      <c r="Q81" s="170">
        <f>+DATA!N84</f>
        <v>0</v>
      </c>
      <c r="R81" s="170">
        <f t="shared" si="85"/>
        <v>350</v>
      </c>
      <c r="T81" s="43"/>
      <c r="U81" s="44"/>
      <c r="V81" s="44"/>
      <c r="W81" s="171">
        <f t="shared" si="86"/>
        <v>37068</v>
      </c>
      <c r="X81" s="171">
        <f t="shared" si="87"/>
        <v>28170</v>
      </c>
      <c r="Y81" s="171">
        <f t="shared" si="88"/>
        <v>28170</v>
      </c>
      <c r="Z81" s="171">
        <f t="shared" si="89"/>
        <v>0</v>
      </c>
      <c r="AA81" s="171">
        <f t="shared" si="90"/>
        <v>93408</v>
      </c>
    </row>
    <row r="82" spans="1:28" x14ac:dyDescent="0.25">
      <c r="A82" s="40" t="str">
        <f>+DATA!A85</f>
        <v>JAN</v>
      </c>
      <c r="B82" s="41"/>
      <c r="C82" s="41"/>
      <c r="D82" s="41"/>
      <c r="E82" s="169">
        <f>+DATA!D85</f>
        <v>47048</v>
      </c>
      <c r="F82" s="169">
        <f>+DATA!E85</f>
        <v>14714</v>
      </c>
      <c r="G82" s="169">
        <f>+DATA!F85</f>
        <v>14714</v>
      </c>
      <c r="H82" s="169">
        <f>+DATA!G85</f>
        <v>0</v>
      </c>
      <c r="I82" s="169">
        <f t="shared" si="84"/>
        <v>76476</v>
      </c>
      <c r="K82" s="39"/>
      <c r="L82" s="41"/>
      <c r="M82" s="41"/>
      <c r="N82" s="170">
        <f>+DATA!K85</f>
        <v>37068</v>
      </c>
      <c r="O82" s="170">
        <f>+DATA!L85</f>
        <v>28345</v>
      </c>
      <c r="P82" s="170">
        <f>+DATA!M85</f>
        <v>28345</v>
      </c>
      <c r="Q82" s="170">
        <f>+DATA!N85</f>
        <v>0</v>
      </c>
      <c r="R82" s="170">
        <f t="shared" si="85"/>
        <v>93758</v>
      </c>
      <c r="T82" s="43"/>
      <c r="U82" s="44"/>
      <c r="V82" s="44"/>
      <c r="W82" s="171">
        <f t="shared" si="86"/>
        <v>9980</v>
      </c>
      <c r="X82" s="171">
        <f t="shared" si="87"/>
        <v>-13631</v>
      </c>
      <c r="Y82" s="171">
        <f t="shared" si="88"/>
        <v>-13631</v>
      </c>
      <c r="Z82" s="171">
        <f t="shared" si="89"/>
        <v>0</v>
      </c>
      <c r="AA82" s="171">
        <f t="shared" si="90"/>
        <v>-17282</v>
      </c>
    </row>
    <row r="83" spans="1:28" x14ac:dyDescent="0.25">
      <c r="A83" s="40" t="str">
        <f>+DATA!A86</f>
        <v>FEB</v>
      </c>
      <c r="B83" s="41"/>
      <c r="C83" s="41"/>
      <c r="D83" s="41"/>
      <c r="E83" s="169">
        <f>+DATA!D86</f>
        <v>42713</v>
      </c>
      <c r="F83" s="169">
        <f>+DATA!E86</f>
        <v>58131</v>
      </c>
      <c r="G83" s="169">
        <f>+DATA!F86</f>
        <v>58131</v>
      </c>
      <c r="H83" s="169">
        <f>+DATA!G86</f>
        <v>0</v>
      </c>
      <c r="I83" s="169">
        <f t="shared" si="84"/>
        <v>158975</v>
      </c>
      <c r="K83" s="39"/>
      <c r="L83" s="41"/>
      <c r="M83" s="41"/>
      <c r="N83" s="170">
        <f>+DATA!K86</f>
        <v>47048</v>
      </c>
      <c r="O83" s="170">
        <f>+DATA!L86</f>
        <v>14714</v>
      </c>
      <c r="P83" s="170">
        <f>+DATA!M86</f>
        <v>14714</v>
      </c>
      <c r="Q83" s="170">
        <f>+DATA!N86</f>
        <v>0</v>
      </c>
      <c r="R83" s="170">
        <f t="shared" si="85"/>
        <v>76476</v>
      </c>
      <c r="T83" s="43"/>
      <c r="U83" s="44"/>
      <c r="V83" s="44"/>
      <c r="W83" s="171">
        <f t="shared" si="86"/>
        <v>-4335</v>
      </c>
      <c r="X83" s="171">
        <f t="shared" si="87"/>
        <v>43417</v>
      </c>
      <c r="Y83" s="171">
        <f t="shared" si="88"/>
        <v>43417</v>
      </c>
      <c r="Z83" s="171">
        <f t="shared" si="89"/>
        <v>0</v>
      </c>
      <c r="AA83" s="171">
        <f t="shared" si="90"/>
        <v>82499</v>
      </c>
    </row>
    <row r="84" spans="1:28" x14ac:dyDescent="0.25">
      <c r="A84" s="40" t="str">
        <f>+DATA!A87</f>
        <v>MARCH</v>
      </c>
      <c r="B84" s="41"/>
      <c r="C84" s="41"/>
      <c r="D84" s="41"/>
      <c r="E84" s="169">
        <f>+DATA!D87</f>
        <v>0</v>
      </c>
      <c r="F84" s="169">
        <f>+DATA!E87</f>
        <v>161</v>
      </c>
      <c r="G84" s="169">
        <f>+DATA!F87</f>
        <v>161</v>
      </c>
      <c r="H84" s="169">
        <f>+DATA!G87</f>
        <v>0</v>
      </c>
      <c r="I84" s="169">
        <f t="shared" si="84"/>
        <v>322</v>
      </c>
      <c r="K84" s="39"/>
      <c r="L84" s="41"/>
      <c r="M84" s="41"/>
      <c r="N84" s="170">
        <f>+DATA!K87</f>
        <v>42713</v>
      </c>
      <c r="O84" s="170">
        <f>+DATA!L87</f>
        <v>58131</v>
      </c>
      <c r="P84" s="170">
        <f>+DATA!M87</f>
        <v>58131</v>
      </c>
      <c r="Q84" s="170">
        <f>+DATA!N87</f>
        <v>0</v>
      </c>
      <c r="R84" s="170">
        <f t="shared" si="85"/>
        <v>158975</v>
      </c>
      <c r="T84" s="43"/>
      <c r="U84" s="44"/>
      <c r="V84" s="44"/>
      <c r="W84" s="171">
        <f t="shared" si="86"/>
        <v>-42713</v>
      </c>
      <c r="X84" s="171">
        <f t="shared" si="87"/>
        <v>-57970</v>
      </c>
      <c r="Y84" s="171">
        <f t="shared" si="88"/>
        <v>-57970</v>
      </c>
      <c r="Z84" s="171">
        <f t="shared" si="89"/>
        <v>0</v>
      </c>
      <c r="AA84" s="171">
        <f t="shared" si="90"/>
        <v>-158653</v>
      </c>
    </row>
    <row r="85" spans="1:28" x14ac:dyDescent="0.25">
      <c r="A85" s="13" t="s">
        <v>1</v>
      </c>
      <c r="B85" s="14"/>
      <c r="C85" s="14"/>
      <c r="D85" s="14"/>
      <c r="E85" s="14">
        <f>SUM(E73:E84)</f>
        <v>126829</v>
      </c>
      <c r="F85" s="14">
        <f>SUM(F73:F84)</f>
        <v>108960</v>
      </c>
      <c r="G85" s="14">
        <f>SUM(G73:G84)</f>
        <v>1016153</v>
      </c>
      <c r="H85" s="14">
        <f>SUM(H73:H84)</f>
        <v>0</v>
      </c>
      <c r="I85" s="14">
        <f>SUM(I73:I84)</f>
        <v>1251942</v>
      </c>
      <c r="K85" s="39"/>
      <c r="L85" s="42"/>
      <c r="M85" s="42"/>
      <c r="N85" s="14">
        <f>SUM(N73:N84)</f>
        <v>160841</v>
      </c>
      <c r="O85" s="14">
        <f>SUM(O73:O84)</f>
        <v>148325</v>
      </c>
      <c r="P85" s="14">
        <f>SUM(P73:P84)</f>
        <v>1055518</v>
      </c>
      <c r="Q85" s="14">
        <f>SUM(Q73:Q84)</f>
        <v>0</v>
      </c>
      <c r="R85" s="14">
        <f>SUM(R73:R84)</f>
        <v>1364684</v>
      </c>
      <c r="T85" s="39"/>
      <c r="U85" s="42"/>
      <c r="V85" s="42"/>
      <c r="W85" s="14">
        <f>SUM(W73:W84)</f>
        <v>-34012</v>
      </c>
      <c r="X85" s="14">
        <f>SUM(X73:X84)</f>
        <v>-39365</v>
      </c>
      <c r="Y85" s="14">
        <f>SUM(Y73:Y84)</f>
        <v>-39365</v>
      </c>
      <c r="Z85" s="14">
        <f>SUM(Z73:Z84)</f>
        <v>0</v>
      </c>
      <c r="AA85" s="14">
        <f>SUM(AA73:AA84)</f>
        <v>-112742</v>
      </c>
      <c r="AB85" s="1">
        <f>+W85+X85+Y85+Z85-AA85</f>
        <v>0</v>
      </c>
    </row>
    <row r="86" spans="1:28" x14ac:dyDescent="0.25">
      <c r="I86" s="1">
        <f>+I85-G85-F85-E85</f>
        <v>0</v>
      </c>
      <c r="R86" s="1">
        <f>+R85-P85-O85-N85</f>
        <v>0</v>
      </c>
      <c r="T86" s="38" t="str">
        <f>IF(T85&gt;0,"(3B MORE)","(3B LESS)")</f>
        <v>(3B LESS)</v>
      </c>
      <c r="U86" s="38" t="str">
        <f t="shared" ref="U86" si="91">IF(U85&gt;0,"(3B MORE)","(3B LESS)")</f>
        <v>(3B LESS)</v>
      </c>
      <c r="V86" s="38"/>
      <c r="W86" s="38" t="str">
        <f t="shared" ref="W86" si="92">IF(W85&gt;0,"(3B MORE)","(3B LESS)")</f>
        <v>(3B LESS)</v>
      </c>
      <c r="X86" s="38" t="str">
        <f t="shared" ref="X86" si="93">IF(X85&gt;0,"(3B MORE)","(3B LESS)")</f>
        <v>(3B LESS)</v>
      </c>
      <c r="Y86" s="38" t="str">
        <f t="shared" ref="Y86" si="94">IF(Y85&gt;0,"(3B MORE)","(3B LESS)")</f>
        <v>(3B LESS)</v>
      </c>
      <c r="Z86" s="38" t="str">
        <f t="shared" ref="Z86" si="95">IF(Z85&gt;0,"(3B MORE)","(3B LESS)")</f>
        <v>(3B LESS)</v>
      </c>
      <c r="AA86" s="38" t="str">
        <f t="shared" ref="AA86" si="96">IF(AA85&gt;0,"(3B MORE)","(3B LESS)")</f>
        <v>(3B LESS)</v>
      </c>
    </row>
    <row r="87" spans="1:28" x14ac:dyDescent="0.25">
      <c r="A87" s="312" t="s">
        <v>99</v>
      </c>
      <c r="B87" s="313"/>
      <c r="C87" s="313"/>
      <c r="D87" s="313"/>
      <c r="E87" s="313"/>
      <c r="F87" s="313"/>
      <c r="G87" s="313"/>
      <c r="H87" s="313"/>
      <c r="I87" s="314"/>
      <c r="T87" s="16"/>
      <c r="U87" s="16"/>
      <c r="V87" s="16"/>
      <c r="W87" s="16"/>
      <c r="X87" s="16"/>
      <c r="Y87" s="16"/>
      <c r="Z87" s="16"/>
    </row>
    <row r="88" spans="1:28" x14ac:dyDescent="0.25">
      <c r="A88" s="17"/>
      <c r="I88" s="48" t="s">
        <v>5</v>
      </c>
      <c r="T88" s="16"/>
      <c r="U88" s="16"/>
      <c r="V88" s="16"/>
      <c r="W88" s="16"/>
      <c r="X88" s="16"/>
      <c r="Y88" s="16"/>
      <c r="Z88" s="16"/>
    </row>
    <row r="89" spans="1:28" x14ac:dyDescent="0.25">
      <c r="A89" s="18" t="s">
        <v>67</v>
      </c>
      <c r="B89" s="19"/>
      <c r="C89" s="19"/>
      <c r="D89" s="19"/>
      <c r="E89" s="19"/>
      <c r="F89" s="19"/>
      <c r="G89" s="19"/>
      <c r="H89" s="19"/>
      <c r="I89" s="173">
        <f>+I109</f>
        <v>-2002434.0134999994</v>
      </c>
      <c r="T89" s="16"/>
      <c r="U89" s="16"/>
      <c r="V89" s="16"/>
      <c r="W89" s="16"/>
      <c r="X89" s="16"/>
      <c r="Y89" s="16"/>
      <c r="Z89" s="16"/>
    </row>
    <row r="90" spans="1:28" x14ac:dyDescent="0.25">
      <c r="A90" s="18" t="s">
        <v>12</v>
      </c>
      <c r="B90" s="19"/>
      <c r="C90" s="19"/>
      <c r="D90" s="19"/>
      <c r="E90" s="19"/>
      <c r="F90" s="19"/>
      <c r="G90" s="19"/>
      <c r="H90" s="19"/>
      <c r="I90" s="173">
        <f>-I11</f>
        <v>0</v>
      </c>
      <c r="T90" s="16"/>
      <c r="U90" s="16"/>
      <c r="V90" s="16"/>
      <c r="W90" s="16"/>
      <c r="X90" s="16"/>
      <c r="Y90" s="16"/>
      <c r="Z90" s="16"/>
    </row>
    <row r="91" spans="1:28" x14ac:dyDescent="0.25">
      <c r="A91" s="18" t="s">
        <v>43</v>
      </c>
      <c r="B91" s="19"/>
      <c r="C91" s="19"/>
      <c r="D91" s="19"/>
      <c r="E91" s="19"/>
      <c r="F91" s="19"/>
      <c r="G91" s="19"/>
      <c r="H91" s="19"/>
      <c r="I91" s="174">
        <f>IF(AA29&gt;0,AA29,0)</f>
        <v>1106042.0735000002</v>
      </c>
      <c r="T91" s="16"/>
      <c r="U91" s="16"/>
      <c r="V91" s="16"/>
      <c r="W91" s="16"/>
      <c r="X91" s="16"/>
      <c r="Y91" s="16"/>
      <c r="Z91" s="16"/>
    </row>
    <row r="92" spans="1:28" x14ac:dyDescent="0.25">
      <c r="A92" s="18" t="s">
        <v>44</v>
      </c>
      <c r="B92" s="19"/>
      <c r="C92" s="19"/>
      <c r="D92" s="19"/>
      <c r="E92" s="19"/>
      <c r="F92" s="19"/>
      <c r="G92" s="19"/>
      <c r="H92" s="19"/>
      <c r="I92" s="174">
        <f>IF(AA29&gt;0,0,AA29)</f>
        <v>0</v>
      </c>
      <c r="T92" s="16"/>
      <c r="U92" s="16"/>
      <c r="V92" s="16"/>
      <c r="W92" s="16"/>
      <c r="X92" s="16"/>
      <c r="Y92" s="16"/>
      <c r="Z92" s="16"/>
    </row>
    <row r="93" spans="1:28" x14ac:dyDescent="0.25">
      <c r="A93" s="18" t="s">
        <v>45</v>
      </c>
      <c r="B93" s="19"/>
      <c r="C93" s="19"/>
      <c r="D93" s="19"/>
      <c r="E93" s="19"/>
      <c r="F93" s="19"/>
      <c r="G93" s="19"/>
      <c r="H93" s="19"/>
      <c r="I93" s="174">
        <f>IF(AA67&gt;0,-AA67,0)</f>
        <v>0</v>
      </c>
      <c r="T93" s="16"/>
      <c r="U93" s="16"/>
      <c r="V93" s="16"/>
      <c r="W93" s="16"/>
      <c r="X93" s="16"/>
      <c r="Y93" s="16"/>
      <c r="Z93" s="16"/>
    </row>
    <row r="94" spans="1:28" x14ac:dyDescent="0.25">
      <c r="A94" s="18" t="s">
        <v>46</v>
      </c>
      <c r="B94" s="19"/>
      <c r="C94" s="19"/>
      <c r="D94" s="19"/>
      <c r="E94" s="19"/>
      <c r="F94" s="19"/>
      <c r="G94" s="19"/>
      <c r="H94" s="19"/>
      <c r="I94" s="174">
        <f>IF(AA67&gt;0,0,-AA67)</f>
        <v>0.47999999951571226</v>
      </c>
      <c r="T94" s="16"/>
      <c r="U94" s="16"/>
      <c r="V94" s="16"/>
      <c r="W94" s="16"/>
      <c r="X94" s="16"/>
      <c r="Y94" s="16"/>
      <c r="Z94" s="16"/>
    </row>
    <row r="95" spans="1:28" x14ac:dyDescent="0.25">
      <c r="A95" s="18" t="s">
        <v>47</v>
      </c>
      <c r="B95" s="19"/>
      <c r="C95" s="19"/>
      <c r="D95" s="19"/>
      <c r="E95" s="19"/>
      <c r="F95" s="19"/>
      <c r="G95" s="19"/>
      <c r="H95" s="19"/>
      <c r="I95" s="174">
        <f>IF(AA85&gt;0,-AA85,0)</f>
        <v>0</v>
      </c>
      <c r="T95" s="16"/>
      <c r="U95" s="16"/>
      <c r="V95" s="16"/>
      <c r="W95" s="16"/>
      <c r="X95" s="16"/>
      <c r="Y95" s="16"/>
      <c r="Z95" s="16"/>
    </row>
    <row r="96" spans="1:28" x14ac:dyDescent="0.25">
      <c r="A96" s="18" t="s">
        <v>48</v>
      </c>
      <c r="B96" s="19"/>
      <c r="C96" s="19"/>
      <c r="D96" s="19"/>
      <c r="E96" s="19"/>
      <c r="F96" s="19"/>
      <c r="G96" s="19"/>
      <c r="H96" s="19"/>
      <c r="I96" s="174">
        <f>IF(AA85&gt;0,0,-AA85)</f>
        <v>112742</v>
      </c>
      <c r="T96" s="16"/>
      <c r="U96" s="16"/>
      <c r="V96" s="16"/>
      <c r="W96" s="16"/>
      <c r="X96" s="16"/>
      <c r="Y96" s="16"/>
      <c r="Z96" s="16"/>
    </row>
    <row r="97" spans="1:27" x14ac:dyDescent="0.25">
      <c r="A97" s="18"/>
      <c r="B97" s="19"/>
      <c r="C97" s="19"/>
      <c r="D97" s="19"/>
      <c r="E97" s="19"/>
      <c r="F97" s="19" t="s">
        <v>49</v>
      </c>
      <c r="G97" s="19"/>
      <c r="H97" s="19"/>
      <c r="I97" s="175">
        <f>SUM(I89:I96)</f>
        <v>-783649.45999999973</v>
      </c>
      <c r="T97" s="16"/>
      <c r="U97" s="16"/>
      <c r="V97" s="16"/>
      <c r="W97" s="16"/>
      <c r="X97" s="16"/>
      <c r="Y97" s="16"/>
      <c r="Z97" s="16"/>
    </row>
    <row r="98" spans="1:27" x14ac:dyDescent="0.25">
      <c r="A98" s="18" t="s">
        <v>65</v>
      </c>
      <c r="B98" s="19" t="s">
        <v>64</v>
      </c>
      <c r="C98" s="19"/>
      <c r="D98" s="19"/>
      <c r="E98" s="19"/>
      <c r="F98" s="19"/>
      <c r="G98" s="19"/>
      <c r="H98" s="19"/>
      <c r="I98" s="26">
        <v>0</v>
      </c>
      <c r="T98" s="16"/>
      <c r="U98" s="16"/>
      <c r="V98" s="16"/>
      <c r="W98" s="16"/>
      <c r="X98" s="16"/>
      <c r="Y98" s="16"/>
      <c r="Z98" s="16"/>
    </row>
    <row r="99" spans="1:27" x14ac:dyDescent="0.25">
      <c r="A99" s="18"/>
      <c r="B99" s="19"/>
      <c r="C99" s="19"/>
      <c r="D99" s="19"/>
      <c r="E99" s="19"/>
      <c r="F99" s="19" t="s">
        <v>50</v>
      </c>
      <c r="G99" s="19"/>
      <c r="H99" s="19"/>
      <c r="I99" s="176">
        <f>+I120</f>
        <v>-783730</v>
      </c>
      <c r="K99" s="4" t="s">
        <v>51</v>
      </c>
      <c r="L99" s="4"/>
      <c r="M99" s="4"/>
      <c r="T99" s="16"/>
      <c r="U99" s="16"/>
      <c r="V99" s="16"/>
      <c r="W99" s="16"/>
      <c r="X99" s="16"/>
      <c r="Y99" s="16"/>
      <c r="Z99" s="16"/>
    </row>
    <row r="100" spans="1:27" x14ac:dyDescent="0.25">
      <c r="A100" s="20"/>
      <c r="B100" s="21"/>
      <c r="C100" s="21"/>
      <c r="D100" s="21"/>
      <c r="E100" s="21"/>
      <c r="F100" s="22" t="s">
        <v>19</v>
      </c>
      <c r="G100" s="21"/>
      <c r="H100" s="21"/>
      <c r="I100" s="177">
        <f>+I97-I99+I98</f>
        <v>80.540000000270084</v>
      </c>
      <c r="T100" s="16"/>
      <c r="U100" s="16"/>
      <c r="V100" s="16"/>
      <c r="W100" s="16"/>
      <c r="X100" s="16"/>
      <c r="Y100" s="16"/>
      <c r="Z100" s="16"/>
    </row>
    <row r="101" spans="1:27" x14ac:dyDescent="0.25">
      <c r="A101" s="19"/>
      <c r="B101" s="19"/>
      <c r="C101" s="19"/>
      <c r="D101" s="19"/>
      <c r="E101" s="19"/>
      <c r="F101" s="19"/>
      <c r="G101" s="19"/>
      <c r="H101" s="19"/>
      <c r="I101" s="19"/>
      <c r="T101" s="16"/>
      <c r="U101" s="16"/>
      <c r="V101" s="16"/>
      <c r="W101" s="16"/>
      <c r="X101" s="16"/>
      <c r="Y101" s="16"/>
      <c r="Z101" s="16"/>
    </row>
    <row r="102" spans="1:27" x14ac:dyDescent="0.25">
      <c r="A102" s="308" t="s">
        <v>100</v>
      </c>
      <c r="B102" s="308"/>
      <c r="C102" s="308"/>
      <c r="D102" s="308"/>
      <c r="E102" s="308"/>
      <c r="F102" s="308"/>
      <c r="G102" s="308"/>
      <c r="H102" s="308"/>
      <c r="I102" s="308"/>
      <c r="T102" s="16"/>
      <c r="U102" s="16"/>
      <c r="V102" s="16"/>
      <c r="W102" s="16"/>
      <c r="X102" s="16"/>
      <c r="Y102" s="16"/>
      <c r="Z102" s="16"/>
    </row>
    <row r="103" spans="1:27" x14ac:dyDescent="0.25">
      <c r="A103" s="23"/>
      <c r="B103" s="24"/>
      <c r="C103" s="24"/>
      <c r="D103" s="24"/>
      <c r="E103" s="24"/>
      <c r="F103" s="24"/>
      <c r="G103" s="24"/>
      <c r="H103" s="24"/>
      <c r="I103" s="25" t="s">
        <v>5</v>
      </c>
      <c r="T103" s="16"/>
      <c r="U103" s="16"/>
      <c r="V103" s="16"/>
      <c r="W103" s="16"/>
      <c r="X103" s="16"/>
      <c r="Y103" s="16"/>
      <c r="Z103" s="16"/>
    </row>
    <row r="104" spans="1:27" x14ac:dyDescent="0.25">
      <c r="A104" s="18" t="s">
        <v>42</v>
      </c>
      <c r="B104" s="19"/>
      <c r="C104" s="19"/>
      <c r="D104" s="19"/>
      <c r="E104" s="19"/>
      <c r="F104" s="19"/>
      <c r="G104" s="19"/>
      <c r="H104" s="19"/>
      <c r="I104" s="178">
        <f>+I8</f>
        <v>113064</v>
      </c>
      <c r="T104" s="16"/>
      <c r="U104" s="16"/>
      <c r="V104" s="16"/>
      <c r="W104" s="16"/>
      <c r="X104" s="16"/>
      <c r="Y104" s="16"/>
      <c r="Z104" s="16"/>
    </row>
    <row r="105" spans="1:27" x14ac:dyDescent="0.25">
      <c r="A105" s="18" t="s">
        <v>52</v>
      </c>
      <c r="B105" s="19"/>
      <c r="C105" s="19"/>
      <c r="D105" s="19"/>
      <c r="E105" s="19"/>
      <c r="F105" s="19"/>
      <c r="G105" s="19"/>
      <c r="H105" s="19"/>
      <c r="I105" s="178">
        <f>+R29</f>
        <v>9754217.1865000017</v>
      </c>
      <c r="T105" s="16"/>
      <c r="U105" s="16"/>
      <c r="V105" s="16"/>
      <c r="W105" s="16"/>
      <c r="X105" s="16"/>
      <c r="Y105" s="16"/>
      <c r="Z105" s="16"/>
    </row>
    <row r="106" spans="1:27" x14ac:dyDescent="0.25">
      <c r="A106" s="18" t="s">
        <v>53</v>
      </c>
      <c r="B106" s="19"/>
      <c r="C106" s="19"/>
      <c r="D106" s="19"/>
      <c r="E106" s="19"/>
      <c r="F106" s="19"/>
      <c r="G106" s="19"/>
      <c r="H106" s="19"/>
      <c r="I106" s="178">
        <f>+R67</f>
        <v>10391967.200000001</v>
      </c>
      <c r="T106" s="16"/>
      <c r="U106" s="16"/>
      <c r="V106" s="16"/>
      <c r="W106" s="16"/>
      <c r="X106" s="16"/>
      <c r="Y106" s="16"/>
      <c r="Z106" s="16"/>
    </row>
    <row r="107" spans="1:27" ht="17.399999999999999" x14ac:dyDescent="0.3">
      <c r="A107" s="18" t="s">
        <v>54</v>
      </c>
      <c r="B107" s="19"/>
      <c r="C107" s="19"/>
      <c r="D107" s="19"/>
      <c r="E107" s="19"/>
      <c r="F107" s="19"/>
      <c r="G107" s="19"/>
      <c r="H107" s="19"/>
      <c r="I107" s="178">
        <f>+R85</f>
        <v>1364684</v>
      </c>
      <c r="O107" s="310" t="str">
        <f>+A1</f>
        <v>ABC LTD.</v>
      </c>
      <c r="P107" s="310"/>
      <c r="Q107" s="310"/>
      <c r="R107" s="310"/>
      <c r="S107" s="310"/>
      <c r="T107" s="310"/>
      <c r="U107" s="310"/>
      <c r="V107" s="310"/>
      <c r="W107" s="310"/>
      <c r="X107" s="310"/>
      <c r="Y107" s="310"/>
      <c r="Z107" s="310"/>
      <c r="AA107" s="310"/>
    </row>
    <row r="108" spans="1:27" ht="17.399999999999999" x14ac:dyDescent="0.3">
      <c r="A108" s="18" t="s">
        <v>63</v>
      </c>
      <c r="B108" s="19"/>
      <c r="C108" s="19"/>
      <c r="D108" s="19"/>
      <c r="E108" s="19"/>
      <c r="F108" s="19"/>
      <c r="G108" s="19"/>
      <c r="H108" s="19"/>
      <c r="I108" s="178">
        <f>+DATA!I14</f>
        <v>113064</v>
      </c>
      <c r="O108" s="49"/>
      <c r="P108" s="49"/>
      <c r="Q108" s="49"/>
      <c r="R108" s="49"/>
      <c r="T108" s="16"/>
      <c r="U108" s="16"/>
      <c r="V108" s="16"/>
      <c r="W108" s="16"/>
      <c r="X108" s="16"/>
      <c r="Y108" s="16"/>
      <c r="Z108" s="16"/>
    </row>
    <row r="109" spans="1:27" ht="18" x14ac:dyDescent="0.35">
      <c r="A109" s="18"/>
      <c r="B109" s="19"/>
      <c r="C109" s="19"/>
      <c r="D109" s="19"/>
      <c r="E109" s="19" t="s">
        <v>55</v>
      </c>
      <c r="F109" s="19"/>
      <c r="G109" s="19"/>
      <c r="H109" s="19"/>
      <c r="I109" s="179">
        <f>+I104+I105-I106-I107-I108</f>
        <v>-2002434.0134999994</v>
      </c>
      <c r="O109" s="50"/>
      <c r="P109" s="50"/>
      <c r="Q109" s="50"/>
      <c r="R109" s="50"/>
      <c r="T109" s="16"/>
      <c r="U109" s="16"/>
      <c r="V109" s="16"/>
      <c r="W109" s="16"/>
      <c r="X109" s="16"/>
      <c r="Y109" s="16"/>
      <c r="Z109" s="16"/>
    </row>
    <row r="110" spans="1:27" ht="18" x14ac:dyDescent="0.35">
      <c r="A110" s="18"/>
      <c r="B110" s="19"/>
      <c r="C110" s="19"/>
      <c r="D110" s="19"/>
      <c r="E110" s="19" t="s">
        <v>56</v>
      </c>
      <c r="F110" s="19"/>
      <c r="G110" s="19"/>
      <c r="H110" s="19"/>
      <c r="I110" s="180">
        <f>+DATA!I9</f>
        <v>322</v>
      </c>
      <c r="O110" s="50"/>
      <c r="P110" s="50"/>
      <c r="Q110" s="50"/>
      <c r="R110" s="50"/>
      <c r="T110" s="16"/>
      <c r="U110" s="16"/>
      <c r="V110" s="16"/>
      <c r="W110" s="16"/>
      <c r="X110" s="16"/>
      <c r="Y110" s="16"/>
      <c r="Z110" s="16"/>
    </row>
    <row r="111" spans="1:27" ht="15.6" x14ac:dyDescent="0.3">
      <c r="A111" s="20"/>
      <c r="B111" s="21"/>
      <c r="C111" s="21"/>
      <c r="D111" s="21"/>
      <c r="E111" s="21"/>
      <c r="F111" s="22" t="s">
        <v>19</v>
      </c>
      <c r="G111" s="21"/>
      <c r="H111" s="21"/>
      <c r="I111" s="177">
        <f>+I109-I110</f>
        <v>-2002756.0134999994</v>
      </c>
      <c r="O111" s="311" t="str">
        <f>+A2</f>
        <v>ADDRESS OR PROPRIETOR NAME</v>
      </c>
      <c r="P111" s="311"/>
      <c r="Q111" s="311"/>
      <c r="R111" s="311"/>
      <c r="S111" s="311"/>
      <c r="T111" s="311"/>
      <c r="U111" s="311"/>
      <c r="V111" s="311"/>
      <c r="W111" s="311"/>
      <c r="X111" s="311"/>
      <c r="Y111" s="311"/>
      <c r="Z111" s="311"/>
      <c r="AA111" s="311"/>
    </row>
    <row r="112" spans="1:27" ht="15" customHeight="1" x14ac:dyDescent="0.3">
      <c r="A112" s="308" t="s">
        <v>101</v>
      </c>
      <c r="B112" s="308"/>
      <c r="C112" s="308"/>
      <c r="D112" s="308"/>
      <c r="E112" s="308"/>
      <c r="F112" s="308"/>
      <c r="G112" s="308"/>
      <c r="H112" s="308"/>
      <c r="I112" s="308"/>
      <c r="O112" s="310"/>
      <c r="P112" s="310"/>
      <c r="Q112" s="310"/>
      <c r="R112" s="310"/>
      <c r="T112" s="16"/>
      <c r="U112" s="16"/>
      <c r="V112" s="16"/>
      <c r="W112" s="16"/>
      <c r="X112" s="16"/>
      <c r="Y112" s="16"/>
      <c r="Z112" s="16"/>
    </row>
    <row r="113" spans="1:27" ht="17.399999999999999" x14ac:dyDescent="0.3">
      <c r="A113" s="23"/>
      <c r="B113" s="24"/>
      <c r="C113" s="24"/>
      <c r="D113" s="24"/>
      <c r="E113" s="24"/>
      <c r="F113" s="24"/>
      <c r="G113" s="24"/>
      <c r="H113" s="24"/>
      <c r="I113" s="25" t="s">
        <v>5</v>
      </c>
      <c r="R113" s="51" t="s">
        <v>0</v>
      </c>
    </row>
    <row r="114" spans="1:27" ht="17.399999999999999" x14ac:dyDescent="0.3">
      <c r="A114" s="18" t="s">
        <v>57</v>
      </c>
      <c r="B114" s="19"/>
      <c r="C114" s="19"/>
      <c r="D114" s="19"/>
      <c r="E114" s="19"/>
      <c r="F114" s="19"/>
      <c r="G114" s="19"/>
      <c r="H114" s="19"/>
      <c r="I114" s="181">
        <f>+I9</f>
        <v>0</v>
      </c>
      <c r="R114" s="52" t="s">
        <v>66</v>
      </c>
    </row>
    <row r="115" spans="1:27" ht="17.399999999999999" x14ac:dyDescent="0.3">
      <c r="A115" s="18" t="s">
        <v>52</v>
      </c>
      <c r="B115" s="19"/>
      <c r="C115" s="19"/>
      <c r="D115" s="19"/>
      <c r="E115" s="19"/>
      <c r="F115" s="19"/>
      <c r="G115" s="19"/>
      <c r="H115" s="19"/>
      <c r="I115" s="181">
        <f>+I29</f>
        <v>10860259.26</v>
      </c>
      <c r="P115" s="51"/>
      <c r="Q115" s="51"/>
      <c r="S115" s="51"/>
      <c r="T115" s="51"/>
      <c r="U115" s="51"/>
      <c r="V115" s="51"/>
      <c r="W115" s="51"/>
      <c r="X115" s="51"/>
      <c r="Y115" s="51"/>
      <c r="Z115" s="51"/>
      <c r="AA115" s="51"/>
    </row>
    <row r="116" spans="1:27" ht="17.399999999999999" x14ac:dyDescent="0.3">
      <c r="A116" s="18" t="s">
        <v>58</v>
      </c>
      <c r="B116" s="19"/>
      <c r="C116" s="19"/>
      <c r="D116" s="19"/>
      <c r="E116" s="19"/>
      <c r="F116" s="19"/>
      <c r="G116" s="19"/>
      <c r="H116" s="19"/>
      <c r="I116" s="181">
        <f>+I67</f>
        <v>10391966.720000001</v>
      </c>
      <c r="P116" s="49"/>
      <c r="Q116" s="49"/>
      <c r="S116" s="49"/>
      <c r="T116" s="49"/>
      <c r="U116" s="49"/>
      <c r="V116" s="49"/>
      <c r="W116" s="49"/>
      <c r="X116" s="49"/>
      <c r="Y116" s="49"/>
      <c r="Z116" s="49"/>
      <c r="AA116" s="49"/>
    </row>
    <row r="117" spans="1:27" x14ac:dyDescent="0.25">
      <c r="A117" s="18" t="s">
        <v>59</v>
      </c>
      <c r="B117" s="19"/>
      <c r="C117" s="19"/>
      <c r="D117" s="19"/>
      <c r="E117" s="19"/>
      <c r="F117" s="19"/>
      <c r="G117" s="19"/>
      <c r="H117" s="19"/>
      <c r="I117" s="181">
        <f>+I85</f>
        <v>1251942</v>
      </c>
      <c r="T117" s="16"/>
      <c r="U117" s="16"/>
      <c r="V117" s="16"/>
      <c r="W117" s="16"/>
      <c r="X117" s="16"/>
      <c r="Y117" s="16"/>
      <c r="Z117" s="16"/>
    </row>
    <row r="118" spans="1:27" x14ac:dyDescent="0.25">
      <c r="A118" s="18"/>
      <c r="B118" s="19"/>
      <c r="C118" s="19"/>
      <c r="D118" s="19"/>
      <c r="E118" s="19" t="s">
        <v>60</v>
      </c>
      <c r="F118" s="19"/>
      <c r="G118" s="19"/>
      <c r="H118" s="19"/>
      <c r="I118" s="182">
        <f>+I114+I115-I116-I117</f>
        <v>-783649.46000000089</v>
      </c>
      <c r="T118" s="16"/>
      <c r="U118" s="16"/>
      <c r="V118" s="16"/>
      <c r="W118" s="16"/>
      <c r="X118" s="16"/>
      <c r="Y118" s="16"/>
      <c r="Z118" s="16"/>
    </row>
    <row r="119" spans="1:27" x14ac:dyDescent="0.25">
      <c r="A119" s="18" t="s">
        <v>65</v>
      </c>
      <c r="B119" s="19" t="s">
        <v>64</v>
      </c>
      <c r="C119" s="19"/>
      <c r="D119" s="19"/>
      <c r="E119" s="19"/>
      <c r="F119" s="19"/>
      <c r="G119" s="19"/>
      <c r="H119" s="19"/>
      <c r="I119" s="178">
        <f>+I98</f>
        <v>0</v>
      </c>
      <c r="T119" s="16"/>
      <c r="U119" s="16"/>
      <c r="V119" s="16"/>
      <c r="W119" s="16"/>
      <c r="X119" s="16"/>
      <c r="Y119" s="16"/>
      <c r="Z119" s="16"/>
    </row>
    <row r="120" spans="1:27" x14ac:dyDescent="0.25">
      <c r="A120" s="18"/>
      <c r="B120" s="19"/>
      <c r="C120" s="19"/>
      <c r="D120" s="19"/>
      <c r="E120" s="19" t="s">
        <v>61</v>
      </c>
      <c r="F120" s="19"/>
      <c r="G120" s="19"/>
      <c r="H120" s="19"/>
      <c r="I120" s="156">
        <f>+DATA!I12</f>
        <v>-783730</v>
      </c>
      <c r="K120" s="4" t="s">
        <v>51</v>
      </c>
      <c r="L120" s="4"/>
      <c r="M120" s="4"/>
      <c r="T120" s="16"/>
      <c r="U120" s="16"/>
      <c r="V120" s="16"/>
      <c r="W120" s="16"/>
      <c r="X120" s="16"/>
      <c r="Y120" s="16"/>
      <c r="Z120" s="16"/>
    </row>
    <row r="121" spans="1:27" x14ac:dyDescent="0.25">
      <c r="A121" s="20"/>
      <c r="B121" s="21"/>
      <c r="C121" s="21"/>
      <c r="D121" s="21"/>
      <c r="E121" s="21"/>
      <c r="F121" s="22" t="s">
        <v>19</v>
      </c>
      <c r="G121" s="21"/>
      <c r="H121" s="21"/>
      <c r="I121" s="177">
        <f>+I118+I119-I120</f>
        <v>80.53999999910593</v>
      </c>
      <c r="K121" s="4" t="s">
        <v>62</v>
      </c>
      <c r="L121" s="4"/>
      <c r="M121" s="4"/>
      <c r="T121" s="16"/>
      <c r="U121" s="16"/>
      <c r="V121" s="16"/>
      <c r="W121" s="16"/>
      <c r="X121" s="16"/>
      <c r="Y121" s="16"/>
      <c r="Z121" s="16"/>
    </row>
    <row r="122" spans="1:27" x14ac:dyDescent="0.25">
      <c r="T122" s="16"/>
      <c r="U122" s="16"/>
      <c r="V122" s="16"/>
      <c r="W122" s="16"/>
      <c r="X122" s="16"/>
      <c r="Y122" s="16"/>
      <c r="Z122" s="16"/>
    </row>
    <row r="129" spans="20:22" x14ac:dyDescent="0.25">
      <c r="T129" s="27"/>
      <c r="U129" s="27"/>
      <c r="V129" s="28"/>
    </row>
    <row r="130" spans="20:22" x14ac:dyDescent="0.25">
      <c r="T130" s="27"/>
      <c r="U130" s="27"/>
      <c r="V130" s="28"/>
    </row>
  </sheetData>
  <mergeCells count="32">
    <mergeCell ref="A112:I112"/>
    <mergeCell ref="A13:I13"/>
    <mergeCell ref="A51:I51"/>
    <mergeCell ref="A102:I102"/>
    <mergeCell ref="O112:R112"/>
    <mergeCell ref="C53:D53"/>
    <mergeCell ref="K71:R71"/>
    <mergeCell ref="O107:AA107"/>
    <mergeCell ref="O111:AA111"/>
    <mergeCell ref="A87:I87"/>
    <mergeCell ref="B14:I14"/>
    <mergeCell ref="K14:R14"/>
    <mergeCell ref="T14:AA14"/>
    <mergeCell ref="A52:I52"/>
    <mergeCell ref="K52:R52"/>
    <mergeCell ref="T52:AA52"/>
    <mergeCell ref="A70:I70"/>
    <mergeCell ref="A71:I71"/>
    <mergeCell ref="T71:AA71"/>
    <mergeCell ref="C72:D72"/>
    <mergeCell ref="R9:S9"/>
    <mergeCell ref="R10:T10"/>
    <mergeCell ref="A32:I32"/>
    <mergeCell ref="B33:I33"/>
    <mergeCell ref="K33:R33"/>
    <mergeCell ref="T33:AA33"/>
    <mergeCell ref="R8:S8"/>
    <mergeCell ref="A6:I6"/>
    <mergeCell ref="A1:AA1"/>
    <mergeCell ref="A2:AA2"/>
    <mergeCell ref="A3:AA3"/>
    <mergeCell ref="A4:AA4"/>
  </mergeCells>
  <pageMargins left="0.15748031496062992" right="0.15748031496062992" top="0.43307086614173229" bottom="0.35433070866141736" header="0.31496062992125984" footer="0.31496062992125984"/>
  <pageSetup scale="48" orientation="landscape" r:id="rId1"/>
  <rowBreaks count="1" manualBreakCount="1">
    <brk id="68" max="26"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54"/>
  <sheetViews>
    <sheetView zoomScaleNormal="100" zoomScaleSheetLayoutView="100" workbookViewId="0">
      <selection activeCell="B9" sqref="B9"/>
    </sheetView>
  </sheetViews>
  <sheetFormatPr defaultRowHeight="13.2" x14ac:dyDescent="0.25"/>
  <cols>
    <col min="1" max="1" width="27.44140625" customWidth="1"/>
    <col min="2" max="2" width="15.44140625" customWidth="1"/>
    <col min="3" max="3" width="15.33203125" customWidth="1"/>
    <col min="4" max="4" width="18.6640625" customWidth="1"/>
    <col min="5" max="5" width="15.44140625" customWidth="1"/>
    <col min="6" max="6" width="14.33203125" customWidth="1"/>
    <col min="7" max="7" width="15" customWidth="1"/>
    <col min="8" max="8" width="13.33203125" bestFit="1" customWidth="1"/>
    <col min="9" max="9" width="15.44140625" customWidth="1"/>
  </cols>
  <sheetData>
    <row r="1" spans="1:12" ht="21" x14ac:dyDescent="0.4">
      <c r="A1" s="277" t="str">
        <f>+'ITC BIFURCATION'!A1:F1</f>
        <v>ABC LTD.</v>
      </c>
      <c r="B1" s="277"/>
      <c r="C1" s="277"/>
      <c r="D1" s="277"/>
      <c r="E1" s="277"/>
      <c r="F1" s="277"/>
      <c r="G1" s="277"/>
      <c r="H1" s="277"/>
      <c r="I1" s="277"/>
      <c r="J1" s="65"/>
      <c r="K1" s="65"/>
      <c r="L1" s="65"/>
    </row>
    <row r="2" spans="1:12" ht="21" x14ac:dyDescent="0.4">
      <c r="A2" s="277" t="str">
        <f>+'ITC BIFURCATION'!A2:F2</f>
        <v>ADDRESS OR PROPRIETOR NAME</v>
      </c>
      <c r="B2" s="277"/>
      <c r="C2" s="277"/>
      <c r="D2" s="277"/>
      <c r="E2" s="277"/>
      <c r="F2" s="277"/>
      <c r="G2" s="277"/>
      <c r="H2" s="277"/>
      <c r="I2" s="277"/>
      <c r="J2" s="65"/>
      <c r="K2" s="65"/>
      <c r="L2" s="65"/>
    </row>
    <row r="3" spans="1:12" ht="21" x14ac:dyDescent="0.4">
      <c r="A3" s="277" t="str">
        <f>+'ITC BIFURCATION'!A3:F3</f>
        <v>FINANCIAL YEAR 2018-2019</v>
      </c>
      <c r="B3" s="277"/>
      <c r="C3" s="277"/>
      <c r="D3" s="277"/>
      <c r="E3" s="277"/>
      <c r="F3" s="277"/>
      <c r="G3" s="277"/>
      <c r="H3" s="277"/>
      <c r="I3" s="277"/>
      <c r="J3" s="65"/>
      <c r="K3" s="65"/>
      <c r="L3" s="65"/>
    </row>
    <row r="4" spans="1:12" ht="21" x14ac:dyDescent="0.4">
      <c r="A4" s="277" t="str">
        <f>+'ITC BIFURCATION'!A4:F4</f>
        <v>GST NO.</v>
      </c>
      <c r="B4" s="277"/>
      <c r="C4" s="277"/>
      <c r="D4" s="277"/>
      <c r="E4" s="277"/>
      <c r="F4" s="277"/>
      <c r="G4" s="277"/>
      <c r="H4" s="277"/>
      <c r="I4" s="277"/>
      <c r="J4" s="65"/>
      <c r="K4" s="65"/>
      <c r="L4" s="65"/>
    </row>
    <row r="5" spans="1:12" s="47" customFormat="1" ht="14.25" customHeight="1" x14ac:dyDescent="0.4">
      <c r="A5" s="60"/>
      <c r="B5" s="60"/>
      <c r="C5" s="60"/>
      <c r="D5" s="60"/>
      <c r="E5" s="60"/>
      <c r="F5" s="60"/>
      <c r="G5" s="60"/>
      <c r="H5" s="60"/>
      <c r="I5" s="60"/>
      <c r="J5" s="65"/>
      <c r="K5" s="65"/>
      <c r="L5" s="65"/>
    </row>
    <row r="6" spans="1:12" ht="21" x14ac:dyDescent="0.4">
      <c r="A6" s="286" t="s">
        <v>109</v>
      </c>
      <c r="B6" s="286"/>
      <c r="C6" s="286"/>
      <c r="D6" s="286"/>
      <c r="E6" s="286"/>
      <c r="F6" s="286"/>
      <c r="G6" s="286"/>
      <c r="H6" s="286"/>
      <c r="I6" s="286"/>
      <c r="J6" s="66"/>
      <c r="K6" s="66"/>
      <c r="L6" s="66"/>
    </row>
    <row r="8" spans="1:12" x14ac:dyDescent="0.25">
      <c r="A8" s="96" t="s">
        <v>4</v>
      </c>
      <c r="B8" s="96" t="s">
        <v>110</v>
      </c>
      <c r="C8" s="96" t="s">
        <v>111</v>
      </c>
      <c r="D8" s="96" t="s">
        <v>112</v>
      </c>
      <c r="E8" s="96" t="s">
        <v>25</v>
      </c>
      <c r="F8" s="96" t="s">
        <v>26</v>
      </c>
      <c r="G8" s="96" t="s">
        <v>27</v>
      </c>
      <c r="H8" s="96" t="s">
        <v>95</v>
      </c>
      <c r="I8" s="96" t="s">
        <v>68</v>
      </c>
    </row>
    <row r="9" spans="1:12" x14ac:dyDescent="0.25">
      <c r="A9" s="95" t="s">
        <v>113</v>
      </c>
      <c r="B9" s="54">
        <f>+RECONCILE!K29</f>
        <v>58311833.769999996</v>
      </c>
      <c r="C9" s="54">
        <f>+RECONCILE!L29</f>
        <v>0</v>
      </c>
      <c r="D9" s="54">
        <f>+RECONCILE!M29</f>
        <v>58311833.769999996</v>
      </c>
      <c r="E9" s="54">
        <f>+RECONCILE!N29</f>
        <v>775267</v>
      </c>
      <c r="F9" s="54">
        <f>+RECONCILE!O29</f>
        <v>4489475.0932500008</v>
      </c>
      <c r="G9" s="54">
        <f>+RECONCILE!P29</f>
        <v>4489475.0932500008</v>
      </c>
      <c r="H9" s="54">
        <f>+RECONCILE!Q29</f>
        <v>0</v>
      </c>
      <c r="I9" s="54">
        <f>+RECONCILE!R29</f>
        <v>9754217.1865000017</v>
      </c>
      <c r="J9" s="94">
        <f>+I9-G9-F9-E9</f>
        <v>0</v>
      </c>
      <c r="K9" s="94">
        <f>+D9-C9-B9</f>
        <v>0</v>
      </c>
    </row>
    <row r="10" spans="1:12" x14ac:dyDescent="0.25">
      <c r="A10" s="95" t="s">
        <v>114</v>
      </c>
      <c r="B10" s="54">
        <f>+DATA!P33</f>
        <v>58118288.599999994</v>
      </c>
      <c r="C10" s="54">
        <f>+DATA!Q33</f>
        <v>0</v>
      </c>
      <c r="D10" s="54">
        <f>SUM(B10:C10)</f>
        <v>58118288.599999994</v>
      </c>
      <c r="E10" s="54">
        <f>+DATA!R33</f>
        <v>775264.42</v>
      </c>
      <c r="F10" s="54">
        <f>+DATA!S33</f>
        <v>4472824.5999999996</v>
      </c>
      <c r="G10" s="54">
        <f>+DATA!T33</f>
        <v>4472824.5999999996</v>
      </c>
      <c r="H10" s="54">
        <f>+DATA!U33</f>
        <v>0</v>
      </c>
      <c r="I10" s="54">
        <f>SUM(E10:H10)</f>
        <v>9720913.6199999992</v>
      </c>
      <c r="J10" s="94">
        <f t="shared" ref="J10:J11" si="0">+I10-G10-F10-E10</f>
        <v>0</v>
      </c>
      <c r="K10" s="94">
        <f t="shared" ref="K10:K11" si="1">+D10-C10-B10</f>
        <v>0</v>
      </c>
    </row>
    <row r="11" spans="1:12" x14ac:dyDescent="0.25">
      <c r="A11" s="95" t="s">
        <v>115</v>
      </c>
      <c r="B11" s="54">
        <f>+RECONCILE!B29</f>
        <v>65091789.779999994</v>
      </c>
      <c r="C11" s="54">
        <f>+RECONCILE!C29</f>
        <v>0</v>
      </c>
      <c r="D11" s="54">
        <f>+RECONCILE!D29</f>
        <v>65091789.779999994</v>
      </c>
      <c r="E11" s="54">
        <f>+RECONCILE!E29</f>
        <v>775267</v>
      </c>
      <c r="F11" s="54">
        <f>+RECONCILE!F29</f>
        <v>5042496.13</v>
      </c>
      <c r="G11" s="54">
        <f>+RECONCILE!G29</f>
        <v>5042496.13</v>
      </c>
      <c r="H11" s="54">
        <f>+RECONCILE!H29</f>
        <v>0</v>
      </c>
      <c r="I11" s="54">
        <f>+RECONCILE!I29</f>
        <v>10860259.26</v>
      </c>
      <c r="J11" s="94">
        <f t="shared" si="0"/>
        <v>0</v>
      </c>
      <c r="K11" s="94">
        <f t="shared" si="1"/>
        <v>0</v>
      </c>
    </row>
    <row r="12" spans="1:12" x14ac:dyDescent="0.25">
      <c r="A12" s="104" t="s">
        <v>122</v>
      </c>
      <c r="B12" s="110">
        <f t="shared" ref="B12:I12" si="2">+B9-B10</f>
        <v>193545.17000000179</v>
      </c>
      <c r="C12" s="110">
        <f t="shared" si="2"/>
        <v>0</v>
      </c>
      <c r="D12" s="110">
        <f t="shared" si="2"/>
        <v>193545.17000000179</v>
      </c>
      <c r="E12" s="110">
        <f t="shared" si="2"/>
        <v>2.5799999999580905</v>
      </c>
      <c r="F12" s="110">
        <f t="shared" si="2"/>
        <v>16650.493250001222</v>
      </c>
      <c r="G12" s="110">
        <f t="shared" si="2"/>
        <v>16650.493250001222</v>
      </c>
      <c r="H12" s="110">
        <f t="shared" si="2"/>
        <v>0</v>
      </c>
      <c r="I12" s="110">
        <f t="shared" si="2"/>
        <v>33303.566500002518</v>
      </c>
      <c r="J12" s="94">
        <f>+I12-G12-F12-E12</f>
        <v>1.1641532182693481E-10</v>
      </c>
      <c r="K12" s="94">
        <f>+D12-C12-B12</f>
        <v>0</v>
      </c>
    </row>
    <row r="13" spans="1:12" s="47" customFormat="1" x14ac:dyDescent="0.25">
      <c r="A13" s="95"/>
      <c r="B13" s="103" t="str">
        <f>IF(B12&gt;0,"BOOKS MORE","BOOKS LESS")</f>
        <v>BOOKS MORE</v>
      </c>
      <c r="C13" s="103" t="str">
        <f t="shared" ref="C13:I13" si="3">IF(C12&gt;0,"BOOKS MORE","BOOKS LESS")</f>
        <v>BOOKS LESS</v>
      </c>
      <c r="D13" s="103" t="str">
        <f t="shared" si="3"/>
        <v>BOOKS MORE</v>
      </c>
      <c r="E13" s="103" t="str">
        <f t="shared" si="3"/>
        <v>BOOKS MORE</v>
      </c>
      <c r="F13" s="103" t="str">
        <f t="shared" si="3"/>
        <v>BOOKS MORE</v>
      </c>
      <c r="G13" s="103" t="str">
        <f t="shared" si="3"/>
        <v>BOOKS MORE</v>
      </c>
      <c r="H13" s="103" t="str">
        <f t="shared" si="3"/>
        <v>BOOKS LESS</v>
      </c>
      <c r="I13" s="103" t="str">
        <f t="shared" si="3"/>
        <v>BOOKS MORE</v>
      </c>
      <c r="J13" s="94"/>
      <c r="K13" s="94"/>
    </row>
    <row r="14" spans="1:12" s="47" customFormat="1" x14ac:dyDescent="0.25">
      <c r="A14" s="95"/>
      <c r="B14" s="102"/>
      <c r="C14" s="64"/>
      <c r="D14" s="64"/>
      <c r="E14" s="64"/>
      <c r="F14" s="64"/>
      <c r="G14" s="64"/>
      <c r="H14" s="64"/>
      <c r="I14" s="64"/>
      <c r="J14" s="94"/>
      <c r="K14" s="94"/>
    </row>
    <row r="15" spans="1:12" x14ac:dyDescent="0.25">
      <c r="A15" s="104" t="s">
        <v>121</v>
      </c>
      <c r="B15" s="110">
        <f t="shared" ref="B15:I15" si="4">+B9-B11</f>
        <v>-6779956.0099999979</v>
      </c>
      <c r="C15" s="110">
        <f t="shared" si="4"/>
        <v>0</v>
      </c>
      <c r="D15" s="110">
        <f t="shared" si="4"/>
        <v>-6779956.0099999979</v>
      </c>
      <c r="E15" s="110">
        <f t="shared" si="4"/>
        <v>0</v>
      </c>
      <c r="F15" s="110">
        <f t="shared" si="4"/>
        <v>-553021.03674999904</v>
      </c>
      <c r="G15" s="110">
        <f t="shared" si="4"/>
        <v>-553021.03674999904</v>
      </c>
      <c r="H15" s="110">
        <f t="shared" si="4"/>
        <v>0</v>
      </c>
      <c r="I15" s="110">
        <f t="shared" si="4"/>
        <v>-1106042.0734999981</v>
      </c>
      <c r="J15" s="94">
        <f>+I15-G15-F15-E15</f>
        <v>0</v>
      </c>
      <c r="K15" s="94">
        <f>+D15-C15-B15</f>
        <v>0</v>
      </c>
    </row>
    <row r="16" spans="1:12" s="47" customFormat="1" x14ac:dyDescent="0.25">
      <c r="A16" s="95"/>
      <c r="B16" s="111" t="str">
        <f>IF(B15&gt;0,"BOOKS MORE","BOOKS LESS")</f>
        <v>BOOKS LESS</v>
      </c>
      <c r="C16" s="111" t="str">
        <f t="shared" ref="C16" si="5">IF(C15&gt;0,"BOOKS MORE","BOOKS LESS")</f>
        <v>BOOKS LESS</v>
      </c>
      <c r="D16" s="111" t="str">
        <f t="shared" ref="D16" si="6">IF(D15&gt;0,"BOOKS MORE","BOOKS LESS")</f>
        <v>BOOKS LESS</v>
      </c>
      <c r="E16" s="111" t="str">
        <f t="shared" ref="E16" si="7">IF(E15&gt;0,"BOOKS MORE","BOOKS LESS")</f>
        <v>BOOKS LESS</v>
      </c>
      <c r="F16" s="111" t="str">
        <f t="shared" ref="F16" si="8">IF(F15&gt;0,"BOOKS MORE","BOOKS LESS")</f>
        <v>BOOKS LESS</v>
      </c>
      <c r="G16" s="111" t="str">
        <f t="shared" ref="G16" si="9">IF(G15&gt;0,"BOOKS MORE","BOOKS LESS")</f>
        <v>BOOKS LESS</v>
      </c>
      <c r="H16" s="111" t="str">
        <f t="shared" ref="H16" si="10">IF(H15&gt;0,"BOOKS MORE","BOOKS LESS")</f>
        <v>BOOKS LESS</v>
      </c>
      <c r="I16" s="111" t="str">
        <f t="shared" ref="I16" si="11">IF(I15&gt;0,"BOOKS MORE","BOOKS LESS")</f>
        <v>BOOKS LESS</v>
      </c>
      <c r="J16" s="94"/>
      <c r="K16" s="94"/>
    </row>
    <row r="17" spans="1:11" s="47" customFormat="1" x14ac:dyDescent="0.25">
      <c r="A17" s="95"/>
      <c r="B17" s="54"/>
      <c r="C17" s="54"/>
      <c r="D17" s="54"/>
      <c r="E17" s="54"/>
      <c r="F17" s="54"/>
      <c r="G17" s="54"/>
      <c r="H17" s="54"/>
      <c r="I17" s="54"/>
      <c r="J17" s="94"/>
      <c r="K17" s="94"/>
    </row>
    <row r="18" spans="1:11" x14ac:dyDescent="0.25">
      <c r="A18" s="104" t="s">
        <v>116</v>
      </c>
      <c r="B18" s="110">
        <f t="shared" ref="B18:I18" si="12">+B10-B11</f>
        <v>-6973501.1799999997</v>
      </c>
      <c r="C18" s="110">
        <f t="shared" si="12"/>
        <v>0</v>
      </c>
      <c r="D18" s="110">
        <f t="shared" si="12"/>
        <v>-6973501.1799999997</v>
      </c>
      <c r="E18" s="110">
        <f t="shared" si="12"/>
        <v>-2.5799999999580905</v>
      </c>
      <c r="F18" s="110">
        <f t="shared" si="12"/>
        <v>-569671.53000000026</v>
      </c>
      <c r="G18" s="110">
        <f t="shared" si="12"/>
        <v>-569671.53000000026</v>
      </c>
      <c r="H18" s="110">
        <f t="shared" si="12"/>
        <v>0</v>
      </c>
      <c r="I18" s="110">
        <f t="shared" si="12"/>
        <v>-1139345.6400000006</v>
      </c>
      <c r="J18" s="94">
        <f>+I18-G18-F18-E18</f>
        <v>-1.1641532182693481E-10</v>
      </c>
      <c r="K18" s="94">
        <f>+D18-C18-B18</f>
        <v>0</v>
      </c>
    </row>
    <row r="19" spans="1:11" s="47" customFormat="1" x14ac:dyDescent="0.25">
      <c r="A19" s="95"/>
      <c r="B19" s="111" t="str">
        <f>IF(B18&gt;0,"R-1 MORE","R-1 LESS")</f>
        <v>R-1 LESS</v>
      </c>
      <c r="C19" s="111" t="str">
        <f t="shared" ref="C19:I19" si="13">IF(C18&gt;0,"R-1 MORE","R-1 LESS")</f>
        <v>R-1 LESS</v>
      </c>
      <c r="D19" s="111" t="str">
        <f t="shared" si="13"/>
        <v>R-1 LESS</v>
      </c>
      <c r="E19" s="111" t="str">
        <f t="shared" si="13"/>
        <v>R-1 LESS</v>
      </c>
      <c r="F19" s="111" t="str">
        <f t="shared" si="13"/>
        <v>R-1 LESS</v>
      </c>
      <c r="G19" s="111" t="str">
        <f t="shared" si="13"/>
        <v>R-1 LESS</v>
      </c>
      <c r="H19" s="111" t="str">
        <f t="shared" si="13"/>
        <v>R-1 LESS</v>
      </c>
      <c r="I19" s="111" t="str">
        <f t="shared" si="13"/>
        <v>R-1 LESS</v>
      </c>
      <c r="J19" s="94"/>
      <c r="K19" s="94"/>
    </row>
    <row r="20" spans="1:11" s="47" customFormat="1" x14ac:dyDescent="0.25">
      <c r="A20" s="97"/>
      <c r="B20" s="98"/>
      <c r="C20" s="98"/>
      <c r="D20" s="98"/>
      <c r="E20" s="98"/>
      <c r="F20" s="98"/>
      <c r="G20" s="98"/>
      <c r="H20" s="98"/>
      <c r="I20" s="98"/>
      <c r="J20" s="94"/>
      <c r="K20" s="94"/>
    </row>
    <row r="21" spans="1:11" s="47" customFormat="1" ht="25.5" customHeight="1" x14ac:dyDescent="0.25">
      <c r="A21" s="99" t="s">
        <v>123</v>
      </c>
      <c r="B21" s="100">
        <v>1</v>
      </c>
      <c r="C21" s="315"/>
      <c r="D21" s="316"/>
      <c r="E21" s="316"/>
      <c r="F21" s="316"/>
      <c r="G21" s="316"/>
      <c r="H21" s="316"/>
      <c r="I21" s="316"/>
      <c r="J21" s="94"/>
      <c r="K21" s="94"/>
    </row>
    <row r="22" spans="1:11" ht="33" customHeight="1" x14ac:dyDescent="0.25">
      <c r="A22" s="94"/>
      <c r="B22" s="101">
        <v>2</v>
      </c>
      <c r="C22" s="315"/>
      <c r="D22" s="316"/>
      <c r="E22" s="316"/>
      <c r="F22" s="316"/>
      <c r="G22" s="316"/>
      <c r="H22" s="316"/>
      <c r="I22" s="316"/>
      <c r="J22" s="94"/>
      <c r="K22" s="94"/>
    </row>
    <row r="23" spans="1:11" s="47" customFormat="1" ht="28.5" customHeight="1" x14ac:dyDescent="0.25">
      <c r="A23" s="94"/>
      <c r="B23" s="101">
        <v>3</v>
      </c>
      <c r="C23" s="315"/>
      <c r="D23" s="316"/>
      <c r="E23" s="316"/>
      <c r="F23" s="316"/>
      <c r="G23" s="316"/>
      <c r="H23" s="316"/>
      <c r="I23" s="316"/>
      <c r="J23" s="94"/>
      <c r="K23" s="94"/>
    </row>
    <row r="24" spans="1:11" s="47" customFormat="1" ht="38.25" customHeight="1" x14ac:dyDescent="0.25">
      <c r="A24" s="94"/>
      <c r="B24" s="101">
        <v>4</v>
      </c>
      <c r="C24" s="315"/>
      <c r="D24" s="316"/>
      <c r="E24" s="316"/>
      <c r="F24" s="316"/>
      <c r="G24" s="316"/>
      <c r="H24" s="316"/>
      <c r="I24" s="316"/>
      <c r="J24" s="94"/>
      <c r="K24" s="94"/>
    </row>
    <row r="25" spans="1:11" x14ac:dyDescent="0.25">
      <c r="A25" s="94"/>
      <c r="B25" s="94"/>
      <c r="C25" s="94"/>
      <c r="D25" s="94"/>
      <c r="E25" s="94"/>
      <c r="F25" s="94"/>
      <c r="G25" s="94"/>
      <c r="H25" s="94"/>
      <c r="I25" s="94"/>
      <c r="J25" s="94"/>
      <c r="K25" s="94"/>
    </row>
    <row r="26" spans="1:11" ht="21" x14ac:dyDescent="0.4">
      <c r="A26" s="286" t="s">
        <v>117</v>
      </c>
      <c r="B26" s="286"/>
      <c r="C26" s="286"/>
      <c r="D26" s="286"/>
      <c r="E26" s="286"/>
      <c r="F26" s="286"/>
      <c r="G26" s="105"/>
      <c r="H26" s="105"/>
      <c r="I26" s="105"/>
      <c r="J26" s="94"/>
      <c r="K26" s="94"/>
    </row>
    <row r="27" spans="1:11" x14ac:dyDescent="0.25">
      <c r="A27" s="47"/>
      <c r="B27" s="47"/>
      <c r="C27" s="47"/>
      <c r="D27" s="47"/>
      <c r="E27" s="47"/>
      <c r="F27" s="47"/>
      <c r="G27" s="47"/>
      <c r="H27" s="47"/>
      <c r="I27" s="47"/>
      <c r="J27" s="94"/>
      <c r="K27" s="94"/>
    </row>
    <row r="28" spans="1:11" x14ac:dyDescent="0.25">
      <c r="A28" s="96" t="s">
        <v>4</v>
      </c>
      <c r="B28" s="96" t="s">
        <v>25</v>
      </c>
      <c r="C28" s="96" t="s">
        <v>26</v>
      </c>
      <c r="D28" s="96" t="s">
        <v>27</v>
      </c>
      <c r="E28" s="96" t="s">
        <v>95</v>
      </c>
      <c r="F28" s="96" t="s">
        <v>68</v>
      </c>
      <c r="J28" s="94"/>
      <c r="K28" s="94"/>
    </row>
    <row r="29" spans="1:11" x14ac:dyDescent="0.25">
      <c r="A29" s="95" t="s">
        <v>113</v>
      </c>
      <c r="B29" s="54">
        <f>+RECONCILE!N67</f>
        <v>9205362.8200000003</v>
      </c>
      <c r="C29" s="54">
        <f>+RECONCILE!O67</f>
        <v>593302.18999999994</v>
      </c>
      <c r="D29" s="54">
        <f>+RECONCILE!P67</f>
        <v>593302.18999999994</v>
      </c>
      <c r="E29" s="54">
        <f>+RECONCILE!Q67</f>
        <v>0</v>
      </c>
      <c r="F29" s="54">
        <f>SUM(B29:E29)</f>
        <v>10391967.199999999</v>
      </c>
      <c r="J29" s="94">
        <f>+F29-B29-C29-D29-E29</f>
        <v>-9.3132257461547852E-10</v>
      </c>
      <c r="K29" s="94"/>
    </row>
    <row r="30" spans="1:11" x14ac:dyDescent="0.25">
      <c r="A30" s="95" t="s">
        <v>115</v>
      </c>
      <c r="B30" s="54">
        <f>+RECONCILE!E67</f>
        <v>9205362.8200000003</v>
      </c>
      <c r="C30" s="54">
        <f>+RECONCILE!F67</f>
        <v>593301.94999999995</v>
      </c>
      <c r="D30" s="54">
        <f>+RECONCILE!G67</f>
        <v>593301.94999999995</v>
      </c>
      <c r="E30" s="54">
        <f>+RECONCILE!H67</f>
        <v>0</v>
      </c>
      <c r="F30" s="54">
        <f t="shared" ref="F30:F31" si="14">SUM(B30:E30)</f>
        <v>10391966.719999999</v>
      </c>
      <c r="J30" s="94">
        <f t="shared" ref="J30:J32" si="15">+F30-B30-C30-D30-E30</f>
        <v>-1.3969838619232178E-9</v>
      </c>
      <c r="K30" s="94"/>
    </row>
    <row r="31" spans="1:11" x14ac:dyDescent="0.25">
      <c r="A31" s="95" t="s">
        <v>118</v>
      </c>
      <c r="B31" s="54">
        <f>+DATA!D71</f>
        <v>9205384.4000000004</v>
      </c>
      <c r="C31" s="54">
        <f>+DATA!E71</f>
        <v>27051.37</v>
      </c>
      <c r="D31" s="54">
        <f>+DATA!F71</f>
        <v>27051.37</v>
      </c>
      <c r="E31" s="54">
        <f>+DATA!G71</f>
        <v>0</v>
      </c>
      <c r="F31" s="54">
        <f t="shared" si="14"/>
        <v>9259487.1399999987</v>
      </c>
      <c r="J31" s="94">
        <f t="shared" si="15"/>
        <v>-1.6370904631912708E-9</v>
      </c>
      <c r="K31" s="94"/>
    </row>
    <row r="32" spans="1:11" x14ac:dyDescent="0.25">
      <c r="A32" s="104" t="s">
        <v>121</v>
      </c>
      <c r="B32" s="110">
        <f>+B29-B30</f>
        <v>0</v>
      </c>
      <c r="C32" s="110">
        <f>+C29-C30</f>
        <v>0.23999999999068677</v>
      </c>
      <c r="D32" s="110">
        <f>+D29-D30</f>
        <v>0.23999999999068677</v>
      </c>
      <c r="E32" s="110">
        <f>+E29-E30</f>
        <v>0</v>
      </c>
      <c r="F32" s="110">
        <f>+F29-F30</f>
        <v>0.48000000044703484</v>
      </c>
      <c r="J32" s="94">
        <f t="shared" si="15"/>
        <v>4.6566128730773926E-10</v>
      </c>
      <c r="K32" s="94"/>
    </row>
    <row r="33" spans="1:11" x14ac:dyDescent="0.25">
      <c r="A33" s="95"/>
      <c r="B33" s="111" t="str">
        <f t="shared" ref="B33" si="16">IF(B32&gt;0,"BOOKS MORE","BOOKS LESS")</f>
        <v>BOOKS LESS</v>
      </c>
      <c r="C33" s="111" t="str">
        <f t="shared" ref="C33" si="17">IF(C32&gt;0,"BOOKS MORE","BOOKS LESS")</f>
        <v>BOOKS MORE</v>
      </c>
      <c r="D33" s="111" t="str">
        <f t="shared" ref="D33" si="18">IF(D32&gt;0,"BOOKS MORE","BOOKS LESS")</f>
        <v>BOOKS MORE</v>
      </c>
      <c r="E33" s="111" t="str">
        <f t="shared" ref="E33" si="19">IF(E32&gt;0,"BOOKS MORE","BOOKS LESS")</f>
        <v>BOOKS LESS</v>
      </c>
      <c r="F33" s="111" t="str">
        <f t="shared" ref="F33" si="20">IF(F32&gt;0,"BOOKS MORE","BOOKS LESS")</f>
        <v>BOOKS MORE</v>
      </c>
      <c r="J33" s="94"/>
      <c r="K33" s="94"/>
    </row>
    <row r="34" spans="1:11" x14ac:dyDescent="0.25">
      <c r="A34" s="95"/>
      <c r="B34" s="54"/>
      <c r="C34" s="54"/>
      <c r="D34" s="54"/>
      <c r="E34" s="54"/>
      <c r="F34" s="54"/>
      <c r="J34" s="94"/>
      <c r="K34" s="94"/>
    </row>
    <row r="35" spans="1:11" s="47" customFormat="1" x14ac:dyDescent="0.25">
      <c r="A35" s="104" t="s">
        <v>120</v>
      </c>
      <c r="B35" s="110">
        <f>+B29-B31</f>
        <v>-21.580000000074506</v>
      </c>
      <c r="C35" s="110">
        <f>+C29-C31</f>
        <v>566250.81999999995</v>
      </c>
      <c r="D35" s="110">
        <f>+D29-D31</f>
        <v>566250.81999999995</v>
      </c>
      <c r="E35" s="110">
        <f>+E29-E31</f>
        <v>0</v>
      </c>
      <c r="F35" s="110">
        <f>+F29-F31</f>
        <v>1132480.0600000005</v>
      </c>
      <c r="J35" s="94">
        <f t="shared" ref="J35" si="21">+F35-B35-C35-D35-E35</f>
        <v>6.9849193096160889E-10</v>
      </c>
      <c r="K35" s="94"/>
    </row>
    <row r="36" spans="1:11" s="47" customFormat="1" x14ac:dyDescent="0.25">
      <c r="A36" s="95"/>
      <c r="B36" s="111" t="str">
        <f t="shared" ref="B36" si="22">IF(B35&gt;0,"BOOKS MORE","BOOKS LESS")</f>
        <v>BOOKS LESS</v>
      </c>
      <c r="C36" s="111" t="str">
        <f t="shared" ref="C36" si="23">IF(C35&gt;0,"BOOKS MORE","BOOKS LESS")</f>
        <v>BOOKS MORE</v>
      </c>
      <c r="D36" s="111" t="str">
        <f t="shared" ref="D36" si="24">IF(D35&gt;0,"BOOKS MORE","BOOKS LESS")</f>
        <v>BOOKS MORE</v>
      </c>
      <c r="E36" s="111" t="str">
        <f t="shared" ref="E36" si="25">IF(E35&gt;0,"BOOKS MORE","BOOKS LESS")</f>
        <v>BOOKS LESS</v>
      </c>
      <c r="F36" s="111" t="str">
        <f t="shared" ref="F36" si="26">IF(F35&gt;0,"BOOKS MORE","BOOKS LESS")</f>
        <v>BOOKS MORE</v>
      </c>
      <c r="J36" s="94"/>
      <c r="K36" s="94"/>
    </row>
    <row r="37" spans="1:11" s="47" customFormat="1" x14ac:dyDescent="0.25">
      <c r="A37" s="95"/>
      <c r="B37" s="54"/>
      <c r="C37" s="54"/>
      <c r="D37" s="54"/>
      <c r="E37" s="54"/>
      <c r="F37" s="54"/>
      <c r="J37" s="94"/>
      <c r="K37" s="94"/>
    </row>
    <row r="38" spans="1:11" s="47" customFormat="1" x14ac:dyDescent="0.25">
      <c r="A38" s="104" t="s">
        <v>119</v>
      </c>
      <c r="B38" s="110">
        <f>+B30-B31</f>
        <v>-21.580000000074506</v>
      </c>
      <c r="C38" s="110">
        <f>+C30-C31</f>
        <v>566250.57999999996</v>
      </c>
      <c r="D38" s="110">
        <f>+D30-D31</f>
        <v>566250.57999999996</v>
      </c>
      <c r="E38" s="110">
        <f>+E30-E31</f>
        <v>0</v>
      </c>
      <c r="F38" s="110">
        <f>+F30-F31</f>
        <v>1132479.58</v>
      </c>
      <c r="J38" s="94">
        <f t="shared" ref="J38" si="27">+F38-B38-C38-D38-E38</f>
        <v>2.3283064365386963E-10</v>
      </c>
      <c r="K38" s="94"/>
    </row>
    <row r="39" spans="1:11" s="47" customFormat="1" x14ac:dyDescent="0.25">
      <c r="A39" s="95"/>
      <c r="B39" s="111" t="str">
        <f>IF(B38&gt;0,"3B MORE","3B LESS")</f>
        <v>3B LESS</v>
      </c>
      <c r="C39" s="111" t="str">
        <f>IF(C38&gt;0,"3B MORE","3B LESS")</f>
        <v>3B MORE</v>
      </c>
      <c r="D39" s="111" t="str">
        <f>IF(D38&gt;0,"3B MORE","3B LESS")</f>
        <v>3B MORE</v>
      </c>
      <c r="E39" s="111" t="str">
        <f>IF(E38&gt;0,"3B MORE","3B LESS")</f>
        <v>3B LESS</v>
      </c>
      <c r="F39" s="111" t="str">
        <f>IF(F38&gt;0,"3B MORE","3B LESS")</f>
        <v>3B MORE</v>
      </c>
      <c r="J39" s="94"/>
      <c r="K39" s="94"/>
    </row>
    <row r="40" spans="1:11" s="47" customFormat="1" x14ac:dyDescent="0.25">
      <c r="A40" s="97"/>
      <c r="B40" s="98"/>
      <c r="C40" s="98"/>
      <c r="D40" s="98"/>
      <c r="E40" s="98"/>
      <c r="F40" s="98"/>
      <c r="G40" s="98"/>
      <c r="H40" s="98"/>
      <c r="I40" s="98"/>
      <c r="J40" s="94"/>
      <c r="K40" s="94"/>
    </row>
    <row r="41" spans="1:11" ht="21" customHeight="1" x14ac:dyDescent="0.25">
      <c r="A41" s="99" t="s">
        <v>123</v>
      </c>
      <c r="B41" s="100">
        <v>1</v>
      </c>
      <c r="C41" s="315"/>
      <c r="D41" s="315"/>
      <c r="E41" s="315"/>
      <c r="F41" s="315"/>
      <c r="G41" s="315"/>
      <c r="H41" s="315"/>
      <c r="I41" s="315"/>
      <c r="J41" s="94"/>
      <c r="K41" s="94"/>
    </row>
    <row r="42" spans="1:11" ht="29.25" customHeight="1" x14ac:dyDescent="0.25">
      <c r="A42" s="94"/>
      <c r="B42" s="101">
        <v>2</v>
      </c>
      <c r="C42" s="315"/>
      <c r="D42" s="315"/>
      <c r="E42" s="315"/>
      <c r="F42" s="315"/>
      <c r="G42" s="315"/>
      <c r="H42" s="315"/>
      <c r="I42" s="315"/>
      <c r="J42" s="94"/>
      <c r="K42" s="94"/>
    </row>
    <row r="43" spans="1:11" ht="27" customHeight="1" x14ac:dyDescent="0.25">
      <c r="A43" s="94"/>
      <c r="B43" s="101">
        <v>3</v>
      </c>
      <c r="C43" s="315"/>
      <c r="D43" s="315"/>
      <c r="E43" s="315"/>
      <c r="F43" s="315"/>
      <c r="G43" s="315"/>
      <c r="H43" s="315"/>
      <c r="I43" s="315"/>
      <c r="J43" s="94"/>
      <c r="K43" s="94"/>
    </row>
    <row r="44" spans="1:11" ht="35.25" customHeight="1" x14ac:dyDescent="0.25">
      <c r="A44" s="94"/>
      <c r="B44" s="101">
        <v>4</v>
      </c>
      <c r="C44" s="315"/>
      <c r="D44" s="315"/>
      <c r="E44" s="315"/>
      <c r="F44" s="315"/>
      <c r="G44" s="315"/>
      <c r="H44" s="315"/>
      <c r="I44" s="315"/>
      <c r="J44" s="94"/>
      <c r="K44" s="94"/>
    </row>
    <row r="45" spans="1:11" x14ac:dyDescent="0.25">
      <c r="A45" s="94"/>
      <c r="B45" s="94"/>
      <c r="C45" s="94"/>
      <c r="D45" s="94"/>
      <c r="E45" s="94"/>
      <c r="F45" s="94"/>
      <c r="G45" s="94"/>
      <c r="H45" s="94"/>
      <c r="I45" s="94"/>
      <c r="J45" s="94"/>
      <c r="K45" s="94"/>
    </row>
    <row r="46" spans="1:11" x14ac:dyDescent="0.25">
      <c r="A46" s="94"/>
      <c r="B46" s="94"/>
      <c r="C46" s="94"/>
      <c r="D46" s="94"/>
      <c r="E46" s="94"/>
      <c r="F46" s="94"/>
      <c r="G46" s="94"/>
      <c r="H46" s="94"/>
      <c r="I46" s="94"/>
      <c r="J46" s="94"/>
      <c r="K46" s="94"/>
    </row>
    <row r="47" spans="1:11" x14ac:dyDescent="0.25">
      <c r="A47" s="94"/>
      <c r="B47" s="94"/>
      <c r="C47" s="94"/>
      <c r="D47" s="94"/>
      <c r="E47" s="94"/>
      <c r="F47" s="94"/>
      <c r="G47" s="94"/>
      <c r="H47" s="94"/>
      <c r="I47" s="94"/>
      <c r="J47" s="94"/>
      <c r="K47" s="94"/>
    </row>
    <row r="48" spans="1:11" x14ac:dyDescent="0.25">
      <c r="A48" s="94"/>
      <c r="B48" s="94"/>
      <c r="C48" s="94"/>
      <c r="D48" s="94"/>
      <c r="E48" s="94"/>
      <c r="F48" s="94"/>
      <c r="G48" s="94"/>
      <c r="H48" s="94"/>
      <c r="I48" s="94"/>
      <c r="J48" s="94"/>
      <c r="K48" s="94"/>
    </row>
    <row r="49" spans="1:11" x14ac:dyDescent="0.25">
      <c r="A49" s="94"/>
      <c r="B49" s="94"/>
      <c r="C49" s="94"/>
      <c r="D49" s="94"/>
      <c r="E49" s="94"/>
      <c r="F49" s="94"/>
      <c r="G49" s="94"/>
      <c r="H49" s="94"/>
      <c r="I49" s="94"/>
      <c r="J49" s="94"/>
      <c r="K49" s="94"/>
    </row>
    <row r="50" spans="1:11" x14ac:dyDescent="0.25">
      <c r="A50" s="94"/>
      <c r="B50" s="94"/>
      <c r="C50" s="94"/>
      <c r="D50" s="94"/>
      <c r="E50" s="94"/>
      <c r="F50" s="94"/>
      <c r="G50" s="94"/>
      <c r="H50" s="94"/>
      <c r="I50" s="94"/>
      <c r="J50" s="94"/>
      <c r="K50" s="94"/>
    </row>
    <row r="51" spans="1:11" x14ac:dyDescent="0.25">
      <c r="A51" s="94"/>
      <c r="B51" s="94"/>
      <c r="C51" s="94"/>
      <c r="D51" s="94"/>
      <c r="E51" s="94"/>
      <c r="F51" s="94"/>
      <c r="G51" s="94"/>
      <c r="H51" s="94"/>
      <c r="I51" s="94"/>
      <c r="J51" s="94"/>
      <c r="K51" s="94"/>
    </row>
    <row r="52" spans="1:11" x14ac:dyDescent="0.25">
      <c r="A52" s="94"/>
      <c r="B52" s="94"/>
      <c r="C52" s="94"/>
      <c r="D52" s="94"/>
      <c r="E52" s="94"/>
      <c r="F52" s="94"/>
      <c r="G52" s="94"/>
      <c r="H52" s="94"/>
      <c r="I52" s="94"/>
      <c r="J52" s="94"/>
      <c r="K52" s="94"/>
    </row>
    <row r="53" spans="1:11" x14ac:dyDescent="0.25">
      <c r="A53" s="94"/>
      <c r="B53" s="94"/>
      <c r="C53" s="94"/>
      <c r="D53" s="94"/>
      <c r="E53" s="94"/>
      <c r="F53" s="94"/>
      <c r="G53" s="94"/>
      <c r="H53" s="94"/>
      <c r="I53" s="94"/>
      <c r="J53" s="94"/>
      <c r="K53" s="94"/>
    </row>
    <row r="54" spans="1:11" x14ac:dyDescent="0.25">
      <c r="A54" s="94"/>
      <c r="B54" s="94"/>
      <c r="C54" s="94"/>
      <c r="D54" s="94"/>
      <c r="E54" s="94"/>
      <c r="F54" s="94"/>
      <c r="G54" s="94"/>
      <c r="H54" s="94"/>
      <c r="I54" s="94"/>
      <c r="J54" s="94"/>
      <c r="K54" s="94"/>
    </row>
  </sheetData>
  <mergeCells count="14">
    <mergeCell ref="C21:I21"/>
    <mergeCell ref="C22:I22"/>
    <mergeCell ref="C23:I23"/>
    <mergeCell ref="C24:I24"/>
    <mergeCell ref="A1:I1"/>
    <mergeCell ref="A2:I2"/>
    <mergeCell ref="A3:I3"/>
    <mergeCell ref="A4:I4"/>
    <mergeCell ref="A6:I6"/>
    <mergeCell ref="A26:F26"/>
    <mergeCell ref="C41:I41"/>
    <mergeCell ref="C42:I42"/>
    <mergeCell ref="C43:I43"/>
    <mergeCell ref="C44:I44"/>
  </mergeCells>
  <pageMargins left="0.23622047244094491" right="0.15748031496062992" top="0.23" bottom="0.15748031496062992" header="0.26" footer="0.16"/>
  <pageSetup paperSize="9" scale="7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77"/>
  <sheetViews>
    <sheetView topLeftCell="A61" zoomScaleNormal="100" zoomScaleSheetLayoutView="100" workbookViewId="0">
      <selection activeCell="B20" sqref="B20"/>
    </sheetView>
  </sheetViews>
  <sheetFormatPr defaultRowHeight="13.2" x14ac:dyDescent="0.25"/>
  <cols>
    <col min="1" max="1" width="3.88671875" customWidth="1"/>
    <col min="2" max="2" width="58" customWidth="1"/>
    <col min="3" max="3" width="18.109375" customWidth="1"/>
  </cols>
  <sheetData>
    <row r="1" spans="1:8" ht="21" x14ac:dyDescent="0.4">
      <c r="A1" s="277" t="str">
        <f>+'ITC BIFURCATION'!A1:F1</f>
        <v>ABC LTD.</v>
      </c>
      <c r="B1" s="277"/>
      <c r="C1" s="277"/>
      <c r="D1" s="65"/>
      <c r="E1" s="65"/>
      <c r="F1" s="65"/>
      <c r="G1" s="65"/>
      <c r="H1" s="65"/>
    </row>
    <row r="2" spans="1:8" ht="21" x14ac:dyDescent="0.4">
      <c r="A2" s="277" t="str">
        <f>+'ITC BIFURCATION'!A2:F2</f>
        <v>ADDRESS OR PROPRIETOR NAME</v>
      </c>
      <c r="B2" s="277"/>
      <c r="C2" s="277"/>
      <c r="D2" s="65"/>
      <c r="E2" s="65"/>
      <c r="F2" s="65"/>
      <c r="G2" s="65"/>
      <c r="H2" s="65"/>
    </row>
    <row r="3" spans="1:8" ht="21" x14ac:dyDescent="0.4">
      <c r="A3" s="277" t="str">
        <f>+'ITC BIFURCATION'!A3:F3</f>
        <v>FINANCIAL YEAR 2018-2019</v>
      </c>
      <c r="B3" s="277"/>
      <c r="C3" s="277"/>
      <c r="D3" s="65"/>
      <c r="E3" s="65"/>
      <c r="F3" s="65"/>
      <c r="G3" s="65"/>
      <c r="H3" s="65"/>
    </row>
    <row r="4" spans="1:8" ht="21" x14ac:dyDescent="0.4">
      <c r="A4" s="318" t="str">
        <f>+'ITC BIFURCATION'!A4:F4</f>
        <v>GST NO.</v>
      </c>
      <c r="B4" s="318"/>
      <c r="C4" s="318"/>
      <c r="D4" s="65"/>
      <c r="E4" s="65"/>
      <c r="F4" s="65"/>
      <c r="G4" s="65"/>
      <c r="H4" s="65"/>
    </row>
    <row r="5" spans="1:8" x14ac:dyDescent="0.25">
      <c r="A5" s="47"/>
      <c r="B5" s="47"/>
      <c r="C5" s="47"/>
      <c r="D5" s="47"/>
      <c r="E5" s="47"/>
      <c r="F5" s="47"/>
      <c r="G5" s="47"/>
      <c r="H5" s="47"/>
    </row>
    <row r="6" spans="1:8" ht="21" x14ac:dyDescent="0.4">
      <c r="A6" s="286" t="s">
        <v>125</v>
      </c>
      <c r="B6" s="286"/>
      <c r="C6" s="286"/>
      <c r="D6" s="105"/>
      <c r="E6" s="105"/>
      <c r="F6" s="105"/>
      <c r="G6" s="105"/>
      <c r="H6" s="105"/>
    </row>
    <row r="7" spans="1:8" x14ac:dyDescent="0.25">
      <c r="C7" s="112"/>
    </row>
    <row r="8" spans="1:8" s="115" customFormat="1" x14ac:dyDescent="0.25">
      <c r="A8" s="192">
        <v>1</v>
      </c>
      <c r="B8" s="94" t="s">
        <v>167</v>
      </c>
      <c r="C8" s="193">
        <f>SUM(DATA!I33:J33)-RECONCILE!M29</f>
        <v>0</v>
      </c>
    </row>
    <row r="9" spans="1:8" s="115" customFormat="1" x14ac:dyDescent="0.25">
      <c r="A9" s="192">
        <f>+A8+1</f>
        <v>2</v>
      </c>
      <c r="B9" s="94" t="s">
        <v>168</v>
      </c>
      <c r="C9" s="193">
        <f>SUM(DATA!K33:N33)-RECONCILE!R29</f>
        <v>0</v>
      </c>
    </row>
    <row r="10" spans="1:8" s="115" customFormat="1" x14ac:dyDescent="0.25">
      <c r="A10" s="192">
        <f t="shared" ref="A10:A30" si="0">+A9+1</f>
        <v>3</v>
      </c>
      <c r="B10" s="94" t="s">
        <v>169</v>
      </c>
      <c r="C10" s="193">
        <f>SUM(DATA!K51:N51)-RECONCILE!R67</f>
        <v>0</v>
      </c>
    </row>
    <row r="11" spans="1:8" s="115" customFormat="1" x14ac:dyDescent="0.25">
      <c r="A11" s="192">
        <f t="shared" si="0"/>
        <v>4</v>
      </c>
      <c r="B11" s="94" t="s">
        <v>170</v>
      </c>
      <c r="C11" s="193">
        <f>SUM(DATA!K88:N88)-RECONCILE!R85</f>
        <v>0</v>
      </c>
    </row>
    <row r="12" spans="1:8" s="115" customFormat="1" x14ac:dyDescent="0.25">
      <c r="A12" s="192">
        <f t="shared" si="0"/>
        <v>5</v>
      </c>
      <c r="B12" s="94" t="s">
        <v>171</v>
      </c>
      <c r="C12" s="193">
        <f>SUM(DATA!B33:C33)-RECONCILE!D29</f>
        <v>0</v>
      </c>
    </row>
    <row r="13" spans="1:8" s="115" customFormat="1" x14ac:dyDescent="0.25">
      <c r="A13" s="192">
        <f t="shared" si="0"/>
        <v>6</v>
      </c>
      <c r="B13" s="94" t="s">
        <v>172</v>
      </c>
      <c r="C13" s="193">
        <f>SUM(DATA!D33:G33)-RECONCILE!I29</f>
        <v>0</v>
      </c>
    </row>
    <row r="14" spans="1:8" s="115" customFormat="1" x14ac:dyDescent="0.25">
      <c r="A14" s="192">
        <f t="shared" si="0"/>
        <v>7</v>
      </c>
      <c r="B14" s="94" t="s">
        <v>173</v>
      </c>
      <c r="C14" s="193">
        <f>SUM(DATA!D51:G51)-RECONCILE!I67</f>
        <v>0</v>
      </c>
    </row>
    <row r="15" spans="1:8" s="115" customFormat="1" x14ac:dyDescent="0.25">
      <c r="A15" s="192">
        <f t="shared" si="0"/>
        <v>8</v>
      </c>
      <c r="B15" s="94" t="s">
        <v>174</v>
      </c>
      <c r="C15" s="193">
        <f>SUM(DATA!D88:G88)-RECONCILE!I85</f>
        <v>0</v>
      </c>
    </row>
    <row r="16" spans="1:8" s="115" customFormat="1" x14ac:dyDescent="0.25">
      <c r="A16" s="192">
        <f t="shared" si="0"/>
        <v>9</v>
      </c>
      <c r="B16" s="94" t="s">
        <v>175</v>
      </c>
      <c r="C16" s="193">
        <f>SUM(DATA!P33:Q33)-RECONCILE!M48</f>
        <v>0</v>
      </c>
    </row>
    <row r="17" spans="1:3" s="115" customFormat="1" x14ac:dyDescent="0.25">
      <c r="A17" s="192">
        <f t="shared" si="0"/>
        <v>10</v>
      </c>
      <c r="B17" s="94" t="s">
        <v>176</v>
      </c>
      <c r="C17" s="193">
        <f>SUM(DATA!R33:U33)-RECONCILE!R48</f>
        <v>0</v>
      </c>
    </row>
    <row r="18" spans="1:3" x14ac:dyDescent="0.25">
      <c r="A18" s="192">
        <f t="shared" si="0"/>
        <v>11</v>
      </c>
      <c r="B18" s="94" t="s">
        <v>177</v>
      </c>
      <c r="C18" s="193">
        <f>+RECONCILE!M29-SUMMARY!D9</f>
        <v>0</v>
      </c>
    </row>
    <row r="19" spans="1:3" x14ac:dyDescent="0.25">
      <c r="A19" s="192">
        <f t="shared" si="0"/>
        <v>12</v>
      </c>
      <c r="B19" s="94" t="s">
        <v>178</v>
      </c>
      <c r="C19" s="193">
        <f>+RECONCILE!R29-SUMMARY!I9</f>
        <v>0</v>
      </c>
    </row>
    <row r="20" spans="1:3" x14ac:dyDescent="0.25">
      <c r="A20" s="192">
        <f t="shared" si="0"/>
        <v>13</v>
      </c>
      <c r="B20" s="94" t="s">
        <v>179</v>
      </c>
      <c r="C20" s="193">
        <f>+RECONCILE!R67-SUMMARY!F29</f>
        <v>0</v>
      </c>
    </row>
    <row r="21" spans="1:3" x14ac:dyDescent="0.25">
      <c r="A21" s="192">
        <f t="shared" si="0"/>
        <v>14</v>
      </c>
      <c r="B21" s="94" t="s">
        <v>180</v>
      </c>
      <c r="C21" s="193">
        <f>+RECONCILE!D29-SUMMARY!D11</f>
        <v>0</v>
      </c>
    </row>
    <row r="22" spans="1:3" x14ac:dyDescent="0.25">
      <c r="A22" s="192">
        <f t="shared" si="0"/>
        <v>15</v>
      </c>
      <c r="B22" s="94" t="s">
        <v>181</v>
      </c>
      <c r="C22" s="193">
        <f>+RECONCILE!I29-SUMMARY!I11</f>
        <v>0</v>
      </c>
    </row>
    <row r="23" spans="1:3" x14ac:dyDescent="0.25">
      <c r="A23" s="192">
        <f t="shared" si="0"/>
        <v>16</v>
      </c>
      <c r="B23" s="94" t="s">
        <v>182</v>
      </c>
      <c r="C23" s="193">
        <f>+RECONCILE!I67-SUMMARY!F30</f>
        <v>0</v>
      </c>
    </row>
    <row r="24" spans="1:3" x14ac:dyDescent="0.25">
      <c r="A24" s="192">
        <f t="shared" si="0"/>
        <v>17</v>
      </c>
      <c r="B24" s="194" t="s">
        <v>138</v>
      </c>
      <c r="C24" s="193">
        <f>SUM(DATA!D71:G71)-SUMMARY!F31</f>
        <v>0</v>
      </c>
    </row>
    <row r="25" spans="1:3" x14ac:dyDescent="0.25">
      <c r="A25" s="192">
        <f t="shared" si="0"/>
        <v>18</v>
      </c>
      <c r="B25" s="194" t="s">
        <v>183</v>
      </c>
      <c r="C25" s="193">
        <f>RECONCILE!K48-SUMMARY!B10</f>
        <v>0</v>
      </c>
    </row>
    <row r="26" spans="1:3" x14ac:dyDescent="0.25">
      <c r="A26" s="192">
        <f t="shared" si="0"/>
        <v>19</v>
      </c>
      <c r="B26" s="194" t="s">
        <v>184</v>
      </c>
      <c r="C26" s="193">
        <f>RECONCILE!R48-SUMMARY!I10</f>
        <v>0</v>
      </c>
    </row>
    <row r="27" spans="1:3" x14ac:dyDescent="0.25">
      <c r="A27" s="192">
        <f t="shared" si="0"/>
        <v>20</v>
      </c>
      <c r="B27" s="94" t="s">
        <v>185</v>
      </c>
      <c r="C27" s="193">
        <f>+RECONCILE!K29-'RATE WISE'!P16</f>
        <v>0.76999999582767487</v>
      </c>
    </row>
    <row r="28" spans="1:3" x14ac:dyDescent="0.25">
      <c r="A28" s="192">
        <f t="shared" si="0"/>
        <v>21</v>
      </c>
      <c r="B28" s="94" t="s">
        <v>186</v>
      </c>
      <c r="C28" s="193">
        <f>+RECONCILE!R29-'RATE WISE'!U16</f>
        <v>207.18650000169873</v>
      </c>
    </row>
    <row r="29" spans="1:3" x14ac:dyDescent="0.25">
      <c r="A29" s="192">
        <f t="shared" si="0"/>
        <v>22</v>
      </c>
      <c r="B29" s="94" t="s">
        <v>187</v>
      </c>
      <c r="C29" s="193">
        <f>+RECONCILE!R67+'RATE WISE'!U29-'ITC BIFURCATION'!F26</f>
        <v>-87.799999998882413</v>
      </c>
    </row>
    <row r="30" spans="1:3" x14ac:dyDescent="0.25">
      <c r="A30" s="187">
        <f t="shared" si="0"/>
        <v>23</v>
      </c>
      <c r="B30" s="191" t="s">
        <v>139</v>
      </c>
    </row>
    <row r="31" spans="1:3" s="115" customFormat="1" x14ac:dyDescent="0.25">
      <c r="A31" s="187"/>
      <c r="B31" s="317" t="s">
        <v>189</v>
      </c>
      <c r="C31" s="94">
        <f>+'RATE WISE'!V16</f>
        <v>0</v>
      </c>
    </row>
    <row r="32" spans="1:3" s="115" customFormat="1" x14ac:dyDescent="0.25">
      <c r="A32" s="187"/>
      <c r="B32" s="317"/>
      <c r="C32" s="94">
        <f>+'RATE WISE'!V17</f>
        <v>0</v>
      </c>
    </row>
    <row r="33" spans="1:3" s="115" customFormat="1" x14ac:dyDescent="0.25">
      <c r="A33" s="187"/>
      <c r="B33" s="317"/>
      <c r="C33" s="94">
        <f>+'RATE WISE'!V29</f>
        <v>0</v>
      </c>
    </row>
    <row r="34" spans="1:3" s="115" customFormat="1" x14ac:dyDescent="0.25">
      <c r="A34" s="187"/>
      <c r="B34" s="317"/>
      <c r="C34" s="94">
        <f>+'RATE WISE'!V30</f>
        <v>0</v>
      </c>
    </row>
    <row r="35" spans="1:3" s="115" customFormat="1" x14ac:dyDescent="0.25">
      <c r="A35" s="187"/>
      <c r="B35" s="191"/>
    </row>
    <row r="36" spans="1:3" s="115" customFormat="1" x14ac:dyDescent="0.25">
      <c r="A36" s="187"/>
      <c r="B36" s="317" t="s">
        <v>188</v>
      </c>
      <c r="C36" s="94">
        <f>+RECONCILE!D30</f>
        <v>0</v>
      </c>
    </row>
    <row r="37" spans="1:3" s="115" customFormat="1" x14ac:dyDescent="0.25">
      <c r="A37" s="187"/>
      <c r="B37" s="317"/>
      <c r="C37" s="94">
        <f>+RECONCILE!I30</f>
        <v>0</v>
      </c>
    </row>
    <row r="38" spans="1:3" s="115" customFormat="1" x14ac:dyDescent="0.25">
      <c r="A38" s="187"/>
      <c r="B38" s="317"/>
      <c r="C38" s="94">
        <f>+RECONCILE!M30</f>
        <v>0</v>
      </c>
    </row>
    <row r="39" spans="1:3" s="115" customFormat="1" x14ac:dyDescent="0.25">
      <c r="A39" s="187"/>
      <c r="B39" s="317"/>
      <c r="C39" s="94">
        <f>+RECONCILE!R30</f>
        <v>0</v>
      </c>
    </row>
    <row r="40" spans="1:3" s="115" customFormat="1" x14ac:dyDescent="0.25">
      <c r="A40" s="187"/>
      <c r="B40" s="317"/>
      <c r="C40" s="94">
        <f>+RECONCILE!AA31</f>
        <v>0</v>
      </c>
    </row>
    <row r="41" spans="1:3" s="115" customFormat="1" x14ac:dyDescent="0.25">
      <c r="A41" s="187"/>
      <c r="B41" s="317"/>
      <c r="C41" s="94">
        <f>+RECONCILE!D49</f>
        <v>0</v>
      </c>
    </row>
    <row r="42" spans="1:3" s="115" customFormat="1" x14ac:dyDescent="0.25">
      <c r="A42" s="187"/>
      <c r="B42" s="317"/>
      <c r="C42" s="94">
        <f>+RECONCILE!I49</f>
        <v>0</v>
      </c>
    </row>
    <row r="43" spans="1:3" s="115" customFormat="1" x14ac:dyDescent="0.25">
      <c r="A43" s="187"/>
      <c r="B43" s="317"/>
      <c r="C43" s="94">
        <f>+RECONCILE!M49</f>
        <v>0</v>
      </c>
    </row>
    <row r="44" spans="1:3" s="115" customFormat="1" x14ac:dyDescent="0.25">
      <c r="A44" s="187"/>
      <c r="B44" s="317"/>
      <c r="C44" s="94">
        <f>+RECONCILE!R49</f>
        <v>0</v>
      </c>
    </row>
    <row r="45" spans="1:3" s="115" customFormat="1" x14ac:dyDescent="0.25">
      <c r="A45" s="187"/>
      <c r="B45" s="317"/>
      <c r="C45" s="94">
        <f>+RECONCILE!AB48</f>
        <v>0</v>
      </c>
    </row>
    <row r="46" spans="1:3" s="115" customFormat="1" x14ac:dyDescent="0.25">
      <c r="A46" s="187"/>
      <c r="B46" s="317"/>
      <c r="C46" s="94">
        <f>+RECONCILE!I68</f>
        <v>0</v>
      </c>
    </row>
    <row r="47" spans="1:3" s="115" customFormat="1" x14ac:dyDescent="0.25">
      <c r="A47" s="187"/>
      <c r="B47" s="317"/>
      <c r="C47" s="94">
        <f>+RECONCILE!R68</f>
        <v>0</v>
      </c>
    </row>
    <row r="48" spans="1:3" s="115" customFormat="1" x14ac:dyDescent="0.25">
      <c r="A48" s="187"/>
      <c r="B48" s="317"/>
      <c r="C48" s="94">
        <f>+RECONCILE!AB67</f>
        <v>-4.6624393235106254E-10</v>
      </c>
    </row>
    <row r="49" spans="1:3" s="115" customFormat="1" x14ac:dyDescent="0.25">
      <c r="A49" s="187"/>
      <c r="B49" s="317"/>
      <c r="C49" s="94">
        <f>+RECONCILE!I86</f>
        <v>0</v>
      </c>
    </row>
    <row r="50" spans="1:3" s="115" customFormat="1" x14ac:dyDescent="0.25">
      <c r="A50" s="187"/>
      <c r="B50" s="317"/>
      <c r="C50" s="94">
        <f>+RECONCILE!R86</f>
        <v>0</v>
      </c>
    </row>
    <row r="51" spans="1:3" s="115" customFormat="1" x14ac:dyDescent="0.25">
      <c r="A51" s="187"/>
      <c r="B51" s="317"/>
      <c r="C51" s="94">
        <f>+RECONCILE!AB85</f>
        <v>0</v>
      </c>
    </row>
    <row r="52" spans="1:3" s="115" customFormat="1" x14ac:dyDescent="0.25">
      <c r="A52" s="187"/>
      <c r="B52" s="191"/>
    </row>
    <row r="53" spans="1:3" s="115" customFormat="1" x14ac:dyDescent="0.25">
      <c r="A53" s="187"/>
      <c r="B53" s="94" t="s">
        <v>190</v>
      </c>
      <c r="C53" s="94">
        <f>+'ITC BIFURCATION'!G26</f>
        <v>0</v>
      </c>
    </row>
    <row r="54" spans="1:3" s="115" customFormat="1" x14ac:dyDescent="0.25">
      <c r="A54" s="187"/>
      <c r="B54" s="94" t="s">
        <v>191</v>
      </c>
      <c r="C54" s="94">
        <f>+INTEREST!O24</f>
        <v>0</v>
      </c>
    </row>
    <row r="55" spans="1:3" s="115" customFormat="1" x14ac:dyDescent="0.25">
      <c r="A55" s="187"/>
      <c r="B55" s="191"/>
    </row>
    <row r="56" spans="1:3" s="115" customFormat="1" x14ac:dyDescent="0.25">
      <c r="A56" s="187"/>
      <c r="B56" s="317" t="s">
        <v>192</v>
      </c>
      <c r="C56" s="94">
        <f>+SUMMARY!J9</f>
        <v>0</v>
      </c>
    </row>
    <row r="57" spans="1:3" s="115" customFormat="1" x14ac:dyDescent="0.25">
      <c r="A57" s="187"/>
      <c r="B57" s="317"/>
      <c r="C57" s="94">
        <f>+SUMMARY!J10</f>
        <v>0</v>
      </c>
    </row>
    <row r="58" spans="1:3" s="115" customFormat="1" x14ac:dyDescent="0.25">
      <c r="A58" s="187"/>
      <c r="B58" s="317"/>
      <c r="C58" s="94">
        <f>+SUMMARY!J11</f>
        <v>0</v>
      </c>
    </row>
    <row r="59" spans="1:3" s="115" customFormat="1" x14ac:dyDescent="0.25">
      <c r="A59" s="187"/>
      <c r="B59" s="317"/>
      <c r="C59" s="94">
        <f>+SUMMARY!J12</f>
        <v>1.1641532182693481E-10</v>
      </c>
    </row>
    <row r="60" spans="1:3" s="115" customFormat="1" x14ac:dyDescent="0.25">
      <c r="A60" s="187"/>
      <c r="B60" s="317"/>
      <c r="C60" s="94">
        <f>+SUMMARY!J15</f>
        <v>0</v>
      </c>
    </row>
    <row r="61" spans="1:3" s="115" customFormat="1" x14ac:dyDescent="0.25">
      <c r="A61" s="187"/>
      <c r="B61" s="317"/>
      <c r="C61" s="94">
        <f>+SUMMARY!J18</f>
        <v>-1.1641532182693481E-10</v>
      </c>
    </row>
    <row r="62" spans="1:3" s="115" customFormat="1" x14ac:dyDescent="0.25">
      <c r="A62" s="187"/>
      <c r="B62" s="317"/>
      <c r="C62" s="94">
        <f>+SUMMARY!K9</f>
        <v>0</v>
      </c>
    </row>
    <row r="63" spans="1:3" s="115" customFormat="1" x14ac:dyDescent="0.25">
      <c r="A63" s="187"/>
      <c r="B63" s="317"/>
      <c r="C63" s="94">
        <f>+SUMMARY!K10</f>
        <v>0</v>
      </c>
    </row>
    <row r="64" spans="1:3" s="115" customFormat="1" x14ac:dyDescent="0.25">
      <c r="A64" s="187"/>
      <c r="B64" s="317"/>
      <c r="C64" s="94">
        <f>+SUMMARY!K11</f>
        <v>0</v>
      </c>
    </row>
    <row r="65" spans="1:3" s="115" customFormat="1" x14ac:dyDescent="0.25">
      <c r="A65" s="187"/>
      <c r="B65" s="317"/>
      <c r="C65" s="94">
        <f>+SUMMARY!K12</f>
        <v>0</v>
      </c>
    </row>
    <row r="66" spans="1:3" s="115" customFormat="1" x14ac:dyDescent="0.25">
      <c r="A66" s="187"/>
      <c r="B66" s="317"/>
      <c r="C66" s="94">
        <f>+SUMMARY!K15</f>
        <v>0</v>
      </c>
    </row>
    <row r="67" spans="1:3" s="115" customFormat="1" x14ac:dyDescent="0.25">
      <c r="A67" s="187"/>
      <c r="B67" s="317"/>
      <c r="C67" s="94">
        <f>+SUMMARY!K18</f>
        <v>0</v>
      </c>
    </row>
    <row r="68" spans="1:3" s="115" customFormat="1" x14ac:dyDescent="0.25">
      <c r="A68" s="187"/>
      <c r="B68" s="317"/>
      <c r="C68" s="94">
        <f>+SUMMARY!J29</f>
        <v>-9.3132257461547852E-10</v>
      </c>
    </row>
    <row r="69" spans="1:3" s="115" customFormat="1" x14ac:dyDescent="0.25">
      <c r="A69" s="187"/>
      <c r="B69" s="317"/>
      <c r="C69" s="94">
        <f>+SUMMARY!J30</f>
        <v>-1.3969838619232178E-9</v>
      </c>
    </row>
    <row r="70" spans="1:3" s="115" customFormat="1" x14ac:dyDescent="0.25">
      <c r="A70" s="187"/>
      <c r="B70" s="317"/>
      <c r="C70" s="94">
        <f>+SUMMARY!J31</f>
        <v>-1.6370904631912708E-9</v>
      </c>
    </row>
    <row r="71" spans="1:3" s="115" customFormat="1" x14ac:dyDescent="0.25">
      <c r="A71" s="187"/>
      <c r="B71" s="317"/>
      <c r="C71" s="94">
        <f>+SUMMARY!J32</f>
        <v>4.6566128730773926E-10</v>
      </c>
    </row>
    <row r="72" spans="1:3" s="115" customFormat="1" x14ac:dyDescent="0.25">
      <c r="A72" s="187"/>
      <c r="B72" s="317"/>
      <c r="C72" s="94">
        <f>+SUMMARY!J35</f>
        <v>6.9849193096160889E-10</v>
      </c>
    </row>
    <row r="73" spans="1:3" s="115" customFormat="1" x14ac:dyDescent="0.25">
      <c r="A73" s="187"/>
      <c r="B73" s="317"/>
      <c r="C73" s="94">
        <f>+SUMMARY!J38</f>
        <v>2.3283064365386963E-10</v>
      </c>
    </row>
    <row r="74" spans="1:3" s="115" customFormat="1" x14ac:dyDescent="0.25">
      <c r="A74" s="187"/>
      <c r="B74" s="191"/>
    </row>
    <row r="75" spans="1:3" s="115" customFormat="1" x14ac:dyDescent="0.25">
      <c r="A75" s="187"/>
      <c r="B75" s="191"/>
    </row>
    <row r="76" spans="1:3" s="115" customFormat="1" x14ac:dyDescent="0.25">
      <c r="A76" s="187"/>
      <c r="B76" s="191"/>
    </row>
    <row r="77" spans="1:3" s="115" customFormat="1" x14ac:dyDescent="0.25">
      <c r="A77" s="187"/>
      <c r="B77" s="191"/>
    </row>
  </sheetData>
  <mergeCells count="8">
    <mergeCell ref="B31:B34"/>
    <mergeCell ref="B36:B51"/>
    <mergeCell ref="B56:B73"/>
    <mergeCell ref="A1:C1"/>
    <mergeCell ref="A2:C2"/>
    <mergeCell ref="A3:C3"/>
    <mergeCell ref="A4:C4"/>
    <mergeCell ref="A6:C6"/>
  </mergeCells>
  <pageMargins left="0.54" right="0.22" top="0.2" bottom="0.16" header="0.3" footer="0.16"/>
  <pageSetup paperSize="9" scale="8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vt:i4>
      </vt:variant>
    </vt:vector>
  </HeadingPairs>
  <TitlesOfParts>
    <vt:vector size="14" baseType="lpstr">
      <vt:lpstr>INTRO</vt:lpstr>
      <vt:lpstr>DATA</vt:lpstr>
      <vt:lpstr>RATE WISE</vt:lpstr>
      <vt:lpstr>ITC BIFURCATION</vt:lpstr>
      <vt:lpstr>INTEREST</vt:lpstr>
      <vt:lpstr>RECONCILE</vt:lpstr>
      <vt:lpstr>SUMMARY</vt:lpstr>
      <vt:lpstr>CROSS CHECK</vt:lpstr>
      <vt:lpstr>'CROSS CHECK'!Print_Area</vt:lpstr>
      <vt:lpstr>INTEREST!Print_Area</vt:lpstr>
      <vt:lpstr>'ITC BIFURCATION'!Print_Area</vt:lpstr>
      <vt:lpstr>'RATE WISE'!Print_Area</vt:lpstr>
      <vt:lpstr>RECONCILE!Print_Area</vt:lpstr>
      <vt:lpstr>SUMMARY!Print_Area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dc:creator>
  <cp:lastModifiedBy>dell</cp:lastModifiedBy>
  <cp:lastPrinted>2020-03-15T08:40:33Z</cp:lastPrinted>
  <dcterms:created xsi:type="dcterms:W3CDTF">2005-12-07T08:22:55Z</dcterms:created>
  <dcterms:modified xsi:type="dcterms:W3CDTF">2020-04-06T11:59:39Z</dcterms:modified>
</cp:coreProperties>
</file>