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ST\Setoff formula best possible\"/>
    </mc:Choice>
  </mc:AlternateContent>
  <xr:revisionPtr revIDLastSave="0" documentId="13_ncr:1_{886025EC-66D6-4B56-B0B6-6C27FC0673DB}" xr6:coauthVersionLast="41" xr6:coauthVersionMax="41" xr10:uidLastSave="{00000000-0000-0000-0000-000000000000}"/>
  <workbookProtection workbookPassword="856A" lockStructure="1"/>
  <bookViews>
    <workbookView xWindow="-120" yWindow="-120" windowWidth="20730" windowHeight="11160" firstSheet="17" activeTab="17" xr2:uid="{F7CDF185-8548-4DE0-AAAB-2AA1965A4459}"/>
  </bookViews>
  <sheets>
    <sheet name="Sheet1" sheetId="1" state="hidden" r:id="rId1"/>
    <sheet name="Sheet2" sheetId="2" state="hidden" r:id="rId2"/>
    <sheet name="Sheet3" sheetId="3" state="hidden" r:id="rId3"/>
    <sheet name="Sheet4" sheetId="4" state="hidden" r:id="rId4"/>
    <sheet name="Sheet5" sheetId="5" state="hidden" r:id="rId5"/>
    <sheet name="Sheet6" sheetId="6" state="hidden" r:id="rId6"/>
    <sheet name="Sheet7" sheetId="7" state="hidden" r:id="rId7"/>
    <sheet name="Final" sheetId="8" state="hidden" r:id="rId8"/>
    <sheet name="Final 2" sheetId="9" state="hidden" r:id="rId9"/>
    <sheet name="Sheet8" sheetId="10" state="hidden" r:id="rId10"/>
    <sheet name="FF" sheetId="11" state="hidden" r:id="rId11"/>
    <sheet name="Best" sheetId="12" state="hidden" r:id="rId12"/>
    <sheet name="Final test" sheetId="13" state="hidden" r:id="rId13"/>
    <sheet name="Sheet9" sheetId="14" state="hidden" r:id="rId14"/>
    <sheet name="Sheet10" sheetId="15" state="hidden" r:id="rId15"/>
    <sheet name="rework" sheetId="16" state="hidden" r:id="rId16"/>
    <sheet name="23 Aug" sheetId="17" state="hidden" r:id="rId17"/>
    <sheet name="24 Aug" sheetId="18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8" i="18" l="1"/>
  <c r="X25" i="17"/>
  <c r="W25" i="17"/>
  <c r="Q9" i="18" l="1"/>
  <c r="R9" i="18"/>
  <c r="Q23" i="17"/>
  <c r="R7" i="17"/>
  <c r="Q22" i="17" s="1"/>
  <c r="U9" i="17" l="1"/>
  <c r="R28" i="17"/>
  <c r="T9" i="17"/>
  <c r="Q28" i="17"/>
  <c r="Q26" i="17"/>
  <c r="R26" i="17"/>
  <c r="W23" i="17"/>
  <c r="X23" i="17"/>
  <c r="M16" i="10"/>
  <c r="L16" i="10"/>
  <c r="R10" i="18" l="1"/>
  <c r="R11" i="18" s="1"/>
  <c r="R18" i="18" s="1"/>
  <c r="R19" i="18" s="1"/>
  <c r="X6" i="18"/>
  <c r="X7" i="18" s="1"/>
  <c r="Q10" i="18"/>
  <c r="Q11" i="18" s="1"/>
  <c r="Q18" i="18" s="1"/>
  <c r="Q19" i="18" s="1"/>
  <c r="R8" i="17"/>
  <c r="Z9" i="17" s="1"/>
  <c r="Q8" i="17"/>
  <c r="Y9" i="17" s="1"/>
  <c r="F23" i="16"/>
  <c r="G7" i="14"/>
  <c r="R12" i="18" l="1"/>
  <c r="Q12" i="18"/>
  <c r="W21" i="17"/>
  <c r="X21" i="17"/>
  <c r="F21" i="16"/>
  <c r="R9" i="17" l="1"/>
  <c r="R10" i="17" s="1"/>
  <c r="R17" i="17" s="1"/>
  <c r="R18" i="17" s="1"/>
  <c r="X5" i="17"/>
  <c r="X6" i="17" s="1"/>
  <c r="Q9" i="17"/>
  <c r="Q10" i="17" s="1"/>
  <c r="Q17" i="17" s="1"/>
  <c r="Q18" i="17" s="1"/>
  <c r="L16" i="16"/>
  <c r="R11" i="17" l="1"/>
  <c r="Q11" i="17"/>
  <c r="M16" i="16"/>
  <c r="Y14" i="6"/>
  <c r="AE24" i="7"/>
  <c r="G7" i="12" l="1"/>
  <c r="G7" i="16"/>
  <c r="L21" i="16" l="1"/>
  <c r="F8" i="16" s="1"/>
  <c r="M21" i="16"/>
  <c r="G8" i="16" s="1"/>
  <c r="G9" i="16" s="1"/>
  <c r="G10" i="16" s="1"/>
  <c r="G17" i="16" s="1"/>
  <c r="G18" i="16" s="1"/>
  <c r="E28" i="11"/>
  <c r="G7" i="11"/>
  <c r="F28" i="11" s="1"/>
  <c r="G11" i="16" l="1"/>
  <c r="F9" i="16"/>
  <c r="F10" i="16" s="1"/>
  <c r="F17" i="16" s="1"/>
  <c r="F18" i="16" s="1"/>
  <c r="M5" i="16"/>
  <c r="M6" i="16" s="1"/>
  <c r="G7" i="15"/>
  <c r="L20" i="15"/>
  <c r="G7" i="13"/>
  <c r="F11" i="16" l="1"/>
  <c r="L11" i="13"/>
  <c r="M11" i="13"/>
  <c r="M20" i="15"/>
  <c r="L16" i="15"/>
  <c r="G8" i="15" s="1"/>
  <c r="M16" i="15"/>
  <c r="Q16" i="15"/>
  <c r="U17" i="15"/>
  <c r="U16" i="15"/>
  <c r="O8" i="14"/>
  <c r="Y7" i="14"/>
  <c r="F8" i="13" l="1"/>
  <c r="F8" i="15"/>
  <c r="F9" i="15" s="1"/>
  <c r="F10" i="15" s="1"/>
  <c r="F11" i="15" s="1"/>
  <c r="G9" i="15"/>
  <c r="G10" i="15" s="1"/>
  <c r="G17" i="15" s="1"/>
  <c r="G18" i="15" s="1"/>
  <c r="L11" i="14"/>
  <c r="J20" i="14"/>
  <c r="I20" i="14"/>
  <c r="F17" i="15" l="1"/>
  <c r="F18" i="15" s="1"/>
  <c r="G11" i="15"/>
  <c r="M5" i="15"/>
  <c r="M6" i="15" s="1"/>
  <c r="F8" i="14"/>
  <c r="I11" i="13"/>
  <c r="M11" i="14"/>
  <c r="G8" i="14" s="1"/>
  <c r="F32" i="14"/>
  <c r="E32" i="14"/>
  <c r="E31" i="14"/>
  <c r="M24" i="14"/>
  <c r="L24" i="14"/>
  <c r="U21" i="14"/>
  <c r="U20" i="14"/>
  <c r="Q20" i="14"/>
  <c r="M20" i="14"/>
  <c r="L20" i="14"/>
  <c r="U6" i="14"/>
  <c r="U5" i="14"/>
  <c r="P4" i="14"/>
  <c r="Q4" i="14" s="1"/>
  <c r="O11" i="14" l="1"/>
  <c r="F9" i="14"/>
  <c r="F11" i="14" s="1"/>
  <c r="F13" i="14" s="1"/>
  <c r="F15" i="14" s="1"/>
  <c r="M5" i="14"/>
  <c r="M6" i="14" s="1"/>
  <c r="G9" i="14"/>
  <c r="G11" i="14" s="1"/>
  <c r="G13" i="14" s="1"/>
  <c r="G22" i="14" s="1"/>
  <c r="G24" i="14" s="1"/>
  <c r="G10" i="14"/>
  <c r="G12" i="14" s="1"/>
  <c r="G21" i="14" s="1"/>
  <c r="G23" i="14" s="1"/>
  <c r="G8" i="13"/>
  <c r="U6" i="13"/>
  <c r="U5" i="13"/>
  <c r="AE5" i="8"/>
  <c r="AD6" i="8"/>
  <c r="F32" i="13"/>
  <c r="E32" i="13"/>
  <c r="E31" i="13"/>
  <c r="M24" i="13"/>
  <c r="L24" i="13"/>
  <c r="U21" i="13"/>
  <c r="U20" i="13"/>
  <c r="Q20" i="13"/>
  <c r="M20" i="13"/>
  <c r="L20" i="13"/>
  <c r="P4" i="13"/>
  <c r="Q4" i="13" s="1"/>
  <c r="M11" i="12"/>
  <c r="L11" i="12"/>
  <c r="F28" i="12"/>
  <c r="M20" i="12"/>
  <c r="G8" i="12" s="1"/>
  <c r="E28" i="12"/>
  <c r="F9" i="12" s="1"/>
  <c r="L20" i="12"/>
  <c r="F8" i="12" s="1"/>
  <c r="F32" i="12"/>
  <c r="E32" i="12"/>
  <c r="E31" i="12"/>
  <c r="E29" i="12"/>
  <c r="K26" i="12"/>
  <c r="K23" i="12"/>
  <c r="K24" i="12" s="1"/>
  <c r="U21" i="12"/>
  <c r="U20" i="12"/>
  <c r="Q20" i="12"/>
  <c r="P4" i="12"/>
  <c r="Q4" i="12" s="1"/>
  <c r="K10" i="11"/>
  <c r="E29" i="11"/>
  <c r="F9" i="11"/>
  <c r="P4" i="11"/>
  <c r="Q4" i="11" s="1"/>
  <c r="K26" i="11"/>
  <c r="K23" i="11"/>
  <c r="K24" i="11" s="1"/>
  <c r="G9" i="11"/>
  <c r="F32" i="11"/>
  <c r="E31" i="11"/>
  <c r="E32" i="11"/>
  <c r="U21" i="11"/>
  <c r="U20" i="11"/>
  <c r="Q20" i="11"/>
  <c r="M20" i="11"/>
  <c r="G8" i="11" s="1"/>
  <c r="G10" i="11" s="1"/>
  <c r="G12" i="11" s="1"/>
  <c r="L20" i="11"/>
  <c r="F8" i="11" s="1"/>
  <c r="F10" i="11" s="1"/>
  <c r="F12" i="11" s="1"/>
  <c r="I21" i="10"/>
  <c r="I19" i="10"/>
  <c r="M5" i="12" l="1"/>
  <c r="F9" i="13"/>
  <c r="F11" i="13" s="1"/>
  <c r="F13" i="13" s="1"/>
  <c r="F22" i="13" s="1"/>
  <c r="F24" i="13" s="1"/>
  <c r="G9" i="12"/>
  <c r="G11" i="12" s="1"/>
  <c r="G13" i="12" s="1"/>
  <c r="G22" i="12" s="1"/>
  <c r="G24" i="12" s="1"/>
  <c r="M5" i="13"/>
  <c r="F22" i="14"/>
  <c r="F24" i="14" s="1"/>
  <c r="G9" i="13"/>
  <c r="G11" i="13" s="1"/>
  <c r="G13" i="13" s="1"/>
  <c r="G22" i="13" s="1"/>
  <c r="G24" i="13" s="1"/>
  <c r="F10" i="14"/>
  <c r="F12" i="14" s="1"/>
  <c r="G14" i="14"/>
  <c r="G15" i="14"/>
  <c r="G10" i="13"/>
  <c r="G12" i="13" s="1"/>
  <c r="G21" i="13" s="1"/>
  <c r="G23" i="13" s="1"/>
  <c r="F10" i="13"/>
  <c r="F12" i="13" s="1"/>
  <c r="F21" i="13" s="1"/>
  <c r="F23" i="13" s="1"/>
  <c r="F11" i="12"/>
  <c r="F13" i="12" s="1"/>
  <c r="F22" i="12" s="1"/>
  <c r="F24" i="12" s="1"/>
  <c r="F10" i="12"/>
  <c r="F12" i="12" s="1"/>
  <c r="F21" i="12" s="1"/>
  <c r="F23" i="12" s="1"/>
  <c r="G10" i="12"/>
  <c r="G12" i="12" s="1"/>
  <c r="G21" i="12" s="1"/>
  <c r="G23" i="12" s="1"/>
  <c r="F21" i="11"/>
  <c r="F23" i="11" s="1"/>
  <c r="F14" i="11"/>
  <c r="G21" i="11"/>
  <c r="G23" i="11" s="1"/>
  <c r="G14" i="11"/>
  <c r="F11" i="11"/>
  <c r="G11" i="11"/>
  <c r="M5" i="11"/>
  <c r="M6" i="11" s="1"/>
  <c r="M20" i="10"/>
  <c r="L20" i="10"/>
  <c r="F15" i="13" l="1"/>
  <c r="F21" i="14"/>
  <c r="F23" i="14" s="1"/>
  <c r="G15" i="13"/>
  <c r="F14" i="14"/>
  <c r="G14" i="13"/>
  <c r="F14" i="13"/>
  <c r="F15" i="12"/>
  <c r="M6" i="12"/>
  <c r="G14" i="12"/>
  <c r="G15" i="12"/>
  <c r="F14" i="12"/>
  <c r="G13" i="11"/>
  <c r="G22" i="11" s="1"/>
  <c r="G24" i="11" s="1"/>
  <c r="F13" i="11"/>
  <c r="F15" i="11" s="1"/>
  <c r="Q16" i="10"/>
  <c r="G15" i="11" l="1"/>
  <c r="F22" i="11"/>
  <c r="F24" i="11" s="1"/>
  <c r="U16" i="10"/>
  <c r="U17" i="10"/>
  <c r="F8" i="10" l="1"/>
  <c r="F9" i="10" l="1"/>
  <c r="F10" i="10" s="1"/>
  <c r="F17" i="10" s="1"/>
  <c r="F18" i="10" s="1"/>
  <c r="G8" i="10"/>
  <c r="G9" i="10" s="1"/>
  <c r="G10" i="10" s="1"/>
  <c r="G17" i="10" s="1"/>
  <c r="G18" i="10" s="1"/>
  <c r="M5" i="10" l="1"/>
  <c r="M6" i="10" s="1"/>
  <c r="F11" i="10"/>
  <c r="G11" i="10"/>
  <c r="AE5" i="9"/>
  <c r="AE7" i="9" s="1"/>
  <c r="AD6" i="9"/>
  <c r="AD7" i="9" s="1"/>
  <c r="AH3" i="9"/>
  <c r="AK25" i="9"/>
  <c r="AJ25" i="9"/>
  <c r="AE24" i="9"/>
  <c r="AD24" i="9"/>
  <c r="S20" i="9"/>
  <c r="R20" i="9"/>
  <c r="O20" i="9"/>
  <c r="N20" i="9"/>
  <c r="AE19" i="9"/>
  <c r="AD19" i="9"/>
  <c r="AE15" i="9"/>
  <c r="AD15" i="9"/>
  <c r="AC15" i="9"/>
  <c r="AD14" i="9"/>
  <c r="AC14" i="9"/>
  <c r="AF13" i="9"/>
  <c r="Q11" i="9"/>
  <c r="Q16" i="9" s="1"/>
  <c r="M11" i="9"/>
  <c r="M16" i="9" s="1"/>
  <c r="H11" i="9"/>
  <c r="F11" i="9"/>
  <c r="F16" i="9" s="1"/>
  <c r="F20" i="9" s="1"/>
  <c r="E11" i="9"/>
  <c r="E16" i="9" s="1"/>
  <c r="E20" i="9" s="1"/>
  <c r="AG9" i="9"/>
  <c r="AG8" i="9"/>
  <c r="Q8" i="9"/>
  <c r="Q23" i="9" s="1"/>
  <c r="M8" i="9"/>
  <c r="M23" i="9" s="1"/>
  <c r="H8" i="9"/>
  <c r="H23" i="9" s="1"/>
  <c r="F8" i="9"/>
  <c r="E8" i="9"/>
  <c r="AI7" i="9"/>
  <c r="AM6" i="9"/>
  <c r="AL6" i="9"/>
  <c r="AK6" i="9"/>
  <c r="AI6" i="9"/>
  <c r="S6" i="9"/>
  <c r="S11" i="9" s="1"/>
  <c r="R6" i="9"/>
  <c r="R11" i="9" s="1"/>
  <c r="O6" i="9"/>
  <c r="O11" i="9" s="1"/>
  <c r="N6" i="9"/>
  <c r="N11" i="9" s="1"/>
  <c r="I6" i="9"/>
  <c r="I11" i="9" s="1"/>
  <c r="I20" i="9" s="1"/>
  <c r="D6" i="9"/>
  <c r="D11" i="9" s="1"/>
  <c r="D16" i="9" s="1"/>
  <c r="AJ3" i="9"/>
  <c r="AJ2" i="9"/>
  <c r="AH3" i="8"/>
  <c r="AK25" i="8"/>
  <c r="AJ25" i="8"/>
  <c r="AH4" i="8"/>
  <c r="AJ2" i="8"/>
  <c r="AJ3" i="8"/>
  <c r="AI7" i="8"/>
  <c r="AL27" i="9" l="1"/>
  <c r="AL29" i="9"/>
  <c r="AL29" i="8"/>
  <c r="D8" i="9"/>
  <c r="D23" i="9" s="1"/>
  <c r="I8" i="9"/>
  <c r="I23" i="9" s="1"/>
  <c r="AH4" i="9"/>
  <c r="M20" i="9"/>
  <c r="N4" i="9"/>
  <c r="Q20" i="9"/>
  <c r="R4" i="9"/>
  <c r="AD20" i="9"/>
  <c r="AD21" i="9" s="1"/>
  <c r="H16" i="9"/>
  <c r="J4" i="9" s="1"/>
  <c r="F18" i="9"/>
  <c r="D13" i="9" s="1"/>
  <c r="AE20" i="9"/>
  <c r="AE21" i="9" s="1"/>
  <c r="AI6" i="8"/>
  <c r="AL27" i="8"/>
  <c r="AE24" i="8"/>
  <c r="AD24" i="8"/>
  <c r="AD20" i="8"/>
  <c r="S20" i="8"/>
  <c r="R20" i="8"/>
  <c r="O20" i="8"/>
  <c r="N20" i="8"/>
  <c r="AE19" i="8"/>
  <c r="AD19" i="8"/>
  <c r="AE15" i="8"/>
  <c r="AD15" i="8"/>
  <c r="AC15" i="8"/>
  <c r="AD14" i="8"/>
  <c r="AC14" i="8"/>
  <c r="AF13" i="8"/>
  <c r="Q11" i="8"/>
  <c r="Q16" i="8" s="1"/>
  <c r="M11" i="8"/>
  <c r="M16" i="8" s="1"/>
  <c r="H11" i="8"/>
  <c r="H16" i="8" s="1"/>
  <c r="J4" i="8" s="1"/>
  <c r="F11" i="8"/>
  <c r="F16" i="8" s="1"/>
  <c r="F20" i="8" s="1"/>
  <c r="E11" i="8"/>
  <c r="E16" i="8" s="1"/>
  <c r="E20" i="8" s="1"/>
  <c r="AG9" i="8"/>
  <c r="AG8" i="8"/>
  <c r="Q8" i="8"/>
  <c r="Q23" i="8" s="1"/>
  <c r="M8" i="8"/>
  <c r="M23" i="8" s="1"/>
  <c r="H8" i="8"/>
  <c r="H23" i="8" s="1"/>
  <c r="F8" i="8"/>
  <c r="F18" i="8" s="1"/>
  <c r="D13" i="8" s="1"/>
  <c r="E8" i="8"/>
  <c r="AE7" i="8"/>
  <c r="AD7" i="8"/>
  <c r="AL6" i="8"/>
  <c r="S6" i="8"/>
  <c r="S11" i="8" s="1"/>
  <c r="R6" i="8"/>
  <c r="R11" i="8" s="1"/>
  <c r="O6" i="8"/>
  <c r="O11" i="8" s="1"/>
  <c r="N6" i="8"/>
  <c r="N11" i="8" s="1"/>
  <c r="I6" i="8"/>
  <c r="I11" i="8" s="1"/>
  <c r="I20" i="8" s="1"/>
  <c r="D6" i="8"/>
  <c r="D11" i="8" s="1"/>
  <c r="D16" i="8" s="1"/>
  <c r="AM6" i="8"/>
  <c r="AK6" i="8"/>
  <c r="AE20" i="8"/>
  <c r="AL29" i="7"/>
  <c r="AL27" i="7"/>
  <c r="AD21" i="8" l="1"/>
  <c r="AD25" i="8" s="1"/>
  <c r="AD26" i="8" s="1"/>
  <c r="F23" i="8"/>
  <c r="H20" i="8"/>
  <c r="AE21" i="8"/>
  <c r="AE25" i="8" s="1"/>
  <c r="AE26" i="8" s="1"/>
  <c r="X21" i="9"/>
  <c r="X23" i="9" s="1"/>
  <c r="AD25" i="9"/>
  <c r="AD26" i="9" s="1"/>
  <c r="Y21" i="9"/>
  <c r="Y23" i="9" s="1"/>
  <c r="AE25" i="9"/>
  <c r="AE26" i="9" s="1"/>
  <c r="AE22" i="9"/>
  <c r="H20" i="9"/>
  <c r="AD22" i="9"/>
  <c r="N18" i="9"/>
  <c r="N5" i="9"/>
  <c r="N8" i="9" s="1"/>
  <c r="N23" i="9" s="1"/>
  <c r="O4" i="9"/>
  <c r="F23" i="9"/>
  <c r="J5" i="9"/>
  <c r="J6" i="9" s="1"/>
  <c r="J11" i="9" s="1"/>
  <c r="J20" i="9" s="1"/>
  <c r="E18" i="9"/>
  <c r="R5" i="9"/>
  <c r="R8" i="9" s="1"/>
  <c r="R23" i="9" s="1"/>
  <c r="S4" i="9"/>
  <c r="R18" i="9"/>
  <c r="E18" i="8"/>
  <c r="D14" i="8" s="1"/>
  <c r="D20" i="8" s="1"/>
  <c r="M20" i="8"/>
  <c r="N4" i="8"/>
  <c r="Q20" i="8"/>
  <c r="R4" i="8"/>
  <c r="J5" i="8"/>
  <c r="J6" i="8" s="1"/>
  <c r="J11" i="8" s="1"/>
  <c r="J20" i="8" s="1"/>
  <c r="D8" i="8"/>
  <c r="D23" i="8" s="1"/>
  <c r="I8" i="8"/>
  <c r="I23" i="8" s="1"/>
  <c r="AD22" i="8" l="1"/>
  <c r="X21" i="8"/>
  <c r="X23" i="8" s="1"/>
  <c r="E23" i="8"/>
  <c r="AE22" i="8"/>
  <c r="Y21" i="8"/>
  <c r="Y23" i="8" s="1"/>
  <c r="Y25" i="9"/>
  <c r="S18" i="9"/>
  <c r="S5" i="9"/>
  <c r="S8" i="9" s="1"/>
  <c r="S23" i="9" s="1"/>
  <c r="J8" i="9"/>
  <c r="J23" i="9" s="1"/>
  <c r="D14" i="9"/>
  <c r="D20" i="9" s="1"/>
  <c r="E23" i="9"/>
  <c r="O18" i="9"/>
  <c r="O5" i="9"/>
  <c r="O8" i="9" s="1"/>
  <c r="O23" i="9" s="1"/>
  <c r="R18" i="8"/>
  <c r="R5" i="8"/>
  <c r="R8" i="8" s="1"/>
  <c r="R23" i="8" s="1"/>
  <c r="S4" i="8"/>
  <c r="N5" i="8"/>
  <c r="N8" i="8" s="1"/>
  <c r="N23" i="8" s="1"/>
  <c r="O4" i="8"/>
  <c r="N18" i="8"/>
  <c r="J8" i="8"/>
  <c r="J23" i="8" s="1"/>
  <c r="Y25" i="8" l="1"/>
  <c r="S18" i="8"/>
  <c r="S5" i="8"/>
  <c r="S8" i="8" s="1"/>
  <c r="S23" i="8" s="1"/>
  <c r="O5" i="8"/>
  <c r="O8" i="8" s="1"/>
  <c r="O23" i="8" s="1"/>
  <c r="O18" i="8"/>
  <c r="AL6" i="7" l="1"/>
  <c r="AL20" i="7"/>
  <c r="AL18" i="7"/>
  <c r="AJ5" i="7"/>
  <c r="AD6" i="7"/>
  <c r="AL12" i="7"/>
  <c r="AI6" i="7"/>
  <c r="AL5" i="7"/>
  <c r="AE5" i="7"/>
  <c r="AI7" i="7"/>
  <c r="AD14" i="7"/>
  <c r="AD20" i="7" l="1"/>
  <c r="AE20" i="7" l="1"/>
  <c r="AF13" i="7"/>
  <c r="AE15" i="7"/>
  <c r="AD15" i="7"/>
  <c r="S20" i="7" l="1"/>
  <c r="R20" i="7"/>
  <c r="O20" i="7"/>
  <c r="N20" i="7"/>
  <c r="AE19" i="7"/>
  <c r="AD19" i="7"/>
  <c r="AC15" i="7"/>
  <c r="AC14" i="7"/>
  <c r="AH11" i="7"/>
  <c r="Q11" i="7"/>
  <c r="Q16" i="7" s="1"/>
  <c r="M11" i="7"/>
  <c r="M16" i="7" s="1"/>
  <c r="H11" i="7"/>
  <c r="F11" i="7"/>
  <c r="F16" i="7" s="1"/>
  <c r="F20" i="7" s="1"/>
  <c r="E11" i="7"/>
  <c r="E16" i="7" s="1"/>
  <c r="E20" i="7" s="1"/>
  <c r="AH10" i="7"/>
  <c r="AH9" i="7"/>
  <c r="AG9" i="7"/>
  <c r="AG8" i="7"/>
  <c r="Q8" i="7"/>
  <c r="Q23" i="7" s="1"/>
  <c r="M8" i="7"/>
  <c r="M23" i="7" s="1"/>
  <c r="H8" i="7"/>
  <c r="H23" i="7" s="1"/>
  <c r="F8" i="7"/>
  <c r="F18" i="7" s="1"/>
  <c r="D13" i="7" s="1"/>
  <c r="E8" i="7"/>
  <c r="AD7" i="7"/>
  <c r="S6" i="7"/>
  <c r="S11" i="7" s="1"/>
  <c r="R6" i="7"/>
  <c r="R11" i="7" s="1"/>
  <c r="O6" i="7"/>
  <c r="O11" i="7" s="1"/>
  <c r="N6" i="7"/>
  <c r="N11" i="7" s="1"/>
  <c r="I6" i="7"/>
  <c r="I11" i="7" s="1"/>
  <c r="I20" i="7" s="1"/>
  <c r="D6" i="7"/>
  <c r="D11" i="7" s="1"/>
  <c r="D16" i="7" s="1"/>
  <c r="D8" i="7" l="1"/>
  <c r="D23" i="7" s="1"/>
  <c r="R4" i="7"/>
  <c r="Q20" i="7"/>
  <c r="E18" i="7"/>
  <c r="D14" i="7" s="1"/>
  <c r="D20" i="7" s="1"/>
  <c r="M20" i="7"/>
  <c r="N4" i="7"/>
  <c r="AE21" i="7"/>
  <c r="Y21" i="7" s="1"/>
  <c r="AD21" i="7"/>
  <c r="X21" i="7" s="1"/>
  <c r="X23" i="7" s="1"/>
  <c r="F23" i="7"/>
  <c r="AE7" i="7"/>
  <c r="H16" i="7"/>
  <c r="J4" i="7" s="1"/>
  <c r="I8" i="7"/>
  <c r="I23" i="7" s="1"/>
  <c r="AD24" i="6"/>
  <c r="AC24" i="6"/>
  <c r="S20" i="6"/>
  <c r="R20" i="6"/>
  <c r="O20" i="6"/>
  <c r="N20" i="6"/>
  <c r="AD19" i="6"/>
  <c r="AC19" i="6"/>
  <c r="AC15" i="6"/>
  <c r="AB15" i="6"/>
  <c r="Y15" i="6"/>
  <c r="AC14" i="6"/>
  <c r="AB14" i="6"/>
  <c r="AA14" i="6"/>
  <c r="AG11" i="6"/>
  <c r="Q11" i="6"/>
  <c r="Q16" i="6" s="1"/>
  <c r="M11" i="6"/>
  <c r="M16" i="6" s="1"/>
  <c r="H11" i="6"/>
  <c r="F11" i="6"/>
  <c r="F16" i="6" s="1"/>
  <c r="F20" i="6" s="1"/>
  <c r="E11" i="6"/>
  <c r="E16" i="6" s="1"/>
  <c r="E20" i="6" s="1"/>
  <c r="AG10" i="6"/>
  <c r="AG9" i="6"/>
  <c r="AF9" i="6"/>
  <c r="AF8" i="6"/>
  <c r="Q8" i="6"/>
  <c r="Q23" i="6" s="1"/>
  <c r="M8" i="6"/>
  <c r="M23" i="6" s="1"/>
  <c r="H8" i="6"/>
  <c r="H23" i="6" s="1"/>
  <c r="F8" i="6"/>
  <c r="F18" i="6" s="1"/>
  <c r="D13" i="6" s="1"/>
  <c r="E8" i="6"/>
  <c r="AC6" i="6"/>
  <c r="AC7" i="6" s="1"/>
  <c r="S6" i="6"/>
  <c r="S11" i="6" s="1"/>
  <c r="R6" i="6"/>
  <c r="R11" i="6" s="1"/>
  <c r="O6" i="6"/>
  <c r="O11" i="6" s="1"/>
  <c r="N6" i="6"/>
  <c r="N11" i="6" s="1"/>
  <c r="I6" i="6"/>
  <c r="I11" i="6" s="1"/>
  <c r="I20" i="6" s="1"/>
  <c r="D6" i="6"/>
  <c r="D11" i="6" s="1"/>
  <c r="D16" i="6" s="1"/>
  <c r="AD5" i="6"/>
  <c r="AD20" i="6" s="1"/>
  <c r="AF9" i="5"/>
  <c r="AC6" i="5"/>
  <c r="AC7" i="5" s="1"/>
  <c r="AF8" i="5"/>
  <c r="AD5" i="5"/>
  <c r="AD20" i="5" s="1"/>
  <c r="AD24" i="5"/>
  <c r="AC24" i="5"/>
  <c r="S20" i="5"/>
  <c r="R20" i="5"/>
  <c r="O20" i="5"/>
  <c r="N20" i="5"/>
  <c r="AD19" i="5"/>
  <c r="AC19" i="5"/>
  <c r="AC15" i="5"/>
  <c r="AB15" i="5"/>
  <c r="Y15" i="5"/>
  <c r="AC14" i="5"/>
  <c r="AB14" i="5"/>
  <c r="AA14" i="5"/>
  <c r="AG11" i="5"/>
  <c r="Q11" i="5"/>
  <c r="Q16" i="5" s="1"/>
  <c r="M11" i="5"/>
  <c r="M16" i="5" s="1"/>
  <c r="H11" i="5"/>
  <c r="F11" i="5"/>
  <c r="F16" i="5" s="1"/>
  <c r="F20" i="5" s="1"/>
  <c r="E11" i="5"/>
  <c r="E16" i="5" s="1"/>
  <c r="E20" i="5" s="1"/>
  <c r="AG10" i="5"/>
  <c r="AG9" i="5"/>
  <c r="Q8" i="5"/>
  <c r="Q23" i="5" s="1"/>
  <c r="M8" i="5"/>
  <c r="M23" i="5" s="1"/>
  <c r="H8" i="5"/>
  <c r="H23" i="5" s="1"/>
  <c r="F8" i="5"/>
  <c r="F18" i="5" s="1"/>
  <c r="D13" i="5" s="1"/>
  <c r="E8" i="5"/>
  <c r="S6" i="5"/>
  <c r="S11" i="5" s="1"/>
  <c r="R6" i="5"/>
  <c r="R11" i="5" s="1"/>
  <c r="O6" i="5"/>
  <c r="O11" i="5" s="1"/>
  <c r="N6" i="5"/>
  <c r="N11" i="5" s="1"/>
  <c r="I6" i="5"/>
  <c r="I11" i="5" s="1"/>
  <c r="I20" i="5" s="1"/>
  <c r="D6" i="5"/>
  <c r="D11" i="5" s="1"/>
  <c r="D16" i="5" s="1"/>
  <c r="AF9" i="4"/>
  <c r="AF8" i="4"/>
  <c r="AG11" i="4"/>
  <c r="AG10" i="4"/>
  <c r="AG9" i="4"/>
  <c r="AD24" i="4"/>
  <c r="AC24" i="4"/>
  <c r="S20" i="4"/>
  <c r="R20" i="4"/>
  <c r="O20" i="4"/>
  <c r="N20" i="4"/>
  <c r="AD19" i="4"/>
  <c r="AC19" i="4"/>
  <c r="AC15" i="4"/>
  <c r="AB15" i="4"/>
  <c r="Y15" i="4"/>
  <c r="AC14" i="4"/>
  <c r="AB14" i="4"/>
  <c r="AA14" i="4"/>
  <c r="Q11" i="4"/>
  <c r="Q16" i="4" s="1"/>
  <c r="M11" i="4"/>
  <c r="M16" i="4" s="1"/>
  <c r="H11" i="4"/>
  <c r="F11" i="4"/>
  <c r="F16" i="4" s="1"/>
  <c r="F20" i="4" s="1"/>
  <c r="E11" i="4"/>
  <c r="E16" i="4" s="1"/>
  <c r="E20" i="4" s="1"/>
  <c r="Q8" i="4"/>
  <c r="Q23" i="4" s="1"/>
  <c r="M8" i="4"/>
  <c r="M23" i="4" s="1"/>
  <c r="H8" i="4"/>
  <c r="H23" i="4" s="1"/>
  <c r="F8" i="4"/>
  <c r="F18" i="4" s="1"/>
  <c r="D13" i="4" s="1"/>
  <c r="E8" i="4"/>
  <c r="AC6" i="4"/>
  <c r="AC20" i="4" s="1"/>
  <c r="S6" i="4"/>
  <c r="S11" i="4" s="1"/>
  <c r="R6" i="4"/>
  <c r="R11" i="4" s="1"/>
  <c r="O6" i="4"/>
  <c r="O11" i="4" s="1"/>
  <c r="N6" i="4"/>
  <c r="N11" i="4" s="1"/>
  <c r="I6" i="4"/>
  <c r="I11" i="4" s="1"/>
  <c r="I20" i="4" s="1"/>
  <c r="D6" i="4"/>
  <c r="D8" i="4" s="1"/>
  <c r="D23" i="4" s="1"/>
  <c r="AD5" i="4"/>
  <c r="AD20" i="4" s="1"/>
  <c r="AF8" i="3"/>
  <c r="AH6" i="3"/>
  <c r="AH9" i="3"/>
  <c r="AH8" i="3"/>
  <c r="AH11" i="3"/>
  <c r="AH13" i="3"/>
  <c r="AF14" i="3"/>
  <c r="AF12" i="3"/>
  <c r="D8" i="5" l="1"/>
  <c r="D23" i="5" s="1"/>
  <c r="D8" i="6"/>
  <c r="D23" i="6" s="1"/>
  <c r="M20" i="6"/>
  <c r="N4" i="6"/>
  <c r="N18" i="6" s="1"/>
  <c r="AC7" i="4"/>
  <c r="D11" i="4"/>
  <c r="D16" i="4" s="1"/>
  <c r="AD7" i="4"/>
  <c r="F23" i="5"/>
  <c r="F23" i="6"/>
  <c r="I8" i="6"/>
  <c r="I23" i="6" s="1"/>
  <c r="AD7" i="6"/>
  <c r="AE25" i="7"/>
  <c r="AE26" i="7" s="1"/>
  <c r="Y23" i="7"/>
  <c r="Y25" i="7" s="1"/>
  <c r="AE22" i="7"/>
  <c r="AD25" i="7"/>
  <c r="AD26" i="7" s="1"/>
  <c r="AD22" i="7"/>
  <c r="R5" i="7"/>
  <c r="R8" i="7" s="1"/>
  <c r="R23" i="7" s="1"/>
  <c r="S4" i="7"/>
  <c r="R18" i="7"/>
  <c r="H20" i="7"/>
  <c r="J5" i="7"/>
  <c r="J6" i="7" s="1"/>
  <c r="J11" i="7" s="1"/>
  <c r="J20" i="7" s="1"/>
  <c r="N18" i="7"/>
  <c r="N5" i="7"/>
  <c r="N8" i="7" s="1"/>
  <c r="N23" i="7" s="1"/>
  <c r="O4" i="7"/>
  <c r="E23" i="7"/>
  <c r="E18" i="6"/>
  <c r="D14" i="6" s="1"/>
  <c r="D20" i="6" s="1"/>
  <c r="R4" i="6"/>
  <c r="Q20" i="6"/>
  <c r="AD21" i="6"/>
  <c r="AD25" i="6" s="1"/>
  <c r="AD26" i="6" s="1"/>
  <c r="AC20" i="6"/>
  <c r="H16" i="6"/>
  <c r="J4" i="6" s="1"/>
  <c r="AC20" i="5"/>
  <c r="AC21" i="5" s="1"/>
  <c r="AD7" i="5"/>
  <c r="R4" i="5"/>
  <c r="Q20" i="5"/>
  <c r="AD21" i="5"/>
  <c r="AD25" i="5" s="1"/>
  <c r="AD26" i="5" s="1"/>
  <c r="E18" i="5"/>
  <c r="D14" i="5" s="1"/>
  <c r="D20" i="5" s="1"/>
  <c r="M20" i="5"/>
  <c r="N4" i="5"/>
  <c r="I8" i="5"/>
  <c r="I23" i="5" s="1"/>
  <c r="H16" i="5"/>
  <c r="J4" i="5" s="1"/>
  <c r="AC21" i="4"/>
  <c r="AC25" i="4" s="1"/>
  <c r="AC26" i="4" s="1"/>
  <c r="R4" i="4"/>
  <c r="Q20" i="4"/>
  <c r="AD21" i="4"/>
  <c r="AD25" i="4" s="1"/>
  <c r="AD26" i="4" s="1"/>
  <c r="E18" i="4"/>
  <c r="D14" i="4" s="1"/>
  <c r="D20" i="4" s="1"/>
  <c r="M20" i="4"/>
  <c r="N4" i="4"/>
  <c r="F23" i="4"/>
  <c r="H16" i="4"/>
  <c r="J4" i="4" s="1"/>
  <c r="I8" i="4"/>
  <c r="I23" i="4" s="1"/>
  <c r="AC22" i="4" l="1"/>
  <c r="N5" i="6"/>
  <c r="N8" i="6" s="1"/>
  <c r="N23" i="6" s="1"/>
  <c r="O4" i="6"/>
  <c r="O18" i="6" s="1"/>
  <c r="E23" i="6"/>
  <c r="E23" i="5"/>
  <c r="H20" i="6"/>
  <c r="S5" i="7"/>
  <c r="S8" i="7" s="1"/>
  <c r="S23" i="7" s="1"/>
  <c r="S18" i="7"/>
  <c r="J8" i="7"/>
  <c r="J23" i="7" s="1"/>
  <c r="O18" i="7"/>
  <c r="O5" i="7"/>
  <c r="O8" i="7" s="1"/>
  <c r="O23" i="7" s="1"/>
  <c r="AD22" i="6"/>
  <c r="J5" i="6"/>
  <c r="J6" i="6" s="1"/>
  <c r="J11" i="6" s="1"/>
  <c r="J20" i="6" s="1"/>
  <c r="R18" i="6"/>
  <c r="R5" i="6"/>
  <c r="R8" i="6" s="1"/>
  <c r="R23" i="6" s="1"/>
  <c r="S4" i="6"/>
  <c r="AC21" i="6"/>
  <c r="AC25" i="6" s="1"/>
  <c r="AC26" i="6" s="1"/>
  <c r="AC22" i="5"/>
  <c r="AC25" i="5"/>
  <c r="AC26" i="5" s="1"/>
  <c r="J5" i="5"/>
  <c r="J6" i="5" s="1"/>
  <c r="J11" i="5" s="1"/>
  <c r="J20" i="5" s="1"/>
  <c r="S4" i="5"/>
  <c r="R18" i="5"/>
  <c r="R5" i="5"/>
  <c r="R8" i="5" s="1"/>
  <c r="R23" i="5" s="1"/>
  <c r="N5" i="5"/>
  <c r="N8" i="5" s="1"/>
  <c r="N23" i="5" s="1"/>
  <c r="O4" i="5"/>
  <c r="N18" i="5"/>
  <c r="H20" i="5"/>
  <c r="AD22" i="5"/>
  <c r="J5" i="4"/>
  <c r="J6" i="4" s="1"/>
  <c r="J11" i="4" s="1"/>
  <c r="J20" i="4" s="1"/>
  <c r="H20" i="4"/>
  <c r="N18" i="4"/>
  <c r="N5" i="4"/>
  <c r="N8" i="4" s="1"/>
  <c r="N23" i="4" s="1"/>
  <c r="O4" i="4"/>
  <c r="E23" i="4"/>
  <c r="AD22" i="4"/>
  <c r="R18" i="4"/>
  <c r="R5" i="4"/>
  <c r="R8" i="4" s="1"/>
  <c r="R23" i="4" s="1"/>
  <c r="S4" i="4"/>
  <c r="O5" i="6" l="1"/>
  <c r="O8" i="6" s="1"/>
  <c r="O23" i="6" s="1"/>
  <c r="J8" i="6"/>
  <c r="J23" i="6" s="1"/>
  <c r="AC22" i="6"/>
  <c r="S5" i="6"/>
  <c r="S8" i="6" s="1"/>
  <c r="S23" i="6" s="1"/>
  <c r="S18" i="6"/>
  <c r="O18" i="5"/>
  <c r="O5" i="5"/>
  <c r="O8" i="5" s="1"/>
  <c r="O23" i="5" s="1"/>
  <c r="S18" i="5"/>
  <c r="S5" i="5"/>
  <c r="S8" i="5" s="1"/>
  <c r="S23" i="5" s="1"/>
  <c r="J8" i="5"/>
  <c r="J23" i="5" s="1"/>
  <c r="O18" i="4"/>
  <c r="O5" i="4"/>
  <c r="O8" i="4" s="1"/>
  <c r="O23" i="4" s="1"/>
  <c r="S18" i="4"/>
  <c r="S5" i="4"/>
  <c r="S8" i="4" s="1"/>
  <c r="S23" i="4" s="1"/>
  <c r="J8" i="4"/>
  <c r="J23" i="4" s="1"/>
  <c r="AF10" i="3"/>
  <c r="AD5" i="3"/>
  <c r="AA14" i="3"/>
  <c r="AD24" i="3" l="1"/>
  <c r="AC24" i="3"/>
  <c r="S20" i="3"/>
  <c r="R20" i="3"/>
  <c r="O20" i="3"/>
  <c r="N20" i="3"/>
  <c r="Q11" i="3"/>
  <c r="Q16" i="3" s="1"/>
  <c r="M11" i="3"/>
  <c r="M16" i="3" s="1"/>
  <c r="M20" i="3" s="1"/>
  <c r="H11" i="3"/>
  <c r="F11" i="3"/>
  <c r="F16" i="3" s="1"/>
  <c r="F20" i="3" s="1"/>
  <c r="E11" i="3"/>
  <c r="E16" i="3" s="1"/>
  <c r="E20" i="3" s="1"/>
  <c r="Q8" i="3"/>
  <c r="Q23" i="3" s="1"/>
  <c r="M8" i="3"/>
  <c r="M23" i="3" s="1"/>
  <c r="H8" i="3"/>
  <c r="H23" i="3" s="1"/>
  <c r="F8" i="3"/>
  <c r="E8" i="3"/>
  <c r="S6" i="3"/>
  <c r="S11" i="3" s="1"/>
  <c r="R6" i="3"/>
  <c r="R11" i="3" s="1"/>
  <c r="O6" i="3"/>
  <c r="O11" i="3" s="1"/>
  <c r="N6" i="3"/>
  <c r="N11" i="3" s="1"/>
  <c r="I6" i="3"/>
  <c r="I8" i="3" s="1"/>
  <c r="D6" i="3"/>
  <c r="D8" i="3" s="1"/>
  <c r="D23" i="3" s="1"/>
  <c r="AD24" i="2"/>
  <c r="AC24" i="2"/>
  <c r="I11" i="3" l="1"/>
  <c r="I20" i="3" s="1"/>
  <c r="I23" i="3" s="1"/>
  <c r="F18" i="3"/>
  <c r="D13" i="3" s="1"/>
  <c r="AD19" i="3"/>
  <c r="Q20" i="3"/>
  <c r="R4" i="3"/>
  <c r="AC19" i="3"/>
  <c r="D11" i="3"/>
  <c r="D16" i="3" s="1"/>
  <c r="H16" i="3"/>
  <c r="J4" i="3" s="1"/>
  <c r="N4" i="3"/>
  <c r="F23" i="3" l="1"/>
  <c r="H20" i="3"/>
  <c r="AC6" i="3"/>
  <c r="AC7" i="3" s="1"/>
  <c r="Y15" i="3"/>
  <c r="AC15" i="3"/>
  <c r="AB14" i="3"/>
  <c r="AB15" i="3"/>
  <c r="AC14" i="3"/>
  <c r="O4" i="3"/>
  <c r="N18" i="3"/>
  <c r="N5" i="3"/>
  <c r="N8" i="3" s="1"/>
  <c r="N23" i="3" s="1"/>
  <c r="E18" i="3"/>
  <c r="J5" i="3"/>
  <c r="J6" i="3" s="1"/>
  <c r="J11" i="3" s="1"/>
  <c r="J20" i="3" s="1"/>
  <c r="R18" i="3"/>
  <c r="R5" i="3"/>
  <c r="R8" i="3" s="1"/>
  <c r="R23" i="3" s="1"/>
  <c r="S4" i="3"/>
  <c r="AD7" i="3" l="1"/>
  <c r="AD20" i="3"/>
  <c r="AD21" i="3" s="1"/>
  <c r="AD22" i="3" s="1"/>
  <c r="AC20" i="3"/>
  <c r="D14" i="3"/>
  <c r="D20" i="3" s="1"/>
  <c r="E23" i="3"/>
  <c r="O18" i="3"/>
  <c r="O5" i="3"/>
  <c r="O8" i="3" s="1"/>
  <c r="O23" i="3" s="1"/>
  <c r="S18" i="3"/>
  <c r="S5" i="3"/>
  <c r="S8" i="3" s="1"/>
  <c r="S23" i="3" s="1"/>
  <c r="J8" i="3"/>
  <c r="J23" i="3" s="1"/>
  <c r="AD25" i="3" l="1"/>
  <c r="AD26" i="3" s="1"/>
  <c r="AC21" i="3"/>
  <c r="AC22" i="3" s="1"/>
  <c r="AC25" i="3" l="1"/>
  <c r="AC26" i="3" s="1"/>
  <c r="S20" i="2" l="1"/>
  <c r="R20" i="2"/>
  <c r="O20" i="2"/>
  <c r="N20" i="2"/>
  <c r="Y15" i="2"/>
  <c r="Q11" i="2"/>
  <c r="Q16" i="2" s="1"/>
  <c r="M11" i="2"/>
  <c r="M16" i="2" s="1"/>
  <c r="H11" i="2"/>
  <c r="H16" i="2" s="1"/>
  <c r="F11" i="2"/>
  <c r="F16" i="2" s="1"/>
  <c r="F20" i="2" s="1"/>
  <c r="E11" i="2"/>
  <c r="E16" i="2" s="1"/>
  <c r="E20" i="2" s="1"/>
  <c r="Q8" i="2"/>
  <c r="Q23" i="2" s="1"/>
  <c r="M8" i="2"/>
  <c r="M23" i="2" s="1"/>
  <c r="H8" i="2"/>
  <c r="H23" i="2" s="1"/>
  <c r="F8" i="2"/>
  <c r="E8" i="2"/>
  <c r="Y7" i="2"/>
  <c r="Y9" i="2" s="1"/>
  <c r="Y5" i="2" s="1"/>
  <c r="X7" i="2"/>
  <c r="X18" i="2" s="1"/>
  <c r="S6" i="2"/>
  <c r="S11" i="2" s="1"/>
  <c r="R6" i="2"/>
  <c r="R11" i="2" s="1"/>
  <c r="O6" i="2"/>
  <c r="O11" i="2" s="1"/>
  <c r="N6" i="2"/>
  <c r="N11" i="2" s="1"/>
  <c r="I6" i="2"/>
  <c r="I8" i="2" s="1"/>
  <c r="D6" i="2"/>
  <c r="D8" i="2" s="1"/>
  <c r="D23" i="2" s="1"/>
  <c r="X12" i="1"/>
  <c r="Y15" i="1"/>
  <c r="Y12" i="1"/>
  <c r="Y7" i="1"/>
  <c r="Y18" i="1" s="1"/>
  <c r="AA9" i="1" s="1"/>
  <c r="X7" i="1"/>
  <c r="X18" i="1" s="1"/>
  <c r="Y9" i="1" l="1"/>
  <c r="Y5" i="1" s="1"/>
  <c r="Y10" i="1" s="1"/>
  <c r="AA12" i="1"/>
  <c r="AC19" i="2"/>
  <c r="AD15" i="2"/>
  <c r="M20" i="2"/>
  <c r="N4" i="2"/>
  <c r="D11" i="2"/>
  <c r="D16" i="2" s="1"/>
  <c r="I11" i="2"/>
  <c r="I20" i="2" s="1"/>
  <c r="I23" i="2" s="1"/>
  <c r="AC15" i="2"/>
  <c r="X23" i="2"/>
  <c r="AB15" i="2"/>
  <c r="AA15" i="2"/>
  <c r="X21" i="2" s="1"/>
  <c r="X22" i="2" s="1"/>
  <c r="Y18" i="2"/>
  <c r="Y27" i="2" s="1"/>
  <c r="Y28" i="2" s="1"/>
  <c r="Y10" i="2"/>
  <c r="AA12" i="2"/>
  <c r="H20" i="2"/>
  <c r="J4" i="2"/>
  <c r="R4" i="2"/>
  <c r="Q20" i="2"/>
  <c r="F18" i="2"/>
  <c r="D13" i="2" s="1"/>
  <c r="AA11" i="1"/>
  <c r="AA14" i="2" l="1"/>
  <c r="Y20" i="2" s="1"/>
  <c r="Y22" i="2" s="1"/>
  <c r="AD19" i="2"/>
  <c r="AD14" i="2"/>
  <c r="AD20" i="2" s="1"/>
  <c r="AC20" i="2"/>
  <c r="AB14" i="2"/>
  <c r="AC14" i="2"/>
  <c r="AA11" i="2"/>
  <c r="N18" i="2"/>
  <c r="N5" i="2"/>
  <c r="N8" i="2" s="1"/>
  <c r="N23" i="2" s="1"/>
  <c r="O4" i="2"/>
  <c r="E18" i="2"/>
  <c r="J5" i="2"/>
  <c r="J6" i="2" s="1"/>
  <c r="J11" i="2" s="1"/>
  <c r="J20" i="2" s="1"/>
  <c r="R5" i="2"/>
  <c r="R8" i="2" s="1"/>
  <c r="R23" i="2" s="1"/>
  <c r="S4" i="2"/>
  <c r="R18" i="2"/>
  <c r="F23" i="2"/>
  <c r="AD21" i="2" l="1"/>
  <c r="AD25" i="2" s="1"/>
  <c r="AD26" i="2" s="1"/>
  <c r="AC21" i="2"/>
  <c r="AC25" i="2" s="1"/>
  <c r="AC26" i="2" s="1"/>
  <c r="AF15" i="2"/>
  <c r="O5" i="2"/>
  <c r="O8" i="2" s="1"/>
  <c r="O23" i="2" s="1"/>
  <c r="O18" i="2"/>
  <c r="J8" i="2"/>
  <c r="J23" i="2" s="1"/>
  <c r="S5" i="2"/>
  <c r="S8" i="2" s="1"/>
  <c r="S23" i="2" s="1"/>
  <c r="S18" i="2"/>
  <c r="D14" i="2"/>
  <c r="D20" i="2" s="1"/>
  <c r="E23" i="2"/>
  <c r="AD22" i="2" l="1"/>
  <c r="AC22" i="2"/>
  <c r="Q8" i="1"/>
  <c r="Q23" i="1" s="1"/>
  <c r="S20" i="1"/>
  <c r="R20" i="1"/>
  <c r="Q11" i="1"/>
  <c r="Q16" i="1" s="1"/>
  <c r="Q20" i="1" s="1"/>
  <c r="S6" i="1"/>
  <c r="S11" i="1" s="1"/>
  <c r="R6" i="1"/>
  <c r="R11" i="1" s="1"/>
  <c r="R4" i="1" l="1"/>
  <c r="S4" i="1" s="1"/>
  <c r="O6" i="1"/>
  <c r="O11" i="1" s="1"/>
  <c r="N6" i="1"/>
  <c r="N11" i="1" s="1"/>
  <c r="O20" i="1"/>
  <c r="N20" i="1"/>
  <c r="M11" i="1"/>
  <c r="M16" i="1" s="1"/>
  <c r="M8" i="1"/>
  <c r="M23" i="1" s="1"/>
  <c r="S5" i="1" l="1"/>
  <c r="S8" i="1" s="1"/>
  <c r="S23" i="1" s="1"/>
  <c r="S18" i="1"/>
  <c r="R5" i="1"/>
  <c r="R8" i="1" s="1"/>
  <c r="R23" i="1" s="1"/>
  <c r="R18" i="1"/>
  <c r="M20" i="1"/>
  <c r="N4" i="1"/>
  <c r="H8" i="1"/>
  <c r="H23" i="1" s="1"/>
  <c r="I6" i="1"/>
  <c r="I11" i="1" s="1"/>
  <c r="I20" i="1" s="1"/>
  <c r="H11" i="1"/>
  <c r="H16" i="1" s="1"/>
  <c r="J4" i="1" s="1"/>
  <c r="J5" i="1" s="1"/>
  <c r="J6" i="1" s="1"/>
  <c r="J11" i="1" s="1"/>
  <c r="J20" i="1" s="1"/>
  <c r="F11" i="1"/>
  <c r="F16" i="1" s="1"/>
  <c r="F20" i="1" s="1"/>
  <c r="E11" i="1"/>
  <c r="E16" i="1" s="1"/>
  <c r="E20" i="1" s="1"/>
  <c r="F8" i="1"/>
  <c r="F18" i="1" s="1"/>
  <c r="D13" i="1" s="1"/>
  <c r="E8" i="1"/>
  <c r="D6" i="1"/>
  <c r="D11" i="1" s="1"/>
  <c r="D16" i="1" s="1"/>
  <c r="I8" i="1" l="1"/>
  <c r="I23" i="1" s="1"/>
  <c r="H20" i="1"/>
  <c r="N5" i="1"/>
  <c r="N8" i="1" s="1"/>
  <c r="N23" i="1" s="1"/>
  <c r="O4" i="1"/>
  <c r="N18" i="1"/>
  <c r="J8" i="1"/>
  <c r="J23" i="1" s="1"/>
  <c r="F23" i="1"/>
  <c r="E18" i="1"/>
  <c r="D8" i="1"/>
  <c r="D23" i="1" s="1"/>
  <c r="O18" i="1" l="1"/>
  <c r="O5" i="1"/>
  <c r="O8" i="1" s="1"/>
  <c r="O23" i="1" s="1"/>
  <c r="D14" i="1"/>
  <c r="D20" i="1" s="1"/>
  <c r="E23" i="1"/>
  <c r="M6" i="13"/>
</calcChain>
</file>

<file path=xl/sharedStrings.xml><?xml version="1.0" encoding="utf-8"?>
<sst xmlns="http://schemas.openxmlformats.org/spreadsheetml/2006/main" count="946" uniqueCount="132">
  <si>
    <t>Liability</t>
  </si>
  <si>
    <t>IGST</t>
  </si>
  <si>
    <t>CGST</t>
  </si>
  <si>
    <t>SGST</t>
  </si>
  <si>
    <t>Less utilisation</t>
  </si>
  <si>
    <t>ITC available</t>
  </si>
  <si>
    <t>Balance liability</t>
  </si>
  <si>
    <t>Balance after normal utilisation</t>
  </si>
  <si>
    <t>Cross utilisation</t>
  </si>
  <si>
    <t>Balance cenvat after cross utilisation</t>
  </si>
  <si>
    <t>New logic</t>
  </si>
  <si>
    <t>Old logic</t>
  </si>
  <si>
    <t>For CGST</t>
  </si>
  <si>
    <t>For SGST</t>
  </si>
  <si>
    <t>Cross utilisation at stage 1</t>
  </si>
  <si>
    <t>Cross utilisation at stage 2</t>
  </si>
  <si>
    <t>Liability after cross utilisation to be paid in cash</t>
  </si>
  <si>
    <t>Liability after stage 1 cross utilisation</t>
  </si>
  <si>
    <t>This is blocked</t>
  </si>
  <si>
    <t>We have to pay 3,013,465 under new logic inplace of 2,223,625</t>
  </si>
  <si>
    <t>New logic - 02</t>
  </si>
  <si>
    <t>Available input</t>
  </si>
  <si>
    <t>Setoff of IGST against CGST</t>
  </si>
  <si>
    <t>Most beneficial working</t>
  </si>
  <si>
    <t>Setoff of IGST against SGST</t>
  </si>
  <si>
    <t>Balance post utilisation for IGST</t>
  </si>
  <si>
    <t>Balance post utilisation for CGST</t>
  </si>
  <si>
    <t>if(and(X7=Y7)Y4&gt;0,if(Y18&gt;Y4,Y18,Y4),0)</t>
  </si>
  <si>
    <t>Cumulative</t>
  </si>
  <si>
    <t>IGST Input used</t>
  </si>
  <si>
    <t>Self input used</t>
  </si>
  <si>
    <t>In cash</t>
  </si>
  <si>
    <t>IF(AND(Y4&gt;0,X14=Y14),IF(Y18&gt;(Y4/2),(Y4/2),(Y18)),IF(Y4&gt;0,IF(Y18&gt;(Y4/2),(Y4/2)+X14-Y14),Y18))</t>
  </si>
  <si>
    <t>IF(AND(Y4&gt;0,X14=Y14),IF(Y18&gt;(Y4/2),(Y4/2),(Y18)),IF(Y4&gt;0,IF(Y18&gt;(Y4/2),(Y4/2)-X14+Y14),Y18))</t>
  </si>
  <si>
    <t>Input balance</t>
  </si>
  <si>
    <t>Utilised</t>
  </si>
  <si>
    <t>Net balance</t>
  </si>
  <si>
    <t>(AD3)-((Y4/2)+(X14-Y14))</t>
  </si>
  <si>
    <t>((Y4/2)+X14-Y14)</t>
  </si>
  <si>
    <t>IF((AD3)-((Y4/2)+(X14-Y14))&lt;0,((Y4/2)+X14-Y14)+(AD3)-((Y4/2)+(X14-Y14)),(Y4/2)+(X14-Y14))</t>
  </si>
  <si>
    <t>((AD3)-((Y4/2)+(Y14-X14))</t>
  </si>
  <si>
    <t>((Y4/2)+Y14-X14)+(AD3)-((Y4/2)+(Y14-X14))</t>
  </si>
  <si>
    <t>(Y4/2)+(Y14-X14))</t>
  </si>
  <si>
    <t>Used for respective liabilities</t>
  </si>
  <si>
    <t>IF(AND(Y4&gt;0,X14=Y14),IF(AC3&gt;(Y4/2),(Y4/2),(AC3)),IF(AND(Y4&gt;0,Y4/2-AC3&lt;0),IF(AC3&gt;(Y4/2),(Y4/2)-X14+Y14),AC3))</t>
  </si>
  <si>
    <t>IF(AND(Y4&gt;0,X14=Y14),IF(AD3&gt;(Y4/2),(Y4/2),(AD3)),IF(AND(Y4&gt;0,Y4/2-AD3&lt;0),IF(AD3&gt;(Y4/2),(Y4/2)-(X14-Y14)/2,AD3)))</t>
  </si>
  <si>
    <t>IF(AND(Y4&gt;0,Y4/2-AE3&lt;0),IF(AND(AE3&gt;(Y4/2),(Y4/2)+X14-Y14)&gt;0,(Y4/2)+(X14-Y14)/2,AE3))</t>
  </si>
  <si>
    <t>if(or(IF(AND(Y4&gt;0,Y4/2-AE3&lt;0),IF(AND(AE3&gt;(Y4/2),(Y4/2)+X14-Y14)&gt;0,(Y4/2)+(X14-Y14)/2,AE3))-AE3&gt;0,IF(AND(Y4&gt;0,X14=Y14),IF(AD3&gt;(Y4/2),(Y4/2),(AD3)),IF(AND(Y4&gt;0,Y4/2-AD3&lt;0),IF(AD3&gt;(Y4/2),(Y4/2)-(X14-Y14)/2,AD3)))-AD3&gt;0,</t>
  </si>
  <si>
    <t>if(or(IF(AND(Y4&gt;0,Y4/2-AE3&lt;0),IF(AND(AE3&gt;(Y4/2),(Y4/2)+X14-Y14)&gt;0,(Y4/2)+(X14-Y14)/2,AE3))-AE3&gt;0,IF(AND(Y4&gt;0,Y4/2-AE3&lt;0),IF(AND(AE3&gt;(Y4/2),(Y4/2)+X14-Y14)&gt;0,(Y4/2)+(X14-Y14)/2,AE3))-AD3&gt;0),IF(AND(Y4&gt;0,Y4/2-AE3&lt;0),IF(AND(AE3&gt;(Y4/2),(Y4/2)+X14-Y14)&gt;0,(Y4/2)+(X14-Y14)/2,AE3))+IF(AND(Y4&gt;0,X14=Y14),IF(AD3&gt;(Y4/2),(Y4/2),(AD3)),IF(AND(Y4&gt;0,Y4/2-AD3&lt;0),IF(AD3&gt;(Y4/2),(Y4/2)-(X14-Y14)/2,AD3)))-AD3</t>
  </si>
  <si>
    <t>IF(IF(AND(Y4&gt;0,X14=Y14),IF(AD3&gt;(Y4/2),(Y4/2),(AD3)),IF(AND(Y4&gt;0,Y4/2-AD3&lt;0),IF(AD3&gt;(Y4/2),(Y4/2)-(X14-Y14)/2,AD3)))-AE3&gt;0,IF(OR(AK27-AK25&gt;0,AJ27-AJ25&gt;0),AK27+IF(AK27-AK25&gt;0,AK25-AK27,AJ27-AJ25),AK27),IF(AND(Y4&gt;0,X14=Y14),IF(AD3&gt;(Y4/2),(Y4/2),(AD3)),IF(AND(Y4&gt;0,Y4/2-AD3&lt;0),IF(AD3&gt;(Y4/2),(Y4/2)-(X14-Y14)/2,AD3))))</t>
  </si>
  <si>
    <t>IGST input post igst utilisation</t>
  </si>
  <si>
    <t>Input</t>
  </si>
  <si>
    <t>Less: IGST utilisation</t>
  </si>
  <si>
    <t>Less: CGST / SGST utilisation</t>
  </si>
  <si>
    <t>Available balance</t>
  </si>
  <si>
    <t>Utilisation for liability</t>
  </si>
  <si>
    <t>Less: Utilised for CGST and SGST</t>
  </si>
  <si>
    <t>Total</t>
  </si>
  <si>
    <t>Balance</t>
  </si>
  <si>
    <t>Testing</t>
  </si>
  <si>
    <t>Formula if input balances are same</t>
  </si>
  <si>
    <t>IF(AND(M4&gt;0,F14=G14),IF(F7&gt;M4,(M4/2),(F7/2)),0)</t>
  </si>
  <si>
    <t>IF(AND(M4&gt;0,F14=G14),IF(G7&gt;M4,(M4/2),(G7/2)),0)</t>
  </si>
  <si>
    <t>Balance to be paid in cash</t>
  </si>
  <si>
    <t>Testing 2</t>
  </si>
  <si>
    <t>Difference between availale Input of CGST and SGST</t>
  </si>
  <si>
    <t>and</t>
  </si>
  <si>
    <t>Difference between available IGST input and CGST and SGST liability</t>
  </si>
  <si>
    <t>If Liability of CGST and SGST is more than available IGST input upto difference between available CGST and SGST input balance</t>
  </si>
  <si>
    <t>Less: IGST utilisation old</t>
  </si>
  <si>
    <t>Less: IGST utilisation new</t>
  </si>
  <si>
    <t>Balance new</t>
  </si>
  <si>
    <t>Balance old</t>
  </si>
  <si>
    <t>Less: CGST / SGST utilisation new</t>
  </si>
  <si>
    <t>Less: CGST / SGST utilisation old</t>
  </si>
  <si>
    <t>Balance to be paid in cash old</t>
  </si>
  <si>
    <t>Balance to be paid in cash new</t>
  </si>
  <si>
    <t>Utilisation for liability old</t>
  </si>
  <si>
    <t>Utilisation for liability new</t>
  </si>
  <si>
    <t>Final</t>
  </si>
  <si>
    <t>IF(AND(M4&gt;0,F20=G20),IF(F7&gt;M4,(M4/2),(F7/2)),IF(AND(M4&gt;0,M4/2&gt;(F7+G7)/2),F7,IF(AND(F20&gt;G20,M4&gt;0),M4/2-(G20-F20)/2,M4/2-(F20-G20)/2)))</t>
  </si>
  <si>
    <t>IF(IF(F20&lt;G20,M4-G20+F20,M4+F20-G20)&gt;F7,F7,(F20&lt;G20,M4-G20+F20,M4+F20-G20))</t>
  </si>
  <si>
    <t>IF(AND(M4&gt;0,F20=G20),IF(G7&gt;M4,(M4/2),(G7/2)),IF(AND(M4&gt;0,M4/2&gt;(F7+G7)/2),G7,IF(AND(F20&gt;G20,M4&gt;0),M4/2+(G20-F20)/2,M4/2+(F20-G20)/2)))</t>
  </si>
  <si>
    <t>IF(IF(G20&gt;F20,M4-G20+F20,M4-F20+G20)&gt;G7,M4-IF(IF(F20&lt;G20,M4-G20+F20,M4+F20-G20)&gt;F7,F7,(F20&lt;G20,M4-G20+F20,M4+F20-G20)),IF(G20&gt;F20,M4-G20+F20,M4-F20+G20))</t>
  </si>
  <si>
    <t>Old</t>
  </si>
  <si>
    <t>New</t>
  </si>
  <si>
    <t>IF(AND(M4&gt;0,F20=G20),IF(F7&gt;M4/2,(M4/2),(F7)),IF(AND((F7+G7)-M4&lt;ABS(G20-F20),F7+G7&gt;M4),IF(IF(F20&lt;G20,M4-G20+F20,M4+F20-G20)&gt;F7,F7,(F20&lt;G20,M4-G20+F20,M4+F20-G20)),IF(AND(M4&gt;0,F20=G20),IF(F7&gt;M4,(M4/2),(F7/2)),IF(AND(M4&gt;0,M4/2&gt;(F7+G7)/2),F7,IF(AND(F20&gt;G20,M4&gt;0),M4/2-(G20-F20)/2,M4/2-(F20-G20)/2)))))</t>
  </si>
  <si>
    <t>IF(AND(M4&gt;0,F20=G20),IF(G7&gt;M4/2,(M4/2),(G7)),IF(AND((F7+G7)-M4&lt;ABS(G20-F20),F7+G7&gt;M4),IF(IF(G20&gt;F20,M4-G20+F20,M4-F20+G20)&gt;G7,M4-IF(IF(F20&lt;G20,M4-G20+F20,M4+F20-G20)&gt;F7,F7,(F20&lt;G20,M4-G20+F20,M4+F20-G20)),IF(G20&gt;F20,M4-G20+F20,M4-F20+G20)),IF(AND(M4&gt;0,F20=G20),IF(G7&gt;M4,(M4/2),(G7/2)),IF(AND(M4&gt;0,M4/2&gt;(F7+G7)/2),G7,IF(AND(F20&gt;G20,M4&gt;0),M4/2+(G20-F20)/2,M4/2+(F20-G20)/2)))))</t>
  </si>
  <si>
    <t>Less: IGST utilisation final</t>
  </si>
  <si>
    <t>Balance final</t>
  </si>
  <si>
    <t>Less: CGST / SGST utilisation final</t>
  </si>
  <si>
    <t>Balance to be paid in cash final</t>
  </si>
  <si>
    <t>Utilisation for liability final</t>
  </si>
  <si>
    <t>IF(F7+G7=M4,F7,IF(F20&gt;G20,IF(AND(M4&gt;0,F20=G20),IF(G7&gt;M4/2,(M4/2),(G7)),IF(AND((F7+G7)-M4&lt;ABS(G20-F20),F7+G7&gt;M4),IF(IF(G20&gt;F20,M4-G20+F20,M4-F20+G20)&gt;G7,M4-IF(IF(F20&lt;G20,M4-G20+F20,M4+F20-G20)&gt;F7,F7,(F20&lt;G20,M4-G20+F20,M4+F20-G20)),IF(G20&gt;F20,M4-G20+F20,M4-F20+G20)),IF(AND(M4&gt;0,F20=G20),IF(G7&gt;M4,(M4/2),(G7/2)),IF(AND(M4&gt;0,M4/2&gt;(F7+G7)/2),G7,IF(AND(F20&gt;G20,M4&gt;0),M4/2+(G20-F20)/2,M4/2+(F20-G20)/2))))),IF(AND(M4&gt;0,F20=G20),IF(F7&gt;M4/2,(M4/2),(F7)),IF(AND((F7+G7)-M4&lt;ABS(G20-F20),F7+G7&gt;M4),IF(IF(F20&lt;G20,M4-G20+F20,M4+F20-G20)&gt;F7,F7,(F20&lt;G20,M4-G20+F20,M4+F20-G20)),IF(AND(M4&gt;0,F20=G20),IF(F7&gt;M4,(M4/2),(F7/2)),IF(AND(M4&gt;0,M4/2&gt;(F7+G7)/2),F7,IF(AND(F20&gt;G20,M4&gt;0),M4/2-(G20-F20)/2,M4/2-(F20-G20)/2)))))))</t>
  </si>
  <si>
    <t>IF(F7+G7=M4,G7,IF(G20&gt;F20,IF(AND(M4&gt;0,F20=G20),IF(G7&gt;M4/2,(M4/2),(G7)),IF(AND((F7+G7)-M4&lt;ABS(G20-F20),F7+G7&gt;M4),IF(IF(G20&gt;F20,M4-G20+F20,M4-F20+G20)&gt;G7,M4-IF(IF(F20&lt;G20,M4-G20+F20,M4+F20-G20)&gt;F7,F7,(F20&lt;G20,M4-G20+F20,M4+F20-G20)),IF(G20&gt;F20,M4-G20+F20,M4-F20+G20)),IF(AND(M4&gt;0,F20=G20),IF(G7&gt;M4,(M4/2),(G7/2)),IF(AND(M4&gt;0,M4/2&gt;(F7+G7)/2),G7,IF(AND(F20&gt;G20,M4&gt;0),M4/2+(G20-F20)/2,M4/2+(F20-G20)/2))))),IF(AND(M4&gt;0,F20=G20),IF(F7&gt;M4/2,(M4/2),(F7)),IF(AND((F7+G7)-M4&lt;ABS(G20-F20),F7+G7&gt;M4),IF(IF(F20&lt;G20,M4-G20+F20,M4+F20-G20)&gt;F7,F7,(F20&lt;G20,M4-G20+F20,M4+F20-G20)),IF(AND(M4&gt;0,F20=G20),IF(F7&gt;M4,(M4/2),(F7/2)),IF(AND(M4&gt;0,M4/2&gt;(F7+G7)/2),F7,IF(AND(F20&gt;G20,M4&gt;0),M4/2-(G20-F20)/2,M4/2-(F20-G20)/2)))))))</t>
  </si>
  <si>
    <t xml:space="preserve">CGST </t>
  </si>
  <si>
    <t>Latest</t>
  </si>
  <si>
    <t>IF(AND(M4&gt;0,F16=G16),IF(F7&gt;M4/2,(M4/2),(F7)),0)</t>
  </si>
  <si>
    <t>IF(AND(M4&gt;0,F16=G16),IF(G7&gt;M4/2,(M4/2),(G7)),0)</t>
  </si>
  <si>
    <t xml:space="preserve">Testing </t>
  </si>
  <si>
    <t>Where input is same</t>
  </si>
  <si>
    <t>Where input is not same</t>
  </si>
  <si>
    <t>This takes care of liability more than IGST available</t>
  </si>
  <si>
    <t>Additional condition to mitigate risk of big difference in CGST and SGST</t>
  </si>
  <si>
    <t>Now to combine the above 2</t>
  </si>
  <si>
    <t>A</t>
  </si>
  <si>
    <t>B</t>
  </si>
  <si>
    <t>Formula for restricting to liability</t>
  </si>
  <si>
    <t>The combined</t>
  </si>
  <si>
    <t>Type of tax</t>
  </si>
  <si>
    <t>Output liability</t>
  </si>
  <si>
    <t>Opening credit balance</t>
  </si>
  <si>
    <t>Input Credit for the month</t>
  </si>
  <si>
    <t>Total credit available for utilization</t>
  </si>
  <si>
    <t>Credit utilization</t>
  </si>
  <si>
    <t>To be paid in Cash</t>
  </si>
  <si>
    <t>Closing credit balance</t>
  </si>
  <si>
    <t>IGST Credit</t>
  </si>
  <si>
    <t>CGST Credit</t>
  </si>
  <si>
    <t>SGST Credit</t>
  </si>
  <si>
    <t>IGST liability</t>
  </si>
  <si>
    <t>CGST liability</t>
  </si>
  <si>
    <t>SGST liability</t>
  </si>
  <si>
    <t>IF(AND(X4&gt;0,Q22&lt;Q23,Q22&gt;0),IF(AND(Q22&lt;Q23,Q16&lt;R16),Q7,X4-Q7),IF(X4/2&gt;=(Q7+R7)/2,Q7,IF(AND(X4&gt;0,ABS(Q16-R16)&gt;0,Q16&lt;R16),X4/2-(Q16-R16)/2,X4/2+(R16-Q16)/2)))</t>
  </si>
  <si>
    <t>IF(AND(X4&gt;0,Q22&lt;Q23,Q22&gt;0),IF(AND(Q22&lt;Q23,Q16&gt;R16),Q7,X4-Q7),IF(X4/2&gt;=(Q7+R7)/2,Q7,IF(AND(X4&gt;0,ABS(Q16-R16)&gt;0,Q16&gt;R16),X4/2+(Q16-R16)/2,X4/2-(R16-Q16)/2)))</t>
  </si>
  <si>
    <t>IF(AND(Q16&lt;R16,(ABS(R16-Q16)&gt;=X4)),X4,0)</t>
  </si>
  <si>
    <t>IF(AND(Q16&gt;R16,(ABS(R16-Q16)&gt;=X4)),X4,0)</t>
  </si>
  <si>
    <t>Cell check</t>
  </si>
  <si>
    <t>Available balance (opening + availment)</t>
  </si>
  <si>
    <t>IGST input post utilisation against IGST liability</t>
  </si>
  <si>
    <t>Only highlighted cells can be changed</t>
  </si>
  <si>
    <t>Ratio of IGST utilisation to reduce credit blockage in either CGST / SGST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</si>
</sst>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0"/>
      <name val="Times New Roman"/>
      <family val="1"/>
    </font>
    <font>
      <sz val="1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3" fillId="0" borderId="0" xfId="0" applyFont="1"/>
    <xf numFmtId="3" fontId="3" fillId="0" borderId="0" xfId="0" applyNumberFormat="1" applyFont="1"/>
    <xf numFmtId="43" fontId="2" fillId="0" borderId="0" xfId="1" applyFont="1"/>
    <xf numFmtId="43" fontId="3" fillId="0" borderId="0" xfId="1" applyFont="1"/>
    <xf numFmtId="3" fontId="3" fillId="2" borderId="0" xfId="0" applyNumberFormat="1" applyFont="1" applyFill="1"/>
    <xf numFmtId="43" fontId="3" fillId="0" borderId="0" xfId="0" applyNumberFormat="1" applyFont="1"/>
    <xf numFmtId="3" fontId="3" fillId="2" borderId="0" xfId="1" applyNumberFormat="1" applyFont="1" applyFill="1"/>
    <xf numFmtId="3" fontId="3" fillId="3" borderId="0" xfId="0" applyNumberFormat="1" applyFont="1" applyFill="1"/>
    <xf numFmtId="0" fontId="3" fillId="2" borderId="0" xfId="0" applyFont="1" applyFill="1"/>
    <xf numFmtId="164" fontId="3" fillId="0" borderId="0" xfId="1" applyNumberFormat="1" applyFont="1"/>
    <xf numFmtId="3" fontId="2" fillId="0" borderId="0" xfId="1" applyNumberFormat="1" applyFont="1" applyFill="1"/>
    <xf numFmtId="164" fontId="2" fillId="0" borderId="0" xfId="1" applyNumberFormat="1" applyFont="1"/>
    <xf numFmtId="164" fontId="2" fillId="0" borderId="0" xfId="0" applyNumberFormat="1" applyFont="1"/>
    <xf numFmtId="0" fontId="3" fillId="4" borderId="0" xfId="0" applyFont="1" applyFill="1"/>
    <xf numFmtId="3" fontId="2" fillId="0" borderId="0" xfId="0" applyNumberFormat="1" applyFont="1" applyAlignment="1">
      <alignment horizontal="right"/>
    </xf>
    <xf numFmtId="3" fontId="4" fillId="0" borderId="0" xfId="0" applyNumberFormat="1" applyFont="1"/>
    <xf numFmtId="0" fontId="2" fillId="5" borderId="0" xfId="0" applyFont="1" applyFill="1"/>
    <xf numFmtId="0" fontId="3" fillId="5" borderId="0" xfId="0" applyFont="1" applyFill="1"/>
    <xf numFmtId="3" fontId="5" fillId="0" borderId="0" xfId="0" applyNumberFormat="1" applyFont="1"/>
    <xf numFmtId="0" fontId="2" fillId="6" borderId="0" xfId="0" applyFont="1" applyFill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7" borderId="0" xfId="0" applyFont="1" applyFill="1" applyAlignment="1">
      <alignment horizontal="right"/>
    </xf>
    <xf numFmtId="0" fontId="2" fillId="7" borderId="0" xfId="0" applyFont="1" applyFill="1"/>
    <xf numFmtId="0" fontId="2" fillId="8" borderId="0" xfId="0" applyFont="1" applyFill="1" applyAlignment="1">
      <alignment horizontal="right"/>
    </xf>
    <xf numFmtId="0" fontId="2" fillId="8" borderId="0" xfId="0" applyFont="1" applyFill="1"/>
    <xf numFmtId="165" fontId="2" fillId="0" borderId="1" xfId="1" applyNumberFormat="1" applyFont="1" applyBorder="1" applyAlignment="1">
      <alignment vertical="top"/>
    </xf>
    <xf numFmtId="0" fontId="2" fillId="0" borderId="1" xfId="0" applyFont="1" applyBorder="1"/>
    <xf numFmtId="0" fontId="2" fillId="0" borderId="0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2" fillId="0" borderId="0" xfId="0" applyFont="1" applyProtection="1">
      <protection locked="0"/>
    </xf>
    <xf numFmtId="0" fontId="2" fillId="5" borderId="0" xfId="0" applyFont="1" applyFill="1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1" xfId="0" applyFont="1" applyBorder="1" applyProtection="1">
      <protection locked="0"/>
    </xf>
    <xf numFmtId="165" fontId="2" fillId="0" borderId="1" xfId="1" applyNumberFormat="1" applyFont="1" applyBorder="1" applyAlignment="1" applyProtection="1">
      <alignment vertical="top"/>
      <protection locked="0"/>
    </xf>
    <xf numFmtId="0" fontId="2" fillId="0" borderId="0" xfId="0" applyFont="1" applyFill="1" applyProtection="1"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/>
    <xf numFmtId="0" fontId="2" fillId="3" borderId="0" xfId="0" applyFont="1" applyFill="1" applyProtection="1"/>
    <xf numFmtId="0" fontId="2" fillId="3" borderId="0" xfId="0" applyFont="1" applyFill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3A2D3-5FF2-4AC4-ADE3-187CD9EE743B}">
  <dimension ref="C1:AA55"/>
  <sheetViews>
    <sheetView zoomScale="80" zoomScaleNormal="80" workbookViewId="0">
      <pane xSplit="3" ySplit="1" topLeftCell="D2" activePane="bottomRight" state="frozen"/>
      <selection activeCell="G8" sqref="A1:XFD1048576"/>
      <selection pane="topRight" activeCell="G8" sqref="A1:XFD1048576"/>
      <selection pane="bottomLeft" activeCell="G8" sqref="A1:XFD1048576"/>
      <selection pane="bottomRight" activeCell="G8" sqref="A1:XFD1048576"/>
    </sheetView>
  </sheetViews>
  <sheetFormatPr defaultColWidth="9.140625" defaultRowHeight="15" x14ac:dyDescent="0.25"/>
  <cols>
    <col min="1" max="2" width="9.140625" style="1"/>
    <col min="3" max="3" width="41.5703125" style="1" bestFit="1" customWidth="1"/>
    <col min="4" max="4" width="9.85546875" style="1" bestFit="1" customWidth="1"/>
    <col min="5" max="5" width="10.140625" style="1" bestFit="1" customWidth="1"/>
    <col min="6" max="6" width="9.85546875" style="1" bestFit="1" customWidth="1"/>
    <col min="7" max="7" width="9.140625" style="1"/>
    <col min="8" max="8" width="9.85546875" style="1" bestFit="1" customWidth="1"/>
    <col min="9" max="9" width="10.140625" style="2" bestFit="1" customWidth="1"/>
    <col min="10" max="10" width="9.85546875" style="1" bestFit="1" customWidth="1"/>
    <col min="11" max="11" width="9.140625" style="1"/>
    <col min="12" max="12" width="0" style="1" hidden="1" customWidth="1"/>
    <col min="13" max="13" width="12.42578125" style="1" customWidth="1"/>
    <col min="14" max="14" width="12.28515625" style="1" customWidth="1"/>
    <col min="15" max="15" width="14" style="1" customWidth="1"/>
    <col min="16" max="16" width="9.140625" style="1"/>
    <col min="17" max="17" width="11.5703125" style="1" bestFit="1" customWidth="1"/>
    <col min="18" max="19" width="11.28515625" style="1" bestFit="1" customWidth="1"/>
    <col min="20" max="22" width="9.140625" style="1"/>
    <col min="23" max="23" width="27.140625" style="1" bestFit="1" customWidth="1"/>
    <col min="24" max="24" width="9.85546875" style="2" bestFit="1" customWidth="1"/>
    <col min="25" max="25" width="10.85546875" style="2" bestFit="1" customWidth="1"/>
    <col min="26" max="16384" width="9.140625" style="1"/>
  </cols>
  <sheetData>
    <row r="1" spans="3:27" x14ac:dyDescent="0.25">
      <c r="C1" s="11" t="s">
        <v>11</v>
      </c>
      <c r="H1" s="11" t="s">
        <v>10</v>
      </c>
      <c r="M1" s="11" t="s">
        <v>20</v>
      </c>
      <c r="Q1" s="16" t="s">
        <v>20</v>
      </c>
    </row>
    <row r="2" spans="3:27" x14ac:dyDescent="0.25">
      <c r="D2" s="3" t="s">
        <v>1</v>
      </c>
      <c r="E2" s="3" t="s">
        <v>3</v>
      </c>
      <c r="F2" s="3" t="s">
        <v>2</v>
      </c>
      <c r="H2" s="3" t="s">
        <v>1</v>
      </c>
      <c r="I2" s="4" t="s">
        <v>3</v>
      </c>
      <c r="J2" s="3" t="s">
        <v>2</v>
      </c>
      <c r="M2" s="3" t="s">
        <v>1</v>
      </c>
      <c r="N2" s="4" t="s">
        <v>3</v>
      </c>
      <c r="O2" s="3" t="s">
        <v>2</v>
      </c>
      <c r="Q2" s="1" t="s">
        <v>1</v>
      </c>
      <c r="R2" s="1" t="s">
        <v>3</v>
      </c>
      <c r="S2" s="1" t="s">
        <v>2</v>
      </c>
      <c r="W2" s="1" t="s">
        <v>23</v>
      </c>
    </row>
    <row r="3" spans="3:27" x14ac:dyDescent="0.25">
      <c r="C3" s="3" t="s">
        <v>0</v>
      </c>
      <c r="D3" s="2">
        <v>1532192.4137016949</v>
      </c>
      <c r="E3" s="2">
        <v>3853616.0441000005</v>
      </c>
      <c r="F3" s="2">
        <v>3853616.0441000005</v>
      </c>
      <c r="H3" s="2">
        <v>1532192.4137016949</v>
      </c>
      <c r="I3" s="2">
        <v>3853616.0441000005</v>
      </c>
      <c r="J3" s="2">
        <v>3853616.0441000005</v>
      </c>
      <c r="M3" s="2">
        <v>1532192.4137016949</v>
      </c>
      <c r="N3" s="2">
        <v>3853616.0441000005</v>
      </c>
      <c r="O3" s="2">
        <v>3853616.0441000005</v>
      </c>
      <c r="Q3" s="2">
        <v>1532192.4137016949</v>
      </c>
      <c r="R3" s="2">
        <v>3853616.0441000005</v>
      </c>
      <c r="S3" s="2">
        <v>3853616.0441000005</v>
      </c>
    </row>
    <row r="4" spans="3:27" x14ac:dyDescent="0.25">
      <c r="C4" s="3" t="s">
        <v>14</v>
      </c>
      <c r="D4" s="2">
        <v>0</v>
      </c>
      <c r="E4" s="2">
        <v>0</v>
      </c>
      <c r="F4" s="2">
        <v>0</v>
      </c>
      <c r="H4" s="2"/>
      <c r="J4" s="2">
        <f>H16</f>
        <v>3803304.5962983067</v>
      </c>
      <c r="N4" s="14">
        <f>M16/2</f>
        <v>1901652.2981491534</v>
      </c>
      <c r="O4" s="14">
        <f>N4</f>
        <v>1901652.2981491534</v>
      </c>
      <c r="R4" s="14">
        <f>Q16/2</f>
        <v>1901652.2981491534</v>
      </c>
      <c r="S4" s="14">
        <f>R4</f>
        <v>1901652.2981491534</v>
      </c>
      <c r="V4" s="1" t="s">
        <v>25</v>
      </c>
      <c r="Y4" s="2">
        <v>100000</v>
      </c>
    </row>
    <row r="5" spans="3:27" x14ac:dyDescent="0.25">
      <c r="C5" s="3" t="s">
        <v>17</v>
      </c>
      <c r="D5" s="2"/>
      <c r="E5" s="2"/>
      <c r="F5" s="2"/>
      <c r="H5" s="2"/>
      <c r="J5" s="2">
        <f>J3-J4</f>
        <v>50311.447801693808</v>
      </c>
      <c r="N5" s="2">
        <f t="shared" ref="N5:O5" si="0">N3-N4</f>
        <v>1951963.7459508472</v>
      </c>
      <c r="O5" s="2">
        <f t="shared" si="0"/>
        <v>1951963.7459508472</v>
      </c>
      <c r="R5" s="2">
        <f t="shared" ref="R5:S5" si="1">R3-R4</f>
        <v>1951963.7459508472</v>
      </c>
      <c r="S5" s="2">
        <f t="shared" si="1"/>
        <v>1951963.7459508472</v>
      </c>
      <c r="V5" s="1" t="s">
        <v>26</v>
      </c>
      <c r="Y5" s="2">
        <f>Y4-Y9</f>
        <v>0</v>
      </c>
    </row>
    <row r="6" spans="3:27" x14ac:dyDescent="0.25">
      <c r="C6" s="1" t="s">
        <v>4</v>
      </c>
      <c r="D6" s="2">
        <f>D3</f>
        <v>1532192.4137016949</v>
      </c>
      <c r="E6" s="2">
        <v>840151.42999999993</v>
      </c>
      <c r="F6" s="2">
        <v>840151.42999999993</v>
      </c>
      <c r="H6" s="2">
        <v>1532192.4137016949</v>
      </c>
      <c r="I6" s="2">
        <f>I10</f>
        <v>840151.42999999993</v>
      </c>
      <c r="J6" s="2">
        <f>J5</f>
        <v>50311.447801693808</v>
      </c>
      <c r="M6" s="2">
        <v>1532192.4137016949</v>
      </c>
      <c r="N6" s="2">
        <f>N10</f>
        <v>840151.42999999993</v>
      </c>
      <c r="O6" s="2">
        <f>O10</f>
        <v>840151.42999999993</v>
      </c>
      <c r="Q6" s="1">
        <v>1532192.4137016949</v>
      </c>
      <c r="R6" s="2">
        <f>R10</f>
        <v>840151.42999999993</v>
      </c>
      <c r="S6" s="2">
        <f>S10</f>
        <v>840151.42999999993</v>
      </c>
      <c r="X6" s="2" t="s">
        <v>3</v>
      </c>
      <c r="Y6" s="2" t="s">
        <v>2</v>
      </c>
    </row>
    <row r="7" spans="3:27" x14ac:dyDescent="0.25">
      <c r="C7" s="3"/>
      <c r="D7" s="2"/>
      <c r="E7" s="2"/>
      <c r="F7" s="2"/>
      <c r="W7" s="1" t="s">
        <v>0</v>
      </c>
      <c r="X7" s="2">
        <f>R3</f>
        <v>3853616.0441000005</v>
      </c>
      <c r="Y7" s="2">
        <f>S3</f>
        <v>3853616.0441000005</v>
      </c>
    </row>
    <row r="8" spans="3:27" x14ac:dyDescent="0.25">
      <c r="C8" s="3" t="s">
        <v>6</v>
      </c>
      <c r="D8" s="5">
        <f>D3-D6</f>
        <v>0</v>
      </c>
      <c r="E8" s="2">
        <f>E3-E6</f>
        <v>3013464.6141000008</v>
      </c>
      <c r="F8" s="2">
        <f>F3-F6</f>
        <v>3013464.6141000008</v>
      </c>
      <c r="H8" s="5">
        <f>H3-H6</f>
        <v>0</v>
      </c>
      <c r="I8" s="2">
        <f>I3-I6</f>
        <v>3013464.6141000008</v>
      </c>
      <c r="J8" s="5">
        <f>J3-J4-J6</f>
        <v>0</v>
      </c>
      <c r="M8" s="5">
        <f>M3-M6</f>
        <v>0</v>
      </c>
      <c r="N8" s="2">
        <f>N5-N6</f>
        <v>1111812.3159508472</v>
      </c>
      <c r="O8" s="2">
        <f>O5-O6</f>
        <v>1111812.3159508472</v>
      </c>
      <c r="Q8" s="5">
        <f>Q3-Q6</f>
        <v>0</v>
      </c>
      <c r="R8" s="2">
        <f>R5-R6</f>
        <v>1111812.3159508472</v>
      </c>
      <c r="S8" s="2">
        <f>S5-S6</f>
        <v>1111812.3159508472</v>
      </c>
      <c r="AA8" s="1" t="s">
        <v>27</v>
      </c>
    </row>
    <row r="9" spans="3:27" x14ac:dyDescent="0.25">
      <c r="C9" s="3"/>
      <c r="D9" s="2"/>
      <c r="E9" s="2"/>
      <c r="F9" s="2"/>
      <c r="W9" s="1" t="s">
        <v>22</v>
      </c>
      <c r="Y9" s="2">
        <f>IF(Y4&gt;0,IF(Y7&gt;Y4,Y4,Y7),0)</f>
        <v>100000</v>
      </c>
      <c r="AA9" s="1">
        <f>IF(Y4&gt;0,IF(Y4&gt;Y18,(Y4/2),(Y18/2)),0)</f>
        <v>1926808.0220500003</v>
      </c>
    </row>
    <row r="10" spans="3:27" x14ac:dyDescent="0.25">
      <c r="C10" s="3" t="s">
        <v>5</v>
      </c>
      <c r="D10" s="2">
        <v>5335497.0100000016</v>
      </c>
      <c r="E10" s="2">
        <v>840151.42999999993</v>
      </c>
      <c r="F10" s="2">
        <v>840151.42999999993</v>
      </c>
      <c r="H10" s="2">
        <v>5335497.0100000016</v>
      </c>
      <c r="I10" s="2">
        <v>840151.42999999993</v>
      </c>
      <c r="J10" s="2">
        <v>840151.42999999993</v>
      </c>
      <c r="M10" s="2">
        <v>5335497.0100000016</v>
      </c>
      <c r="N10" s="2">
        <v>840151.42999999993</v>
      </c>
      <c r="O10" s="2">
        <v>840151.42999999993</v>
      </c>
      <c r="Q10" s="1">
        <v>5335497.0100000016</v>
      </c>
      <c r="R10" s="1">
        <v>840151.42999999993</v>
      </c>
      <c r="S10" s="1">
        <v>840151.42999999993</v>
      </c>
      <c r="W10" s="1" t="s">
        <v>24</v>
      </c>
      <c r="Y10" s="2">
        <f>IF(Y5&gt;0,IF(X7&gt;Y5,Y5,X7),0)</f>
        <v>0</v>
      </c>
    </row>
    <row r="11" spans="3:27" x14ac:dyDescent="0.25">
      <c r="C11" s="1" t="s">
        <v>4</v>
      </c>
      <c r="D11" s="2">
        <f>D6</f>
        <v>1532192.4137016949</v>
      </c>
      <c r="E11" s="2">
        <f>E6</f>
        <v>840151.42999999993</v>
      </c>
      <c r="F11" s="2">
        <f>F6</f>
        <v>840151.42999999993</v>
      </c>
      <c r="H11" s="2">
        <f>H6</f>
        <v>1532192.4137016949</v>
      </c>
      <c r="I11" s="2">
        <f>I6</f>
        <v>840151.42999999993</v>
      </c>
      <c r="J11" s="2">
        <f>J6</f>
        <v>50311.447801693808</v>
      </c>
      <c r="M11" s="2">
        <f>M6</f>
        <v>1532192.4137016949</v>
      </c>
      <c r="N11" s="2">
        <f>N6</f>
        <v>840151.42999999993</v>
      </c>
      <c r="O11" s="2">
        <f>O6</f>
        <v>840151.42999999993</v>
      </c>
      <c r="Q11" s="2">
        <f>Q6</f>
        <v>1532192.4137016949</v>
      </c>
      <c r="R11" s="2">
        <f>R6</f>
        <v>840151.42999999993</v>
      </c>
      <c r="S11" s="2">
        <f>S6</f>
        <v>840151.42999999993</v>
      </c>
      <c r="AA11" s="1">
        <f>IF(AND(Y4&gt;0,X12=Y12),IF(Y4&gt;Y18,(Y4/2),(Y18/2)),0)</f>
        <v>1926808.0220500003</v>
      </c>
    </row>
    <row r="12" spans="3:27" x14ac:dyDescent="0.25">
      <c r="C12" s="3" t="s">
        <v>15</v>
      </c>
      <c r="D12" s="2"/>
      <c r="E12" s="2"/>
      <c r="F12" s="2"/>
      <c r="H12" s="2"/>
      <c r="W12" s="1" t="s">
        <v>21</v>
      </c>
      <c r="X12" s="2">
        <f>R10</f>
        <v>840151.42999999993</v>
      </c>
      <c r="Y12" s="2">
        <f>S10</f>
        <v>840151.42999999993</v>
      </c>
      <c r="AA12" s="1">
        <f>IF(AND(Y4&gt;0,X12=Y12),IF(Y4&gt;X18,(Y4/2),(X18/2)),0)</f>
        <v>1926808.0220500003</v>
      </c>
    </row>
    <row r="13" spans="3:27" x14ac:dyDescent="0.25">
      <c r="C13" s="1" t="s">
        <v>12</v>
      </c>
      <c r="D13" s="2">
        <f>F18</f>
        <v>3013464.6141000008</v>
      </c>
      <c r="E13" s="2"/>
      <c r="F13" s="2"/>
      <c r="H13" s="2">
        <v>3803304.5962983067</v>
      </c>
      <c r="M13" s="5">
        <v>0</v>
      </c>
      <c r="Q13" s="1">
        <v>0</v>
      </c>
    </row>
    <row r="14" spans="3:27" x14ac:dyDescent="0.25">
      <c r="C14" s="1" t="s">
        <v>13</v>
      </c>
      <c r="D14" s="2">
        <f>E18</f>
        <v>789839.98219830589</v>
      </c>
      <c r="E14" s="2"/>
      <c r="F14" s="2"/>
      <c r="H14" s="5">
        <v>0</v>
      </c>
      <c r="M14" s="5">
        <v>0</v>
      </c>
      <c r="Q14" s="1">
        <v>0</v>
      </c>
    </row>
    <row r="15" spans="3:27" x14ac:dyDescent="0.25">
      <c r="D15" s="2"/>
      <c r="E15" s="2"/>
      <c r="F15" s="2"/>
      <c r="V15" s="1" t="s">
        <v>25</v>
      </c>
      <c r="Y15" s="2">
        <f>Y4</f>
        <v>100000</v>
      </c>
    </row>
    <row r="16" spans="3:27" x14ac:dyDescent="0.25">
      <c r="C16" s="3" t="s">
        <v>7</v>
      </c>
      <c r="D16" s="2">
        <f>D10-D11</f>
        <v>3803304.5962983067</v>
      </c>
      <c r="E16" s="5">
        <f t="shared" ref="E16:F16" si="2">E10-E11</f>
        <v>0</v>
      </c>
      <c r="F16" s="5">
        <f t="shared" si="2"/>
        <v>0</v>
      </c>
      <c r="H16" s="2">
        <f>H10-H11</f>
        <v>3803304.5962983067</v>
      </c>
      <c r="M16" s="2">
        <f>M10-M11</f>
        <v>3803304.5962983067</v>
      </c>
      <c r="Q16" s="2">
        <f>Q10-Q11</f>
        <v>3803304.5962983067</v>
      </c>
      <c r="V16" s="1" t="s">
        <v>26</v>
      </c>
    </row>
    <row r="17" spans="3:25" x14ac:dyDescent="0.25">
      <c r="D17" s="2"/>
      <c r="E17" s="2"/>
      <c r="F17" s="2"/>
      <c r="X17" s="2" t="s">
        <v>3</v>
      </c>
      <c r="Y17" s="2" t="s">
        <v>2</v>
      </c>
    </row>
    <row r="18" spans="3:25" x14ac:dyDescent="0.25">
      <c r="C18" s="1" t="s">
        <v>8</v>
      </c>
      <c r="D18" s="5">
        <v>0</v>
      </c>
      <c r="E18" s="2">
        <f>D16-F18</f>
        <v>789839.98219830589</v>
      </c>
      <c r="F18" s="2">
        <f>F8</f>
        <v>3013464.6141000008</v>
      </c>
      <c r="M18" s="5">
        <v>0</v>
      </c>
      <c r="N18" s="15">
        <f>N4</f>
        <v>1901652.2981491534</v>
      </c>
      <c r="O18" s="15">
        <f>O4</f>
        <v>1901652.2981491534</v>
      </c>
      <c r="Q18" s="5">
        <v>0</v>
      </c>
      <c r="R18" s="15">
        <f>R4</f>
        <v>1901652.2981491534</v>
      </c>
      <c r="S18" s="15">
        <f>S4</f>
        <v>1901652.2981491534</v>
      </c>
      <c r="W18" s="1" t="s">
        <v>0</v>
      </c>
      <c r="X18" s="2">
        <f>X7</f>
        <v>3853616.0441000005</v>
      </c>
      <c r="Y18" s="2">
        <f>Y7</f>
        <v>3853616.0441000005</v>
      </c>
    </row>
    <row r="19" spans="3:25" x14ac:dyDescent="0.25">
      <c r="D19" s="2"/>
      <c r="E19" s="2"/>
      <c r="F19" s="2"/>
    </row>
    <row r="20" spans="3:25" x14ac:dyDescent="0.25">
      <c r="C20" s="3" t="s">
        <v>9</v>
      </c>
      <c r="D20" s="6">
        <f>D16-D13-D14</f>
        <v>0</v>
      </c>
      <c r="E20" s="6">
        <f>E16</f>
        <v>0</v>
      </c>
      <c r="F20" s="6">
        <f>F16</f>
        <v>0</v>
      </c>
      <c r="H20" s="5">
        <f>H10-H11-H16</f>
        <v>0</v>
      </c>
      <c r="I20" s="5">
        <f>I10-I11</f>
        <v>0</v>
      </c>
      <c r="J20" s="10">
        <f>J10-J11</f>
        <v>789839.98219830613</v>
      </c>
      <c r="L20" s="3" t="s">
        <v>18</v>
      </c>
      <c r="M20" s="12">
        <f>M16-M13-M14</f>
        <v>3803304.5962983067</v>
      </c>
      <c r="N20" s="12">
        <f>N16</f>
        <v>0</v>
      </c>
      <c r="O20" s="12">
        <f>O16</f>
        <v>0</v>
      </c>
      <c r="Q20" s="12">
        <f>Q16-Q13-Q14</f>
        <v>3803304.5962983067</v>
      </c>
      <c r="R20" s="12">
        <f>R16</f>
        <v>0</v>
      </c>
      <c r="S20" s="12">
        <f>S16</f>
        <v>0</v>
      </c>
      <c r="W20" s="1" t="s">
        <v>22</v>
      </c>
    </row>
    <row r="21" spans="3:25" x14ac:dyDescent="0.25">
      <c r="D21" s="2"/>
      <c r="E21" s="2"/>
      <c r="F21" s="2"/>
      <c r="W21" s="1" t="s">
        <v>24</v>
      </c>
    </row>
    <row r="22" spans="3:25" x14ac:dyDescent="0.25">
      <c r="D22" s="2"/>
      <c r="E22" s="2"/>
      <c r="F22" s="2"/>
    </row>
    <row r="23" spans="3:25" x14ac:dyDescent="0.25">
      <c r="C23" s="1" t="s">
        <v>16</v>
      </c>
      <c r="D23" s="2">
        <f>D8-D18</f>
        <v>0</v>
      </c>
      <c r="E23" s="7">
        <f>E8-E18</f>
        <v>2223624.6319016949</v>
      </c>
      <c r="F23" s="2">
        <f>F8-F18</f>
        <v>0</v>
      </c>
      <c r="H23" s="2">
        <f>H8-H18</f>
        <v>0</v>
      </c>
      <c r="I23" s="9">
        <f>I8-I20</f>
        <v>3013464.6141000008</v>
      </c>
      <c r="J23" s="8">
        <f>J8</f>
        <v>0</v>
      </c>
      <c r="L23" s="3" t="s">
        <v>19</v>
      </c>
      <c r="M23" s="5">
        <f>M8-M18</f>
        <v>0</v>
      </c>
      <c r="N23" s="13">
        <f>N8-N20</f>
        <v>1111812.3159508472</v>
      </c>
      <c r="O23" s="15">
        <f>O8</f>
        <v>1111812.3159508472</v>
      </c>
      <c r="Q23" s="5">
        <f>Q8-Q18</f>
        <v>0</v>
      </c>
      <c r="R23" s="13">
        <f>R8-R20</f>
        <v>1111812.3159508472</v>
      </c>
      <c r="S23" s="15">
        <f>S8</f>
        <v>1111812.3159508472</v>
      </c>
      <c r="W23" s="1" t="s">
        <v>21</v>
      </c>
    </row>
    <row r="24" spans="3:25" x14ac:dyDescent="0.25">
      <c r="D24" s="2"/>
      <c r="E24" s="2"/>
      <c r="F24" s="2"/>
    </row>
    <row r="25" spans="3:25" x14ac:dyDescent="0.25">
      <c r="D25" s="2"/>
      <c r="E25" s="2"/>
      <c r="F25" s="2"/>
    </row>
    <row r="26" spans="3:25" x14ac:dyDescent="0.25">
      <c r="D26" s="2"/>
      <c r="E26" s="2"/>
      <c r="F26" s="2"/>
    </row>
    <row r="27" spans="3:25" x14ac:dyDescent="0.25">
      <c r="D27" s="2"/>
      <c r="E27" s="2"/>
      <c r="F27" s="2"/>
    </row>
    <row r="28" spans="3:25" x14ac:dyDescent="0.25">
      <c r="D28" s="2"/>
      <c r="E28" s="2"/>
      <c r="F28" s="2"/>
    </row>
    <row r="29" spans="3:25" x14ac:dyDescent="0.25">
      <c r="D29" s="2"/>
      <c r="E29" s="2"/>
      <c r="F29" s="2"/>
    </row>
    <row r="30" spans="3:25" x14ac:dyDescent="0.25">
      <c r="D30" s="2"/>
      <c r="E30" s="2"/>
      <c r="F30" s="2"/>
    </row>
    <row r="31" spans="3:25" x14ac:dyDescent="0.25">
      <c r="D31" s="2"/>
      <c r="E31" s="2"/>
      <c r="F31" s="2"/>
    </row>
    <row r="32" spans="3:25" x14ac:dyDescent="0.25">
      <c r="D32" s="2"/>
      <c r="E32" s="2"/>
      <c r="F32" s="2"/>
    </row>
    <row r="33" spans="4:6" x14ac:dyDescent="0.25">
      <c r="D33" s="2"/>
      <c r="E33" s="2"/>
      <c r="F33" s="2"/>
    </row>
    <row r="34" spans="4:6" x14ac:dyDescent="0.25">
      <c r="D34" s="2"/>
      <c r="E34" s="2"/>
      <c r="F34" s="2"/>
    </row>
    <row r="35" spans="4:6" x14ac:dyDescent="0.25">
      <c r="D35" s="2"/>
      <c r="E35" s="2"/>
      <c r="F35" s="2"/>
    </row>
    <row r="36" spans="4:6" x14ac:dyDescent="0.25">
      <c r="D36" s="2"/>
      <c r="E36" s="2"/>
      <c r="F36" s="2"/>
    </row>
    <row r="37" spans="4:6" x14ac:dyDescent="0.25">
      <c r="D37" s="2"/>
      <c r="E37" s="2"/>
      <c r="F37" s="2"/>
    </row>
    <row r="38" spans="4:6" x14ac:dyDescent="0.25">
      <c r="D38" s="2"/>
      <c r="E38" s="2"/>
      <c r="F38" s="2"/>
    </row>
    <row r="39" spans="4:6" x14ac:dyDescent="0.25">
      <c r="D39" s="2"/>
      <c r="E39" s="2"/>
      <c r="F39" s="2"/>
    </row>
    <row r="40" spans="4:6" x14ac:dyDescent="0.25">
      <c r="D40" s="2"/>
      <c r="E40" s="2"/>
      <c r="F40" s="2"/>
    </row>
    <row r="41" spans="4:6" x14ac:dyDescent="0.25">
      <c r="D41" s="2"/>
      <c r="E41" s="2"/>
      <c r="F41" s="2"/>
    </row>
    <row r="42" spans="4:6" x14ac:dyDescent="0.25">
      <c r="D42" s="2"/>
      <c r="E42" s="2"/>
      <c r="F42" s="2"/>
    </row>
    <row r="43" spans="4:6" x14ac:dyDescent="0.25">
      <c r="D43" s="2"/>
      <c r="E43" s="2"/>
      <c r="F43" s="2"/>
    </row>
    <row r="44" spans="4:6" x14ac:dyDescent="0.25">
      <c r="D44" s="2"/>
      <c r="E44" s="2"/>
      <c r="F44" s="2"/>
    </row>
    <row r="45" spans="4:6" x14ac:dyDescent="0.25">
      <c r="D45" s="2"/>
      <c r="E45" s="2"/>
      <c r="F45" s="2"/>
    </row>
    <row r="46" spans="4:6" x14ac:dyDescent="0.25">
      <c r="D46" s="2"/>
      <c r="E46" s="2"/>
      <c r="F46" s="2"/>
    </row>
    <row r="47" spans="4:6" x14ac:dyDescent="0.25">
      <c r="D47" s="2"/>
      <c r="E47" s="2"/>
      <c r="F47" s="2"/>
    </row>
    <row r="48" spans="4:6" x14ac:dyDescent="0.25">
      <c r="D48" s="2"/>
      <c r="E48" s="2"/>
      <c r="F48" s="2"/>
    </row>
    <row r="49" spans="4:6" x14ac:dyDescent="0.25">
      <c r="D49" s="2"/>
      <c r="E49" s="2"/>
      <c r="F49" s="2"/>
    </row>
    <row r="50" spans="4:6" x14ac:dyDescent="0.25">
      <c r="D50" s="2"/>
      <c r="E50" s="2"/>
      <c r="F50" s="2"/>
    </row>
    <row r="51" spans="4:6" x14ac:dyDescent="0.25">
      <c r="D51" s="2"/>
      <c r="E51" s="2"/>
      <c r="F51" s="2"/>
    </row>
    <row r="52" spans="4:6" x14ac:dyDescent="0.25">
      <c r="D52" s="2"/>
      <c r="E52" s="2"/>
      <c r="F52" s="2"/>
    </row>
    <row r="53" spans="4:6" x14ac:dyDescent="0.25">
      <c r="D53" s="2"/>
      <c r="E53" s="2"/>
      <c r="F53" s="2"/>
    </row>
    <row r="54" spans="4:6" x14ac:dyDescent="0.25">
      <c r="D54" s="2"/>
      <c r="E54" s="2"/>
      <c r="F54" s="2"/>
    </row>
    <row r="55" spans="4:6" x14ac:dyDescent="0.25">
      <c r="D55" s="2"/>
      <c r="E55" s="2"/>
      <c r="F55" s="2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9D312-8B13-4AE6-A8C0-AC846464C552}">
  <dimension ref="B3:U29"/>
  <sheetViews>
    <sheetView showGridLines="0" topLeftCell="A2" workbookViewId="0">
      <selection activeCell="G8" sqref="A1:XFD1048576"/>
    </sheetView>
  </sheetViews>
  <sheetFormatPr defaultRowHeight="15" x14ac:dyDescent="0.25"/>
  <cols>
    <col min="1" max="16384" width="9.140625" style="1"/>
  </cols>
  <sheetData>
    <row r="3" spans="5:21" x14ac:dyDescent="0.25">
      <c r="T3" s="3" t="s">
        <v>60</v>
      </c>
    </row>
    <row r="4" spans="5:21" x14ac:dyDescent="0.25">
      <c r="F4" s="3" t="s">
        <v>0</v>
      </c>
      <c r="J4" s="1" t="s">
        <v>50</v>
      </c>
      <c r="M4" s="1">
        <v>1400</v>
      </c>
    </row>
    <row r="5" spans="5:21" x14ac:dyDescent="0.25">
      <c r="L5" s="23" t="s">
        <v>56</v>
      </c>
      <c r="M5" s="1">
        <f>F8+G8</f>
        <v>1400</v>
      </c>
      <c r="T5" s="1" t="s">
        <v>2</v>
      </c>
      <c r="U5" s="1" t="s">
        <v>61</v>
      </c>
    </row>
    <row r="6" spans="5:21" x14ac:dyDescent="0.25">
      <c r="F6" s="24" t="s">
        <v>2</v>
      </c>
      <c r="G6" s="24" t="s">
        <v>3</v>
      </c>
      <c r="L6" s="23" t="s">
        <v>57</v>
      </c>
      <c r="M6" s="1">
        <f>M4-M5</f>
        <v>0</v>
      </c>
      <c r="T6" s="1" t="s">
        <v>3</v>
      </c>
      <c r="U6" s="1" t="s">
        <v>62</v>
      </c>
    </row>
    <row r="7" spans="5:21" x14ac:dyDescent="0.25">
      <c r="F7" s="1">
        <v>850</v>
      </c>
      <c r="G7" s="1">
        <v>850</v>
      </c>
    </row>
    <row r="8" spans="5:21" x14ac:dyDescent="0.25">
      <c r="E8" s="23" t="s">
        <v>52</v>
      </c>
      <c r="F8" s="1">
        <f>L16</f>
        <v>800</v>
      </c>
      <c r="G8" s="1">
        <f>M16</f>
        <v>600</v>
      </c>
    </row>
    <row r="9" spans="5:21" x14ac:dyDescent="0.25">
      <c r="E9" s="23" t="s">
        <v>58</v>
      </c>
      <c r="F9" s="1">
        <f>F7-F8</f>
        <v>50</v>
      </c>
      <c r="G9" s="1">
        <f>G7-G8</f>
        <v>250</v>
      </c>
    </row>
    <row r="10" spans="5:21" x14ac:dyDescent="0.25">
      <c r="E10" s="23" t="s">
        <v>53</v>
      </c>
      <c r="F10" s="1">
        <f>IF(F9&gt;F16,F16,F9)</f>
        <v>50</v>
      </c>
      <c r="G10" s="1">
        <f>IF(G9&gt;G16,G16,G9)</f>
        <v>250</v>
      </c>
    </row>
    <row r="11" spans="5:21" x14ac:dyDescent="0.25">
      <c r="E11" s="23" t="s">
        <v>63</v>
      </c>
      <c r="F11" s="1">
        <f>F7-F8-F10</f>
        <v>0</v>
      </c>
      <c r="G11" s="1">
        <f>G7-G8-G10</f>
        <v>0</v>
      </c>
    </row>
    <row r="12" spans="5:21" x14ac:dyDescent="0.25">
      <c r="E12" s="23"/>
    </row>
    <row r="14" spans="5:21" x14ac:dyDescent="0.25">
      <c r="F14" s="3" t="s">
        <v>51</v>
      </c>
      <c r="L14" s="3" t="s">
        <v>59</v>
      </c>
      <c r="Q14" s="3" t="s">
        <v>64</v>
      </c>
    </row>
    <row r="15" spans="5:21" x14ac:dyDescent="0.25">
      <c r="F15" s="24" t="s">
        <v>2</v>
      </c>
      <c r="G15" s="24" t="s">
        <v>3</v>
      </c>
      <c r="L15" s="24" t="s">
        <v>2</v>
      </c>
      <c r="M15" s="24" t="s">
        <v>3</v>
      </c>
      <c r="Q15" s="24" t="s">
        <v>2</v>
      </c>
      <c r="R15" s="24" t="s">
        <v>3</v>
      </c>
    </row>
    <row r="16" spans="5:21" x14ac:dyDescent="0.25">
      <c r="E16" s="23" t="s">
        <v>54</v>
      </c>
      <c r="F16" s="1">
        <v>1200</v>
      </c>
      <c r="G16" s="1">
        <v>1400</v>
      </c>
      <c r="L16" s="1">
        <f>IF(AND(M4&gt;0,F16=G16),IF(F7&gt;M4,(M4/2),(F7/2)),IF(AND(M4&gt;0,M4/2&gt;(F7+G7)/2),F7,IF(AND(F16&gt;G16,M4&gt;0),M4/2-(G16-F16)/2,M4/2-(F16-G16)/2)))</f>
        <v>800</v>
      </c>
      <c r="M16" s="1">
        <f>IF(AND(M4&gt;0,F16=G16),IF(G7&gt;M4,(M4/2),(G7/2)),IF(AND(M4&gt;0,M4/2&gt;(F7+G7)/2),G7,IF(AND(F16&gt;G16,M4&gt;0),M4/2+(G16-F16)/2,M4/2+(F16-G16)/2)))</f>
        <v>600</v>
      </c>
      <c r="Q16" s="1">
        <f>IF(AND(M4&gt;0,M4/2&gt;(F7+G7)/2),F7,IF(AND(F16&gt;G16,M4&gt;0),M4/2-(G16-F16)/2,M4/2-(F16-G16)/2))</f>
        <v>800</v>
      </c>
      <c r="U16" s="1">
        <f>IF(AND(M4&gt;0,M4/2&gt;(F7+G7)/2),F7,IF(AND(F16&gt;G16,M4&gt;0),M4/2-(G16-F16)/2,M4/2-(F16-G16)/2))</f>
        <v>800</v>
      </c>
    </row>
    <row r="17" spans="2:21" x14ac:dyDescent="0.25">
      <c r="E17" s="23" t="s">
        <v>55</v>
      </c>
      <c r="F17" s="1">
        <f>F10</f>
        <v>50</v>
      </c>
      <c r="G17" s="1">
        <f>G10</f>
        <v>250</v>
      </c>
      <c r="U17" s="1">
        <f>IF(AND(M4&gt;0,M4/2&gt;(F7+G7)/2),F7,IF(AND(F16&gt;G16,M4&gt;0),M4/2-(G16-F16)/2,M4/2-(F16-G16)/2))</f>
        <v>800</v>
      </c>
    </row>
    <row r="18" spans="2:21" x14ac:dyDescent="0.25">
      <c r="E18" s="1" t="s">
        <v>58</v>
      </c>
      <c r="F18" s="1">
        <f>F16-F17</f>
        <v>1150</v>
      </c>
      <c r="G18" s="1">
        <f>G16-G17</f>
        <v>1150</v>
      </c>
    </row>
    <row r="19" spans="2:21" x14ac:dyDescent="0.25">
      <c r="I19" s="1">
        <f>M4-(G7+F7)</f>
        <v>-300</v>
      </c>
      <c r="L19" s="1" t="s">
        <v>2</v>
      </c>
      <c r="M19" s="1" t="s">
        <v>3</v>
      </c>
    </row>
    <row r="20" spans="2:21" x14ac:dyDescent="0.25">
      <c r="L20" s="1">
        <f>IF(AND((F16-G16)&gt;M4,F7&gt;M4),0,M4)</f>
        <v>1400</v>
      </c>
      <c r="M20" s="1">
        <f>IF(AND((G16-F16)&gt;M4,G7&gt;M4),0,M4)</f>
        <v>1400</v>
      </c>
    </row>
    <row r="21" spans="2:21" x14ac:dyDescent="0.25">
      <c r="I21" s="1">
        <f>F16-G16</f>
        <v>-200</v>
      </c>
    </row>
    <row r="22" spans="2:21" x14ac:dyDescent="0.25">
      <c r="B22" s="1" t="s">
        <v>65</v>
      </c>
    </row>
    <row r="25" spans="2:21" x14ac:dyDescent="0.25">
      <c r="B25" s="1" t="s">
        <v>66</v>
      </c>
    </row>
    <row r="27" spans="2:21" x14ac:dyDescent="0.25">
      <c r="B27" s="1" t="s">
        <v>67</v>
      </c>
    </row>
    <row r="29" spans="2:21" x14ac:dyDescent="0.25">
      <c r="B29" s="1" t="s">
        <v>68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DA030-E1BF-4FAF-A5E5-7FB81C63BBAE}">
  <dimension ref="B3:U41"/>
  <sheetViews>
    <sheetView showGridLines="0" topLeftCell="A2" workbookViewId="0">
      <selection activeCell="G8" sqref="A1:XFD1048576"/>
    </sheetView>
  </sheetViews>
  <sheetFormatPr defaultRowHeight="15" x14ac:dyDescent="0.25"/>
  <cols>
    <col min="1" max="4" width="9.140625" style="1"/>
    <col min="5" max="5" width="10.140625" style="1" bestFit="1" customWidth="1"/>
    <col min="6" max="7" width="9.140625" style="1"/>
    <col min="8" max="8" width="9.42578125" style="1" bestFit="1" customWidth="1"/>
    <col min="9" max="12" width="9.140625" style="1"/>
    <col min="13" max="13" width="10.140625" style="1" bestFit="1" customWidth="1"/>
    <col min="14" max="16384" width="9.140625" style="1"/>
  </cols>
  <sheetData>
    <row r="3" spans="5:21" x14ac:dyDescent="0.25">
      <c r="T3" s="3" t="s">
        <v>60</v>
      </c>
    </row>
    <row r="4" spans="5:21" x14ac:dyDescent="0.25">
      <c r="F4" s="3" t="s">
        <v>0</v>
      </c>
      <c r="J4" s="1" t="s">
        <v>50</v>
      </c>
      <c r="M4" s="1">
        <v>1400</v>
      </c>
      <c r="P4" s="1">
        <f>M4+380</f>
        <v>1780</v>
      </c>
      <c r="Q4" s="1">
        <f>P4/2</f>
        <v>890</v>
      </c>
    </row>
    <row r="5" spans="5:21" x14ac:dyDescent="0.25">
      <c r="L5" s="23" t="s">
        <v>56</v>
      </c>
      <c r="M5" s="1" t="e">
        <f>F9+G9</f>
        <v>#VALUE!</v>
      </c>
      <c r="T5" s="1" t="s">
        <v>2</v>
      </c>
      <c r="U5" s="1" t="s">
        <v>61</v>
      </c>
    </row>
    <row r="6" spans="5:21" x14ac:dyDescent="0.25">
      <c r="F6" s="24" t="s">
        <v>2</v>
      </c>
      <c r="G6" s="24" t="s">
        <v>3</v>
      </c>
      <c r="L6" s="23" t="s">
        <v>57</v>
      </c>
      <c r="M6" s="1" t="e">
        <f>M4-M5</f>
        <v>#VALUE!</v>
      </c>
      <c r="T6" s="1" t="s">
        <v>3</v>
      </c>
      <c r="U6" s="1" t="s">
        <v>62</v>
      </c>
    </row>
    <row r="7" spans="5:21" x14ac:dyDescent="0.25">
      <c r="F7" s="1">
        <v>1000</v>
      </c>
      <c r="G7" s="1">
        <f>F7</f>
        <v>1000</v>
      </c>
    </row>
    <row r="8" spans="5:21" x14ac:dyDescent="0.25">
      <c r="E8" s="25" t="s">
        <v>69</v>
      </c>
      <c r="F8" s="26">
        <f>L20</f>
        <v>1000</v>
      </c>
      <c r="G8" s="26">
        <f>M20</f>
        <v>400</v>
      </c>
    </row>
    <row r="9" spans="5:21" x14ac:dyDescent="0.25">
      <c r="E9" s="27" t="s">
        <v>70</v>
      </c>
      <c r="F9" s="28" t="e">
        <f>IF(F20&gt;G20,F28,E28)</f>
        <v>#VALUE!</v>
      </c>
      <c r="G9" s="28">
        <f>IF(F20&gt;G20,E28,F28)</f>
        <v>800</v>
      </c>
    </row>
    <row r="10" spans="5:21" x14ac:dyDescent="0.25">
      <c r="E10" s="25" t="s">
        <v>72</v>
      </c>
      <c r="F10" s="26">
        <f>F7-F8</f>
        <v>0</v>
      </c>
      <c r="G10" s="26">
        <f>G7-G8</f>
        <v>600</v>
      </c>
      <c r="K10" s="1">
        <f>IF((F7+G7)-M4&lt;(G20-F20),0,0)</f>
        <v>0</v>
      </c>
    </row>
    <row r="11" spans="5:21" x14ac:dyDescent="0.25">
      <c r="E11" s="27" t="s">
        <v>71</v>
      </c>
      <c r="F11" s="28" t="e">
        <f>F7-F9</f>
        <v>#VALUE!</v>
      </c>
      <c r="G11" s="28">
        <f>G7-G9</f>
        <v>200</v>
      </c>
    </row>
    <row r="12" spans="5:21" x14ac:dyDescent="0.25">
      <c r="E12" s="25" t="s">
        <v>74</v>
      </c>
      <c r="F12" s="26">
        <f>IF(F10&gt;F20,F20,F10)</f>
        <v>0</v>
      </c>
      <c r="G12" s="26">
        <f>IF(G10&gt;G20,G20,G10)</f>
        <v>600</v>
      </c>
    </row>
    <row r="13" spans="5:21" x14ac:dyDescent="0.25">
      <c r="E13" s="27" t="s">
        <v>73</v>
      </c>
      <c r="F13" s="28" t="e">
        <f>IF(F11&gt;F20,F20,F11)</f>
        <v>#VALUE!</v>
      </c>
      <c r="G13" s="28">
        <f>IF(G11&gt;G20,G20,G11)</f>
        <v>200</v>
      </c>
    </row>
    <row r="14" spans="5:21" x14ac:dyDescent="0.25">
      <c r="E14" s="25" t="s">
        <v>75</v>
      </c>
      <c r="F14" s="26">
        <f>F7-F8-F12</f>
        <v>0</v>
      </c>
      <c r="G14" s="26">
        <f>G7-G8-G12</f>
        <v>0</v>
      </c>
    </row>
    <row r="15" spans="5:21" x14ac:dyDescent="0.25">
      <c r="E15" s="27" t="s">
        <v>76</v>
      </c>
      <c r="F15" s="28" t="e">
        <f>F7-F9-F13</f>
        <v>#VALUE!</v>
      </c>
      <c r="G15" s="28">
        <f>G7-G9-G13</f>
        <v>0</v>
      </c>
    </row>
    <row r="16" spans="5:21" x14ac:dyDescent="0.25">
      <c r="E16" s="23"/>
    </row>
    <row r="18" spans="5:21" x14ac:dyDescent="0.25">
      <c r="F18" s="3" t="s">
        <v>51</v>
      </c>
      <c r="L18" s="3" t="s">
        <v>59</v>
      </c>
      <c r="Q18" s="3" t="s">
        <v>64</v>
      </c>
    </row>
    <row r="19" spans="5:21" x14ac:dyDescent="0.25">
      <c r="F19" s="24" t="s">
        <v>2</v>
      </c>
      <c r="G19" s="24" t="s">
        <v>3</v>
      </c>
      <c r="L19" s="24" t="s">
        <v>2</v>
      </c>
      <c r="M19" s="24" t="s">
        <v>3</v>
      </c>
      <c r="Q19" s="24" t="s">
        <v>2</v>
      </c>
      <c r="R19" s="24" t="s">
        <v>3</v>
      </c>
    </row>
    <row r="20" spans="5:21" x14ac:dyDescent="0.25">
      <c r="E20" s="23" t="s">
        <v>54</v>
      </c>
      <c r="F20" s="1">
        <v>300</v>
      </c>
      <c r="G20" s="1">
        <v>900</v>
      </c>
      <c r="L20" s="1">
        <f>IF(AND(M4&gt;0,F20=G20),IF(F7&gt;M4,(M4/2),(F7/2)),IF(AND(M4&gt;0,M4/2&gt;(F7+G7)/2),F7,IF(AND(F20&gt;G20,M4&gt;0),M4/2-(G20-F20)/2,M4/2-(F20-G20)/2)))</f>
        <v>1000</v>
      </c>
      <c r="M20" s="1">
        <f>IF(AND(M4&gt;0,F20=G20),IF(G7&gt;M4,(M4/2),(G7/2)),IF(AND(M4&gt;0,M4/2&gt;(F7+G7)/2),G7,IF(AND(F20&gt;G20,M4&gt;0),M4/2+(G20-F20)/2,M4/2+(F20-G20)/2)))</f>
        <v>400</v>
      </c>
      <c r="Q20" s="1">
        <f>IF(AND(M4&gt;0,M4/2&gt;(F7+G7)/2),F7,IF(AND(F20&gt;G20,M4&gt;0),M4/2-(G20-F20)/2,M4/2-(F20-G20)/2))</f>
        <v>1000</v>
      </c>
      <c r="U20" s="1">
        <f>IF(AND(M4&gt;0,M4/2&gt;(F7+G7)/2),F7,IF(AND(F20&gt;G20,M4&gt;0),M4/2-(G20-F20)/2,M4/2-(F20-G20)/2))</f>
        <v>1000</v>
      </c>
    </row>
    <row r="21" spans="5:21" x14ac:dyDescent="0.25">
      <c r="E21" s="25" t="s">
        <v>77</v>
      </c>
      <c r="F21" s="26">
        <f>F12</f>
        <v>0</v>
      </c>
      <c r="G21" s="26">
        <f>G12</f>
        <v>600</v>
      </c>
      <c r="U21" s="1">
        <f>IF(AND(M4&gt;0,M4/2&gt;(F7+G7)/2),F7,IF(AND(F20&gt;G20,M4&gt;0),M4/2-(G20-F20)/2,M4/2-(F20-G20)/2))</f>
        <v>1000</v>
      </c>
    </row>
    <row r="22" spans="5:21" x14ac:dyDescent="0.25">
      <c r="E22" s="27" t="s">
        <v>78</v>
      </c>
      <c r="F22" s="28" t="e">
        <f>F13</f>
        <v>#VALUE!</v>
      </c>
      <c r="G22" s="28">
        <f>G13</f>
        <v>200</v>
      </c>
    </row>
    <row r="23" spans="5:21" x14ac:dyDescent="0.25">
      <c r="E23" s="25" t="s">
        <v>72</v>
      </c>
      <c r="F23" s="26">
        <f>F20-F21</f>
        <v>300</v>
      </c>
      <c r="G23" s="26">
        <f>G20-G21</f>
        <v>300</v>
      </c>
      <c r="K23" s="1">
        <f>F7+G7</f>
        <v>2000</v>
      </c>
    </row>
    <row r="24" spans="5:21" x14ac:dyDescent="0.25">
      <c r="E24" s="27" t="s">
        <v>71</v>
      </c>
      <c r="F24" s="28" t="e">
        <f>F20-F22</f>
        <v>#VALUE!</v>
      </c>
      <c r="G24" s="28">
        <f>G20-G22</f>
        <v>700</v>
      </c>
      <c r="K24" s="1">
        <f>K23-M4</f>
        <v>600</v>
      </c>
    </row>
    <row r="26" spans="5:21" x14ac:dyDescent="0.25">
      <c r="K26" s="1">
        <f>ABS(F20-G20)</f>
        <v>600</v>
      </c>
    </row>
    <row r="27" spans="5:21" x14ac:dyDescent="0.25">
      <c r="E27" s="1" t="s">
        <v>2</v>
      </c>
      <c r="F27" s="1" t="s">
        <v>3</v>
      </c>
    </row>
    <row r="28" spans="5:21" x14ac:dyDescent="0.25">
      <c r="E28" s="1" t="e">
        <f>(IF(IF(F20&lt;G20,M4-G20+F20,M4+F20-G20)&gt;F7,F7,(F20&lt;G20,M4-G20+F20,M4+F20-G20)))</f>
        <v>#VALUE!</v>
      </c>
      <c r="F28" s="1">
        <f>(IF(IF(G20&gt;F20,M4-G20+F20,M4-F20+G20)&gt;G7,M4-IF(IF(F20&lt;G20,M4-G20+F20,M4+F20-G20)&gt;F7,F7,(F20&lt;G20,M4-G20+F20,M4+F20-G20)),IF(G20&gt;F20,M4-G20+F20,M4-F20+G20)))</f>
        <v>800</v>
      </c>
    </row>
    <row r="29" spans="5:21" x14ac:dyDescent="0.25">
      <c r="E29" s="1">
        <f>M4-G20+FM204+F20-G20</f>
        <v>-100</v>
      </c>
    </row>
    <row r="31" spans="5:21" x14ac:dyDescent="0.25">
      <c r="E31" s="1">
        <f>IF(F20&lt;G20,M4-(G20+F20),M4+(F20-G20))</f>
        <v>200</v>
      </c>
    </row>
    <row r="32" spans="5:21" x14ac:dyDescent="0.25">
      <c r="E32" s="1">
        <f>M4+(F20-G20)</f>
        <v>800</v>
      </c>
      <c r="F32" s="1">
        <f>M4-(G20+F20)</f>
        <v>200</v>
      </c>
    </row>
    <row r="34" spans="2:2" x14ac:dyDescent="0.25">
      <c r="B34" s="1" t="s">
        <v>65</v>
      </c>
    </row>
    <row r="37" spans="2:2" x14ac:dyDescent="0.25">
      <c r="B37" s="1" t="s">
        <v>66</v>
      </c>
    </row>
    <row r="39" spans="2:2" x14ac:dyDescent="0.25">
      <c r="B39" s="1" t="s">
        <v>67</v>
      </c>
    </row>
    <row r="41" spans="2:2" x14ac:dyDescent="0.25">
      <c r="B41" s="1" t="s">
        <v>68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296C1-84E0-40C2-929E-0E2A930D9CF4}">
  <dimension ref="B3:U41"/>
  <sheetViews>
    <sheetView workbookViewId="0">
      <selection activeCell="G8" sqref="A1:XFD1048576"/>
    </sheetView>
  </sheetViews>
  <sheetFormatPr defaultRowHeight="15" x14ac:dyDescent="0.25"/>
  <cols>
    <col min="1" max="4" width="9.140625" style="1"/>
    <col min="5" max="5" width="10.140625" style="1" bestFit="1" customWidth="1"/>
    <col min="6" max="12" width="9.140625" style="1"/>
    <col min="13" max="13" width="10.140625" style="1" bestFit="1" customWidth="1"/>
    <col min="14" max="16384" width="9.140625" style="1"/>
  </cols>
  <sheetData>
    <row r="3" spans="5:21" x14ac:dyDescent="0.25">
      <c r="T3" s="3" t="s">
        <v>60</v>
      </c>
    </row>
    <row r="4" spans="5:21" x14ac:dyDescent="0.25">
      <c r="F4" s="3" t="s">
        <v>0</v>
      </c>
      <c r="J4" s="1" t="s">
        <v>50</v>
      </c>
      <c r="M4" s="1">
        <v>1400</v>
      </c>
      <c r="P4" s="1">
        <f>M4+380</f>
        <v>1780</v>
      </c>
      <c r="Q4" s="1">
        <f>P4/2</f>
        <v>890</v>
      </c>
    </row>
    <row r="5" spans="5:21" x14ac:dyDescent="0.25">
      <c r="L5" s="23" t="s">
        <v>56</v>
      </c>
      <c r="M5" s="1">
        <f>F8+G8</f>
        <v>1400</v>
      </c>
      <c r="T5" s="1" t="s">
        <v>2</v>
      </c>
      <c r="U5" s="1" t="s">
        <v>61</v>
      </c>
    </row>
    <row r="6" spans="5:21" x14ac:dyDescent="0.25">
      <c r="F6" s="24" t="s">
        <v>2</v>
      </c>
      <c r="G6" s="24" t="s">
        <v>3</v>
      </c>
      <c r="L6" s="23" t="s">
        <v>57</v>
      </c>
      <c r="M6" s="1">
        <f>M4-M5</f>
        <v>0</v>
      </c>
      <c r="T6" s="1" t="s">
        <v>3</v>
      </c>
      <c r="U6" s="1" t="s">
        <v>62</v>
      </c>
    </row>
    <row r="7" spans="5:21" x14ac:dyDescent="0.25">
      <c r="F7" s="1">
        <v>800</v>
      </c>
      <c r="G7" s="1">
        <f>F7</f>
        <v>800</v>
      </c>
    </row>
    <row r="8" spans="5:21" x14ac:dyDescent="0.25">
      <c r="E8" s="25" t="s">
        <v>69</v>
      </c>
      <c r="F8" s="26">
        <f>L20</f>
        <v>1700</v>
      </c>
      <c r="G8" s="26">
        <f>M20</f>
        <v>-300</v>
      </c>
    </row>
    <row r="9" spans="5:21" x14ac:dyDescent="0.25">
      <c r="E9" s="27" t="s">
        <v>70</v>
      </c>
      <c r="F9" s="28" t="e">
        <f>IF(F20&gt;G20,F28,E28)</f>
        <v>#VALUE!</v>
      </c>
      <c r="G9" s="28">
        <f>IF(F20&gt;G20,E28,F28)</f>
        <v>-600</v>
      </c>
      <c r="L9" s="3" t="s">
        <v>79</v>
      </c>
    </row>
    <row r="10" spans="5:21" x14ac:dyDescent="0.25">
      <c r="E10" s="25" t="s">
        <v>72</v>
      </c>
      <c r="F10" s="26">
        <f>F7-F8</f>
        <v>-900</v>
      </c>
      <c r="G10" s="26">
        <f>G7-G8</f>
        <v>1100</v>
      </c>
      <c r="L10" s="24" t="s">
        <v>2</v>
      </c>
      <c r="M10" s="24" t="s">
        <v>3</v>
      </c>
    </row>
    <row r="11" spans="5:21" x14ac:dyDescent="0.25">
      <c r="E11" s="27" t="s">
        <v>71</v>
      </c>
      <c r="F11" s="28" t="e">
        <f>F7-F9</f>
        <v>#VALUE!</v>
      </c>
      <c r="G11" s="28">
        <f>G7-G9</f>
        <v>1400</v>
      </c>
      <c r="L11" s="1" t="e">
        <f>IF(AND((F7+G7)-M4&lt;ABS(G20-F20),F7+G7&gt;M4),IF(IF(F20&lt;G20,M4-G20+F20,M4+F20-G20)&gt;F7,F7,(F20&lt;G20,M4-G20+F20,M4+F20-G20)),IF(AND(M4&gt;0,F20=G20),IF(F7&gt;M4,(M4/2),(F7/2)),IF(AND(M4&gt;0,M4/2&gt;(F7+G7)/2),F7,IF(AND(F20&gt;G20,M4&gt;0),M4/2-(G20-F20)/2,M4/2-(F20-G20)/2))))</f>
        <v>#VALUE!</v>
      </c>
      <c r="M11" s="1">
        <f>IF(AND((F7+G7)-M4&lt;ABS(G20-F20),F7+G7&gt;M4),IF(IF(G20&gt;F20,M4-G20+F20,M4-F20+G20)&gt;G7,M4-IF(IF(F20&lt;G20,M4-G20+F20,M4+F20-G20)&gt;F7,F7,(F20&lt;G20,M4-G20+F20,M4+F20-G20)),IF(G20&gt;F20,M4-G20+F20,M4-F20+G20)),IF(AND(M4&gt;0,F20=G20),IF(G7&gt;M4,(M4/2),(G7/2)),IF(AND(M4&gt;0,M4/2&gt;(F7+G7)/2),G7,IF(AND(F20&gt;G20,M4&gt;0),M4/2+(G20-F20)/2,M4/2+(F20-G20)/2))))</f>
        <v>-600</v>
      </c>
    </row>
    <row r="12" spans="5:21" x14ac:dyDescent="0.25">
      <c r="E12" s="25" t="s">
        <v>74</v>
      </c>
      <c r="F12" s="26">
        <f>IF(F10&gt;F20,F20,F10)</f>
        <v>-900</v>
      </c>
      <c r="G12" s="26">
        <f>IF(G10&gt;G20,G20,G10)</f>
        <v>1100</v>
      </c>
    </row>
    <row r="13" spans="5:21" x14ac:dyDescent="0.25">
      <c r="E13" s="27" t="s">
        <v>73</v>
      </c>
      <c r="F13" s="28" t="e">
        <f>IF(F11&gt;F20,F20,F11)</f>
        <v>#VALUE!</v>
      </c>
      <c r="G13" s="28">
        <f>IF(G11&gt;G20,G20,G11)</f>
        <v>1400</v>
      </c>
      <c r="K13" s="1" t="s">
        <v>2</v>
      </c>
      <c r="L13" s="1" t="b">
        <v>0</v>
      </c>
      <c r="M13" s="1" t="s">
        <v>80</v>
      </c>
    </row>
    <row r="14" spans="5:21" x14ac:dyDescent="0.25">
      <c r="E14" s="25" t="s">
        <v>75</v>
      </c>
      <c r="F14" s="26">
        <f>F7-F8-F12</f>
        <v>0</v>
      </c>
      <c r="G14" s="26">
        <f>G7-G8-G12</f>
        <v>0</v>
      </c>
      <c r="L14" s="1" t="b">
        <v>1</v>
      </c>
      <c r="M14" s="1" t="s">
        <v>81</v>
      </c>
    </row>
    <row r="15" spans="5:21" x14ac:dyDescent="0.25">
      <c r="E15" s="27" t="s">
        <v>76</v>
      </c>
      <c r="F15" s="28" t="e">
        <f>F7-F9-F13</f>
        <v>#VALUE!</v>
      </c>
      <c r="G15" s="28">
        <f>G7-G9-G13</f>
        <v>0</v>
      </c>
      <c r="K15" s="1" t="s">
        <v>3</v>
      </c>
      <c r="L15" s="1" t="b">
        <v>0</v>
      </c>
      <c r="M15" s="1" t="s">
        <v>82</v>
      </c>
    </row>
    <row r="16" spans="5:21" x14ac:dyDescent="0.25">
      <c r="E16" s="23"/>
      <c r="L16" s="1" t="b">
        <v>1</v>
      </c>
      <c r="M16" s="1" t="s">
        <v>83</v>
      </c>
    </row>
    <row r="18" spans="5:21" x14ac:dyDescent="0.25">
      <c r="F18" s="3" t="s">
        <v>51</v>
      </c>
      <c r="L18" s="3" t="s">
        <v>59</v>
      </c>
      <c r="Q18" s="3" t="s">
        <v>64</v>
      </c>
    </row>
    <row r="19" spans="5:21" x14ac:dyDescent="0.25">
      <c r="F19" s="24" t="s">
        <v>2</v>
      </c>
      <c r="G19" s="24" t="s">
        <v>3</v>
      </c>
      <c r="L19" s="24" t="s">
        <v>2</v>
      </c>
      <c r="M19" s="24" t="s">
        <v>3</v>
      </c>
      <c r="Q19" s="24" t="s">
        <v>2</v>
      </c>
      <c r="R19" s="24" t="s">
        <v>3</v>
      </c>
    </row>
    <row r="20" spans="5:21" x14ac:dyDescent="0.25">
      <c r="E20" s="23" t="s">
        <v>54</v>
      </c>
      <c r="F20" s="1">
        <v>0</v>
      </c>
      <c r="G20" s="1">
        <v>2000</v>
      </c>
      <c r="L20" s="1">
        <f>IF(AND(M4&gt;0,F20=G20),IF(F7&gt;M4,(M4/2),(F7/2)),IF(AND(M4&gt;0,M4/2&gt;(F7+G7)/2),F7,IF(AND(F20&gt;G20,M4&gt;0),M4/2-(G20-F20)/2,M4/2-(F20-G20)/2)))</f>
        <v>1700</v>
      </c>
      <c r="M20" s="1">
        <f>IF(AND(M4&gt;0,F20=G20),IF(G7&gt;M4,(M4/2),(G7/2)),IF(AND(M4&gt;0,M4/2&gt;(F7+G7)/2),G7,IF(AND(F20&gt;G20,M4&gt;0),M4/2+(G20-F20)/2,M4/2+(F20-G20)/2)))</f>
        <v>-300</v>
      </c>
      <c r="Q20" s="1">
        <f>IF(AND(M4&gt;0,M4/2&gt;(F7+G7)/2),F7,IF(AND(F20&gt;G20,M4&gt;0),M4/2-(G20-F20)/2,M4/2-(F20-G20)/2))</f>
        <v>1700</v>
      </c>
      <c r="U20" s="1">
        <f>IF(AND(M4&gt;0,M4/2&gt;(F7+G7)/2),F7,IF(AND(F20&gt;G20,M4&gt;0),M4/2-(G20-F20)/2,M4/2-(F20-G20)/2))</f>
        <v>1700</v>
      </c>
    </row>
    <row r="21" spans="5:21" x14ac:dyDescent="0.25">
      <c r="E21" s="25" t="s">
        <v>77</v>
      </c>
      <c r="F21" s="26">
        <f>F12</f>
        <v>-900</v>
      </c>
      <c r="G21" s="26">
        <f>G12</f>
        <v>1100</v>
      </c>
      <c r="U21" s="1">
        <f>IF(AND(M4&gt;0,M4/2&gt;(F7+G7)/2),F7,IF(AND(F20&gt;G20,M4&gt;0),M4/2-(G20-F20)/2,M4/2-(F20-G20)/2))</f>
        <v>1700</v>
      </c>
    </row>
    <row r="22" spans="5:21" x14ac:dyDescent="0.25">
      <c r="E22" s="27" t="s">
        <v>78</v>
      </c>
      <c r="F22" s="28" t="e">
        <f>F13</f>
        <v>#VALUE!</v>
      </c>
      <c r="G22" s="28">
        <f>G13</f>
        <v>1400</v>
      </c>
    </row>
    <row r="23" spans="5:21" x14ac:dyDescent="0.25">
      <c r="E23" s="25" t="s">
        <v>72</v>
      </c>
      <c r="F23" s="26">
        <f>F20-F21</f>
        <v>900</v>
      </c>
      <c r="G23" s="26">
        <f>G20-G21</f>
        <v>900</v>
      </c>
      <c r="K23" s="1">
        <f>F7+G7</f>
        <v>1600</v>
      </c>
    </row>
    <row r="24" spans="5:21" x14ac:dyDescent="0.25">
      <c r="E24" s="27" t="s">
        <v>71</v>
      </c>
      <c r="F24" s="28" t="e">
        <f>F20-F22</f>
        <v>#VALUE!</v>
      </c>
      <c r="G24" s="28">
        <f>G20-G22</f>
        <v>600</v>
      </c>
      <c r="K24" s="1">
        <f>K23-M4</f>
        <v>200</v>
      </c>
    </row>
    <row r="26" spans="5:21" x14ac:dyDescent="0.25">
      <c r="K26" s="1">
        <f>ABS(F20-G20)</f>
        <v>2000</v>
      </c>
    </row>
    <row r="27" spans="5:21" x14ac:dyDescent="0.25">
      <c r="E27" s="1" t="s">
        <v>2</v>
      </c>
      <c r="F27" s="1" t="s">
        <v>3</v>
      </c>
    </row>
    <row r="28" spans="5:21" x14ac:dyDescent="0.25">
      <c r="E28" s="1" t="e">
        <f>IF(IF(F20&lt;G20,M4-G20+F20,M4+F20-G20)&gt;F7,F7,(F20&lt;G20,M4-G20+F20,M4+F20-G20))</f>
        <v>#VALUE!</v>
      </c>
      <c r="F28" s="1">
        <f>IF(IF(G20&gt;F20,M4-G20+F20,M4-F20+G20)&gt;G7,M4-IF(IF(F20&lt;G20,M4-G20+F20,M4+F20-G20)&gt;F7,F7,(F20&lt;G20,M4-G20+F20,M4+F20-G20)),IF(G20&gt;F20,M4-G20+F20,M4-F20+G20))</f>
        <v>-600</v>
      </c>
    </row>
    <row r="29" spans="5:21" x14ac:dyDescent="0.25">
      <c r="E29" s="1">
        <f>M4-G20+FM204+F20-G20</f>
        <v>-2600</v>
      </c>
    </row>
    <row r="31" spans="5:21" x14ac:dyDescent="0.25">
      <c r="E31" s="1">
        <f>IF(F20&lt;G20,M4-(G20+F20),M4+(F20-G20))</f>
        <v>-600</v>
      </c>
    </row>
    <row r="32" spans="5:21" x14ac:dyDescent="0.25">
      <c r="E32" s="1">
        <f>M4+(F20-G20)</f>
        <v>-600</v>
      </c>
      <c r="F32" s="1">
        <f>M4-(G20+F20)</f>
        <v>-600</v>
      </c>
    </row>
    <row r="34" spans="2:2" x14ac:dyDescent="0.25">
      <c r="B34" s="1" t="s">
        <v>65</v>
      </c>
    </row>
    <row r="37" spans="2:2" x14ac:dyDescent="0.25">
      <c r="B37" s="1" t="s">
        <v>66</v>
      </c>
    </row>
    <row r="39" spans="2:2" x14ac:dyDescent="0.25">
      <c r="B39" s="1" t="s">
        <v>67</v>
      </c>
    </row>
    <row r="41" spans="2:2" x14ac:dyDescent="0.25">
      <c r="B41" s="1" t="s">
        <v>68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D26D2-4C7F-4ECD-B3AE-EE948F8B4525}">
  <dimension ref="B3:U41"/>
  <sheetViews>
    <sheetView workbookViewId="0">
      <selection activeCell="G8" sqref="A1:XFD1048576"/>
    </sheetView>
  </sheetViews>
  <sheetFormatPr defaultRowHeight="15" x14ac:dyDescent="0.25"/>
  <cols>
    <col min="1" max="4" width="9.140625" style="1"/>
    <col min="5" max="5" width="10.140625" style="1" bestFit="1" customWidth="1"/>
    <col min="6" max="11" width="9.140625" style="1"/>
    <col min="12" max="13" width="10.140625" style="1" bestFit="1" customWidth="1"/>
    <col min="14" max="16384" width="9.140625" style="1"/>
  </cols>
  <sheetData>
    <row r="3" spans="5:21" x14ac:dyDescent="0.25">
      <c r="T3" s="3" t="s">
        <v>60</v>
      </c>
    </row>
    <row r="4" spans="5:21" x14ac:dyDescent="0.25">
      <c r="F4" s="3" t="s">
        <v>0</v>
      </c>
      <c r="J4" s="1" t="s">
        <v>50</v>
      </c>
      <c r="M4" s="1">
        <v>9000</v>
      </c>
      <c r="P4" s="1">
        <f>M4+380</f>
        <v>9380</v>
      </c>
      <c r="Q4" s="1">
        <f>P4/2</f>
        <v>4690</v>
      </c>
    </row>
    <row r="5" spans="5:21" x14ac:dyDescent="0.25">
      <c r="L5" s="23" t="s">
        <v>56</v>
      </c>
      <c r="M5" s="1">
        <f>F8+G8</f>
        <v>1500</v>
      </c>
      <c r="T5" s="1" t="s">
        <v>2</v>
      </c>
      <c r="U5" s="1">
        <f>IF(AND(M4&gt;0,F20=G20),IF(F7&gt;M4/2,(M4/2),(F7)),0)</f>
        <v>0</v>
      </c>
    </row>
    <row r="6" spans="5:21" x14ac:dyDescent="0.25">
      <c r="F6" s="24" t="s">
        <v>2</v>
      </c>
      <c r="G6" s="24" t="s">
        <v>3</v>
      </c>
      <c r="L6" s="23" t="s">
        <v>57</v>
      </c>
      <c r="M6" s="1">
        <f>M4-M5</f>
        <v>7500</v>
      </c>
      <c r="T6" s="1" t="s">
        <v>3</v>
      </c>
      <c r="U6" s="1">
        <f>IF(AND(M4&gt;0,F20=G20),IF(G7&gt;M4/2,(M4/2),(G7)),0)</f>
        <v>0</v>
      </c>
    </row>
    <row r="7" spans="5:21" x14ac:dyDescent="0.25">
      <c r="F7" s="1">
        <v>1500</v>
      </c>
      <c r="G7" s="1">
        <f>F7</f>
        <v>1500</v>
      </c>
    </row>
    <row r="8" spans="5:21" x14ac:dyDescent="0.25">
      <c r="E8" s="25" t="s">
        <v>69</v>
      </c>
      <c r="F8" s="26">
        <f>IF(F20&gt;G20,M11,L11)</f>
        <v>0</v>
      </c>
      <c r="G8" s="26">
        <f>IF(G20&gt;F20,M11,L11)</f>
        <v>1500</v>
      </c>
    </row>
    <row r="9" spans="5:21" x14ac:dyDescent="0.25">
      <c r="E9" s="27" t="s">
        <v>70</v>
      </c>
      <c r="F9" s="28">
        <f>IF(F20&gt;G20,M24,L24)</f>
        <v>7500</v>
      </c>
      <c r="G9" s="28">
        <f>IF(F20&gt;G20,L24,M24)</f>
        <v>1500</v>
      </c>
      <c r="L9" s="3" t="s">
        <v>79</v>
      </c>
    </row>
    <row r="10" spans="5:21" x14ac:dyDescent="0.25">
      <c r="E10" s="25" t="s">
        <v>72</v>
      </c>
      <c r="F10" s="26">
        <f>F7-F8</f>
        <v>1500</v>
      </c>
      <c r="G10" s="26">
        <f>G7-G8</f>
        <v>0</v>
      </c>
      <c r="L10" s="24" t="s">
        <v>2</v>
      </c>
      <c r="M10" s="24" t="s">
        <v>3</v>
      </c>
    </row>
    <row r="11" spans="5:21" x14ac:dyDescent="0.25">
      <c r="E11" s="27" t="s">
        <v>71</v>
      </c>
      <c r="F11" s="28">
        <f>F7-F9</f>
        <v>-6000</v>
      </c>
      <c r="G11" s="28">
        <f>G7-G9</f>
        <v>0</v>
      </c>
      <c r="I11" s="1">
        <f>F7+G7-M4</f>
        <v>-6000</v>
      </c>
      <c r="L11" s="1">
        <f>IF(F7+G7-M4=0,F7,IF(M4&gt;0,IF(AND(M4&gt;0,F20=G20),IF(F7&gt;M4/2,(M4/2),(F7)),IF(AND((F7+G7)-M4&lt;ABS(G20-F20),F7+G7&gt;M4),IF(IF(F20&lt;G20,M4-G20+F20,M4+F20-G20)&gt;F7,F7,(F20&lt;G20,M4-G20+F20,M4+F20-G20)),IF(AND(M4&gt;0,F20=G20),IF(F7&gt;M4,(M4/2),(F7/2)),IF(AND(M4&gt;0,M4/2&gt;(F7+G7)/2),F7,IF(AND(F20&gt;G20,M4&gt;0),M4/2-(G20-F20)/2,M4/2-(F20-G20)/2))))),0))</f>
        <v>1500</v>
      </c>
      <c r="M11" s="1">
        <f>IF(F7+G7-M4=0,IF(M4&gt;0,IF(AND(M4&gt;0,F20=G20),IF(G7&gt;M4/2,(M4/2),(G7)),IF(AND((F7+G7)-M4&lt;ABS(G20-F20),F7+G7&gt;M4),IF(IF(G20&gt;F20,M4-G20+F20,M4-F20+G20)&gt;G7,M4-IF(IF(F20&lt;G20,M4-G20+F20,M4+F20-G20)&gt;F7,F7,(F20&lt;G20,M4-G20+F20,M4+F20-G20)),IF(G20&gt;F20,M4-G20+F20,M4-F20+G20)),IF(AND(M4&gt;0,F20=G20),IF(G7&gt;M4,(M4/2),(G7/2)),IF(AND(M4&gt;0,M4/2&gt;(F7+G7)/2),G7,IF(AND(F20&gt;G20,M4&gt;0),M4/2+(G20-F20)/2,M4/2+(F20-G20)/2))))),0),0)</f>
        <v>0</v>
      </c>
    </row>
    <row r="12" spans="5:21" x14ac:dyDescent="0.25">
      <c r="E12" s="25" t="s">
        <v>74</v>
      </c>
      <c r="F12" s="26">
        <f>IF(F10&gt;F20,F20,F10)</f>
        <v>1500</v>
      </c>
      <c r="G12" s="26">
        <f>IF(G10&gt;G20,G20,G10)</f>
        <v>0</v>
      </c>
    </row>
    <row r="13" spans="5:21" x14ac:dyDescent="0.25">
      <c r="E13" s="27" t="s">
        <v>73</v>
      </c>
      <c r="F13" s="28">
        <f>IF(F11&gt;F20,F20,F11)</f>
        <v>-6000</v>
      </c>
      <c r="G13" s="28">
        <f>IF(G11&gt;G20,G20,G11)</f>
        <v>0</v>
      </c>
      <c r="L13" s="1" t="s">
        <v>79</v>
      </c>
    </row>
    <row r="14" spans="5:21" x14ac:dyDescent="0.25">
      <c r="E14" s="25" t="s">
        <v>75</v>
      </c>
      <c r="F14" s="26">
        <f>F7-F8-F12</f>
        <v>0</v>
      </c>
      <c r="G14" s="26">
        <f>G7-G8-G12</f>
        <v>0</v>
      </c>
      <c r="L14" s="1" t="s">
        <v>2</v>
      </c>
      <c r="M14" s="1" t="s">
        <v>86</v>
      </c>
    </row>
    <row r="15" spans="5:21" x14ac:dyDescent="0.25">
      <c r="E15" s="27" t="s">
        <v>76</v>
      </c>
      <c r="F15" s="28">
        <f>F7-F9-F13</f>
        <v>0</v>
      </c>
      <c r="G15" s="28">
        <f>G7-G9-G13</f>
        <v>0</v>
      </c>
      <c r="L15" s="1" t="s">
        <v>3</v>
      </c>
      <c r="M15" s="1" t="s">
        <v>87</v>
      </c>
    </row>
    <row r="16" spans="5:21" x14ac:dyDescent="0.25">
      <c r="E16" s="23"/>
    </row>
    <row r="17" spans="5:21" x14ac:dyDescent="0.25">
      <c r="L17" s="1" t="s">
        <v>84</v>
      </c>
    </row>
    <row r="18" spans="5:21" x14ac:dyDescent="0.25">
      <c r="F18" s="3" t="s">
        <v>51</v>
      </c>
      <c r="L18" s="3" t="s">
        <v>59</v>
      </c>
      <c r="Q18" s="3" t="s">
        <v>64</v>
      </c>
    </row>
    <row r="19" spans="5:21" x14ac:dyDescent="0.25">
      <c r="F19" s="24" t="s">
        <v>2</v>
      </c>
      <c r="G19" s="24" t="s">
        <v>3</v>
      </c>
      <c r="L19" s="24" t="s">
        <v>2</v>
      </c>
      <c r="M19" s="24" t="s">
        <v>3</v>
      </c>
      <c r="Q19" s="24" t="s">
        <v>2</v>
      </c>
      <c r="R19" s="24" t="s">
        <v>3</v>
      </c>
    </row>
    <row r="20" spans="5:21" x14ac:dyDescent="0.25">
      <c r="E20" s="23" t="s">
        <v>54</v>
      </c>
      <c r="F20" s="1">
        <v>2000</v>
      </c>
      <c r="G20" s="1">
        <v>1900</v>
      </c>
      <c r="L20" s="1">
        <f>IF(AND(M4&gt;0,F20=G20),IF(F7&gt;M4,(M4/2),(F7/2)),IF(AND(M4&gt;0,M4/2&gt;(F7+G7)/2),F7,IF(AND(F20&gt;G20,M4&gt;0),M4/2-(G20-F20)/2,M4/2-(F20-G20)/2)))</f>
        <v>1500</v>
      </c>
      <c r="M20" s="1">
        <f>IF(AND(M4&gt;0,F20=G20),IF(G7&gt;M4,(M4/2),(G7/2)),IF(AND(M4&gt;0,M4/2&gt;(F7+G7)/2),G7,IF(AND(F20&gt;G20,M4&gt;0),M4/2+(G20-F20)/2,M4/2+(F20-G20)/2)))</f>
        <v>1500</v>
      </c>
      <c r="Q20" s="1">
        <f>IF(AND(M4&gt;0,M4/2&gt;(F7+G7)/2),F7,IF(AND(F20&gt;G20,M4&gt;0),M4/2-(G20-F20)/2,M4/2-(F20-G20)/2))</f>
        <v>1500</v>
      </c>
      <c r="U20" s="1">
        <f>IF(AND(M4&gt;0,M4/2&gt;(F7+G7)/2),F7,IF(AND(F20&gt;G20,M4&gt;0),M4/2-(G20-F20)/2,M4/2-(F20-G20)/2))</f>
        <v>1500</v>
      </c>
    </row>
    <row r="21" spans="5:21" x14ac:dyDescent="0.25">
      <c r="E21" s="25" t="s">
        <v>77</v>
      </c>
      <c r="F21" s="26">
        <f>F12</f>
        <v>1500</v>
      </c>
      <c r="G21" s="26">
        <f>G12</f>
        <v>0</v>
      </c>
      <c r="U21" s="1">
        <f>IF(AND(M4&gt;0,M4/2&gt;(F7+G7)/2),F7,IF(AND(F20&gt;G20,M4&gt;0),M4/2-(G20-F20)/2,M4/2-(F20-G20)/2))</f>
        <v>1500</v>
      </c>
    </row>
    <row r="22" spans="5:21" x14ac:dyDescent="0.25">
      <c r="E22" s="27" t="s">
        <v>78</v>
      </c>
      <c r="F22" s="28">
        <f>F13</f>
        <v>-6000</v>
      </c>
      <c r="G22" s="28">
        <f>G13</f>
        <v>0</v>
      </c>
      <c r="L22" s="3" t="s">
        <v>85</v>
      </c>
      <c r="M22" s="3"/>
    </row>
    <row r="23" spans="5:21" x14ac:dyDescent="0.25">
      <c r="E23" s="25" t="s">
        <v>72</v>
      </c>
      <c r="F23" s="26">
        <f>F20-F21</f>
        <v>500</v>
      </c>
      <c r="G23" s="26">
        <f>G20-G21</f>
        <v>1900</v>
      </c>
      <c r="L23" s="3" t="s">
        <v>2</v>
      </c>
      <c r="M23" s="3" t="s">
        <v>3</v>
      </c>
    </row>
    <row r="24" spans="5:21" x14ac:dyDescent="0.25">
      <c r="E24" s="27" t="s">
        <v>71</v>
      </c>
      <c r="F24" s="28">
        <f>F20-F22</f>
        <v>8000</v>
      </c>
      <c r="G24" s="28">
        <f>G20-G22</f>
        <v>1900</v>
      </c>
      <c r="L24" s="1">
        <f>IF(IF(F20&lt;G20,M4-G20+F20,M4+F20-G20)&gt;F7,F7,(F20&lt;G20,M4-G20+F20,M4+F20-G20))</f>
        <v>1500</v>
      </c>
      <c r="M24" s="1">
        <f>IF(IF(G20&gt;F20,M4-G20+F20,M4-F20+G20)&gt;G7,M4-IF(IF(F20&lt;G20,M4-G20+F20,M4+F20-G20)&gt;F7,F7,(F20&lt;G20,M4-G20+F20,M4+F20-G20)),IF(G20&gt;F20,M4-G20+F20,M4-F20+G20))</f>
        <v>7500</v>
      </c>
    </row>
    <row r="31" spans="5:21" x14ac:dyDescent="0.25">
      <c r="E31" s="1">
        <f>IF(F20&lt;G20,M4-(G20+F20),M4+(F20-G20))</f>
        <v>9100</v>
      </c>
    </row>
    <row r="32" spans="5:21" x14ac:dyDescent="0.25">
      <c r="E32" s="1">
        <f>M4+(F20-G20)</f>
        <v>9100</v>
      </c>
      <c r="F32" s="1">
        <f>M4-(G20+F20)</f>
        <v>5100</v>
      </c>
    </row>
    <row r="34" spans="2:2" x14ac:dyDescent="0.25">
      <c r="B34" s="1" t="s">
        <v>65</v>
      </c>
    </row>
    <row r="37" spans="2:2" x14ac:dyDescent="0.25">
      <c r="B37" s="1" t="s">
        <v>66</v>
      </c>
    </row>
    <row r="39" spans="2:2" x14ac:dyDescent="0.25">
      <c r="B39" s="1" t="s">
        <v>67</v>
      </c>
    </row>
    <row r="41" spans="2:2" x14ac:dyDescent="0.25">
      <c r="B41" s="1" t="s">
        <v>68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9289B-6392-407A-9CB7-0A2EAE5A0BCE}">
  <dimension ref="B3:Y41"/>
  <sheetViews>
    <sheetView workbookViewId="0">
      <selection activeCell="G8" sqref="A1:XFD1048576"/>
    </sheetView>
  </sheetViews>
  <sheetFormatPr defaultRowHeight="15" x14ac:dyDescent="0.25"/>
  <cols>
    <col min="1" max="4" width="9.140625" style="1"/>
    <col min="5" max="5" width="10.140625" style="1" bestFit="1" customWidth="1"/>
    <col min="6" max="11" width="9.140625" style="1"/>
    <col min="12" max="13" width="10.140625" style="1" bestFit="1" customWidth="1"/>
    <col min="14" max="16384" width="9.140625" style="1"/>
  </cols>
  <sheetData>
    <row r="3" spans="5:25" x14ac:dyDescent="0.25">
      <c r="T3" s="3" t="s">
        <v>60</v>
      </c>
    </row>
    <row r="4" spans="5:25" x14ac:dyDescent="0.25">
      <c r="F4" s="3" t="s">
        <v>0</v>
      </c>
      <c r="J4" s="1" t="s">
        <v>50</v>
      </c>
      <c r="M4" s="1">
        <v>2000</v>
      </c>
      <c r="P4" s="1">
        <f>M4+380</f>
        <v>2380</v>
      </c>
      <c r="Q4" s="1">
        <f>P4/2</f>
        <v>1190</v>
      </c>
    </row>
    <row r="5" spans="5:25" x14ac:dyDescent="0.25">
      <c r="L5" s="23" t="s">
        <v>56</v>
      </c>
      <c r="M5" s="1" t="e">
        <f>F8+G8</f>
        <v>#VALUE!</v>
      </c>
      <c r="T5" s="1" t="s">
        <v>2</v>
      </c>
      <c r="U5" s="1">
        <f>IF(AND(M4&gt;0,F20=G20),IF(F7&gt;M4/2,(M4/2),(F7)),0)</f>
        <v>0</v>
      </c>
    </row>
    <row r="6" spans="5:25" x14ac:dyDescent="0.25">
      <c r="F6" s="24" t="s">
        <v>2</v>
      </c>
      <c r="G6" s="24" t="s">
        <v>3</v>
      </c>
      <c r="L6" s="23" t="s">
        <v>57</v>
      </c>
      <c r="M6" s="1" t="e">
        <f>M4-M5</f>
        <v>#VALUE!</v>
      </c>
      <c r="T6" s="1" t="s">
        <v>3</v>
      </c>
      <c r="U6" s="1">
        <f>IF(AND(M4&gt;0,F20=G20),IF(G7&gt;M4/2,(M4/2),(G7)),0)</f>
        <v>0</v>
      </c>
    </row>
    <row r="7" spans="5:25" x14ac:dyDescent="0.25">
      <c r="F7" s="1">
        <v>1400</v>
      </c>
      <c r="G7" s="1">
        <f>F7</f>
        <v>1400</v>
      </c>
      <c r="Y7" s="1" t="e">
        <f>IF(AND(M4&gt;0,F20=G20),IF(F7&gt;M4/2,(M4/2),(F7)),IF(AND((F7+G7)-M4&lt;ABS(G20-F20),F7+G7&gt;M4),IF(IF(F20&lt;G20,M4-G20+F20,M4+F20-G20)&gt;F7,F7,(F20&lt;G20,M4-G20+F20,M4+F20-G20)),IF(AND(M4&gt;0,F20=G20),IF(F7&gt;M4,(M4/2),(F7/2)),IF(AND(M4&gt;0,M4/2&gt;(F7+G7)/2),F7,IF(AND(F20&gt;G20,M4&gt;0),M4/2-(G20-F20)/2,M4/2-(F20-G20)/2)))))</f>
        <v>#VALUE!</v>
      </c>
    </row>
    <row r="8" spans="5:25" x14ac:dyDescent="0.25">
      <c r="E8" s="25" t="s">
        <v>88</v>
      </c>
      <c r="F8" s="26" t="e">
        <f>L11</f>
        <v>#VALUE!</v>
      </c>
      <c r="G8" s="26">
        <f>M11</f>
        <v>300</v>
      </c>
      <c r="O8" s="1" t="b">
        <f>IF(F7+G7=M4,F7,IF(F20&gt;G20,IF(AND(M4&gt;0,F20=G20),IF(G7&gt;M4/2,(M4/2),(G7)),IF(AND((F7+G7)-M4&lt;ABS(G20-F20),F7+G7&gt;M4),IF(IF(G20&gt;F20,M4-G20+F20,M4-F20+G20)&gt;G7,M4-IF(IF(F20&lt;G20,M4-G20+F20,M4+F20-G20)&gt;F7,F7,(F20&lt;G20,M4-G20+F20,M4+F20-G20)),IF(G20&gt;F20,M4-G20+F20,M4-F20+G20)),IF(AND(M4&gt;0,F20=G20),IF(G7&gt;M4,(M4/2),(G7/2)),IF(AND(M4&gt;0,M4/2&gt;(F7+G7)/2),G7,IF(AND(F20&gt;G20,M4&gt;0),M4/2+(G20-F20)/2,M4/2+(F20-G20)/2)))))))</f>
        <v>0</v>
      </c>
    </row>
    <row r="9" spans="5:25" x14ac:dyDescent="0.25">
      <c r="E9" s="27" t="s">
        <v>70</v>
      </c>
      <c r="F9" s="28" t="e">
        <f>IF(F20&gt;G20,M24,L24)</f>
        <v>#VALUE!</v>
      </c>
      <c r="G9" s="28">
        <f>IF(F20&gt;G20,L24,M24)</f>
        <v>300</v>
      </c>
      <c r="L9" s="3" t="s">
        <v>79</v>
      </c>
    </row>
    <row r="10" spans="5:25" x14ac:dyDescent="0.25">
      <c r="E10" s="25" t="s">
        <v>89</v>
      </c>
      <c r="F10" s="26" t="e">
        <f>F7-F8</f>
        <v>#VALUE!</v>
      </c>
      <c r="G10" s="26">
        <f>G7-G8</f>
        <v>1100</v>
      </c>
      <c r="L10" s="24" t="s">
        <v>2</v>
      </c>
      <c r="M10" s="24" t="s">
        <v>3</v>
      </c>
    </row>
    <row r="11" spans="5:25" x14ac:dyDescent="0.25">
      <c r="E11" s="27" t="s">
        <v>71</v>
      </c>
      <c r="F11" s="28" t="e">
        <f>F7-F9</f>
        <v>#VALUE!</v>
      </c>
      <c r="G11" s="28">
        <f>G7-G9</f>
        <v>1100</v>
      </c>
      <c r="L11" s="1" t="e">
        <f>IF(F7+G7=M4,F7,IF(F20&gt;G20,IF(AND(M4&gt;0,F20=G20),IF(G7&gt;M4/2,(M4/2),(G7)),IF(AND((F7+G7)-M4&lt;ABS(G20-F20),F7+G7&gt;M4),IF(IF(G20&gt;F20,M4-G20+F20,M4-F20+G20)&gt;G7,M4-IF(IF(F20&lt;G20,M4-G20+F20,M4+F20-G20)&gt;F7,F7,(F20&lt;G20,M4-G20+F20,M4+F20-G20)),IF(G20&gt;F20,M4-G20+F20,M4-F20+G20)),IF(AND(M4&gt;0,F20=G20),IF(G7&gt;M4,(M4/2),(G7/2)),IF(AND(M4&gt;0,M4/2&gt;(F7+G7)/2),G7,IF(AND(F20&gt;G20,M4&gt;0),M4/2+(G20-F20)/2,M4/2+(F20-G20)/2))))),IF(AND(M4&gt;0,F20=G20),IF(F7&gt;M4/2,(M4/2),(F7)),IF(AND((F7+G7)-M4&lt;ABS(G20-F20),F7+G7&gt;M4),IF(IF(F20&lt;G20,M4-G20+F20,M4+F20-G20)&gt;F7,F7,(F20&lt;G20,M4-G20+F20,M4+F20-G20)),IF(AND(M4&gt;0,F20=G20),IF(F7&gt;M4,(M4/2),(F7/2)),IF(AND(M4&gt;0,M4/2&gt;(F7+G7)/2),F7,IF(AND(F20&gt;G20,M4&gt;0),M4/2-(G20-F20)/2,M4/2-(F20-G20)/2)))))))</f>
        <v>#VALUE!</v>
      </c>
      <c r="M11" s="1">
        <f>IF(F7+G7=M4,G7,IF(G20&gt;F20,IF(AND(M4&gt;0,F20=G20),IF(G7&gt;M4/2,(M4/2),(G7)),IF(AND((F7+G7)-M4&lt;ABS(G20-F20),F7+G7&gt;M4),IF(IF(G20&gt;F20,M4-G20+F20,M4-F20+G20)&gt;G7,M4-IF(IF(F20&lt;G20,M4-G20+F20,M4+F20-G20)&gt;F7,F7,(F20&lt;G20,M4-G20+F20,M4+F20-G20)),IF(G20&gt;F20,M4-G20+F20,M4-F20+G20)),IF(AND(M4&gt;0,F20=G20),IF(G7&gt;M4,(M4/2),(G7/2)),IF(AND(M4&gt;0,M4/2&gt;(F7+G7)/2),G7,IF(AND(F20&gt;G20,M4&gt;0),M4/2+(G20-F20)/2,M4/2+(F20-G20)/2))))),IF(AND(M4&gt;0,F20=G20),IF(F7&gt;M4/2,(M4/2),(F7)),IF(AND((F7+G7)-M4&lt;ABS(G20-F20),F7+G7&gt;M4),IF(IF(F20&lt;G20,M4-G20+F20,M4+F20-G20)&gt;F7,F7,(F20&lt;G20,M4-G20+F20,M4+F20-G20)),IF(AND(M4&gt;0,F20=G20),IF(F7&gt;M4,(M4/2),(F7/2)),IF(AND(M4&gt;0,M4/2&gt;(F7+G7)/2),F7,IF(AND(F20&gt;G20,M4&gt;0),M4/2-(G20-F20)/2,M4/2-(F20-G20)/2)))))))</f>
        <v>300</v>
      </c>
      <c r="O11" s="1" t="e">
        <f>L11-M11</f>
        <v>#VALUE!</v>
      </c>
    </row>
    <row r="12" spans="5:25" x14ac:dyDescent="0.25">
      <c r="E12" s="25" t="s">
        <v>90</v>
      </c>
      <c r="F12" s="26" t="e">
        <f>IF(F10&gt;F20,F20,F10)</f>
        <v>#VALUE!</v>
      </c>
      <c r="G12" s="26">
        <f>IF(G10&gt;G20,G20,G10)</f>
        <v>1100</v>
      </c>
    </row>
    <row r="13" spans="5:25" x14ac:dyDescent="0.25">
      <c r="E13" s="27" t="s">
        <v>73</v>
      </c>
      <c r="F13" s="28" t="e">
        <f>IF(F11&gt;F20,F20,F11)</f>
        <v>#VALUE!</v>
      </c>
      <c r="G13" s="28">
        <f>IF(G11&gt;G20,G20,G11)</f>
        <v>1100</v>
      </c>
      <c r="L13" s="1" t="s">
        <v>79</v>
      </c>
    </row>
    <row r="14" spans="5:25" x14ac:dyDescent="0.25">
      <c r="E14" s="25" t="s">
        <v>91</v>
      </c>
      <c r="F14" s="26" t="e">
        <f>F7-F8-F12</f>
        <v>#VALUE!</v>
      </c>
      <c r="G14" s="26">
        <f>G7-G8-G12</f>
        <v>0</v>
      </c>
      <c r="L14" s="1" t="s">
        <v>2</v>
      </c>
      <c r="M14" s="1" t="s">
        <v>93</v>
      </c>
    </row>
    <row r="15" spans="5:25" x14ac:dyDescent="0.25">
      <c r="E15" s="27" t="s">
        <v>76</v>
      </c>
      <c r="F15" s="28" t="e">
        <f>F7-F9-F13</f>
        <v>#VALUE!</v>
      </c>
      <c r="G15" s="28">
        <f>G7-G9-G13</f>
        <v>0</v>
      </c>
      <c r="L15" s="1" t="s">
        <v>3</v>
      </c>
      <c r="M15" s="1" t="s">
        <v>94</v>
      </c>
    </row>
    <row r="16" spans="5:25" x14ac:dyDescent="0.25">
      <c r="E16" s="23"/>
    </row>
    <row r="17" spans="5:21" x14ac:dyDescent="0.25">
      <c r="L17" s="1" t="s">
        <v>84</v>
      </c>
    </row>
    <row r="18" spans="5:21" x14ac:dyDescent="0.25">
      <c r="F18" s="3" t="s">
        <v>51</v>
      </c>
      <c r="I18" s="3" t="s">
        <v>96</v>
      </c>
      <c r="L18" s="3" t="s">
        <v>59</v>
      </c>
      <c r="Q18" s="3" t="s">
        <v>64</v>
      </c>
    </row>
    <row r="19" spans="5:21" x14ac:dyDescent="0.25">
      <c r="F19" s="24" t="s">
        <v>2</v>
      </c>
      <c r="G19" s="24" t="s">
        <v>3</v>
      </c>
      <c r="I19" s="3" t="s">
        <v>95</v>
      </c>
      <c r="J19" s="3" t="s">
        <v>3</v>
      </c>
      <c r="L19" s="24" t="s">
        <v>2</v>
      </c>
      <c r="M19" s="24" t="s">
        <v>3</v>
      </c>
      <c r="Q19" s="24" t="s">
        <v>2</v>
      </c>
      <c r="R19" s="24" t="s">
        <v>3</v>
      </c>
    </row>
    <row r="20" spans="5:21" x14ac:dyDescent="0.25">
      <c r="E20" s="23" t="s">
        <v>54</v>
      </c>
      <c r="F20" s="1">
        <v>200</v>
      </c>
      <c r="G20" s="1">
        <v>1900</v>
      </c>
      <c r="I20" s="1">
        <f>IF(IF(AND(F20&gt;G20,ABS(F20-G20)&gt;M4),0,M4)&gt;F7,F7,IF(AND(F20&gt;G20,ABS(F20-G20)&gt;M4),0,M4))</f>
        <v>1400</v>
      </c>
      <c r="J20" s="1">
        <f>IF(IF(AND(G20&gt;F20,ABS(F20-G20)&gt;M4),0,M4)&gt;G7,G7,IF(AND(G20&gt;F20,ABS(F20-G20)&gt;M4),0,M4))</f>
        <v>1400</v>
      </c>
      <c r="L20" s="1">
        <f>IF(AND(M4&gt;0,F20=G20),IF(F7&gt;M4,(M4/2),(F7/2)),IF(AND(M4&gt;0,M4/2&gt;(F7+G7)/2),F7,IF(AND(F20&gt;G20,M4&gt;0),M4/2-(G20-F20)/2,M4/2-(F20-G20)/2)))</f>
        <v>1850</v>
      </c>
      <c r="M20" s="1">
        <f>IF(AND(M4&gt;0,F20=G20),IF(G7&gt;M4,(M4/2),(G7/2)),IF(AND(M4&gt;0,M4/2&gt;(F7+G7)/2),G7,IF(AND(F20&gt;G20,M4&gt;0),M4/2+(G20-F20)/2,M4/2+(F20-G20)/2)))</f>
        <v>150</v>
      </c>
      <c r="Q20" s="1">
        <f>IF(AND(M4&gt;0,M4/2&gt;(F7+G7)/2),F7,IF(AND(F20&gt;G20,M4&gt;0),M4/2-(G20-F20)/2,M4/2-(F20-G20)/2))</f>
        <v>1850</v>
      </c>
      <c r="U20" s="1">
        <f>IF(AND(M4&gt;0,M4/2&gt;(F7+G7)/2),F7,IF(AND(F20&gt;G20,M4&gt;0),M4/2-(G20-F20)/2,M4/2-(F20-G20)/2))</f>
        <v>1850</v>
      </c>
    </row>
    <row r="21" spans="5:21" x14ac:dyDescent="0.25">
      <c r="E21" s="25" t="s">
        <v>92</v>
      </c>
      <c r="F21" s="26" t="e">
        <f>F12</f>
        <v>#VALUE!</v>
      </c>
      <c r="G21" s="26">
        <f>G12</f>
        <v>1100</v>
      </c>
      <c r="U21" s="1">
        <f>IF(AND(M4&gt;0,M4/2&gt;(F7+G7)/2),F7,IF(AND(F20&gt;G20,M4&gt;0),M4/2-(G20-F20)/2,M4/2-(F20-G20)/2))</f>
        <v>1850</v>
      </c>
    </row>
    <row r="22" spans="5:21" x14ac:dyDescent="0.25">
      <c r="E22" s="27" t="s">
        <v>78</v>
      </c>
      <c r="F22" s="28" t="e">
        <f>F13</f>
        <v>#VALUE!</v>
      </c>
      <c r="G22" s="28">
        <f>G13</f>
        <v>1100</v>
      </c>
      <c r="L22" s="3" t="s">
        <v>85</v>
      </c>
      <c r="M22" s="3"/>
    </row>
    <row r="23" spans="5:21" x14ac:dyDescent="0.25">
      <c r="E23" s="25" t="s">
        <v>89</v>
      </c>
      <c r="F23" s="26" t="e">
        <f>F20-F21</f>
        <v>#VALUE!</v>
      </c>
      <c r="G23" s="26">
        <f>G20-G21</f>
        <v>800</v>
      </c>
      <c r="L23" s="3" t="s">
        <v>2</v>
      </c>
      <c r="M23" s="3" t="s">
        <v>3</v>
      </c>
    </row>
    <row r="24" spans="5:21" x14ac:dyDescent="0.25">
      <c r="E24" s="27" t="s">
        <v>71</v>
      </c>
      <c r="F24" s="28" t="e">
        <f>F20-F22</f>
        <v>#VALUE!</v>
      </c>
      <c r="G24" s="28">
        <f>G20-G22</f>
        <v>800</v>
      </c>
      <c r="L24" s="1" t="e">
        <f>IF(IF(F20&lt;G20,M4-G20+F20,M4+F20-G20)&gt;F7,F7,(F20&lt;G20,M4-G20+F20,M4+F20-G20))</f>
        <v>#VALUE!</v>
      </c>
      <c r="M24" s="1">
        <f>IF(IF(G20&gt;F20,M4-G20+F20,M4-F20+G20)&gt;G7,M4-IF(IF(F20&lt;G20,M4-G20+F20,M4+F20-G20)&gt;F7,F7,(F20&lt;G20,M4-G20+F20,M4+F20-G20)),IF(G20&gt;F20,M4-G20+F20,M4-F20+G20))</f>
        <v>300</v>
      </c>
    </row>
    <row r="31" spans="5:21" x14ac:dyDescent="0.25">
      <c r="E31" s="1">
        <f>IF(F20&lt;G20,M4-(G20+F20),M4+(F20-G20))</f>
        <v>-100</v>
      </c>
    </row>
    <row r="32" spans="5:21" x14ac:dyDescent="0.25">
      <c r="E32" s="1">
        <f>M4+(F20-G20)</f>
        <v>300</v>
      </c>
      <c r="F32" s="1">
        <f>M4-(G20+F20)</f>
        <v>-100</v>
      </c>
    </row>
    <row r="34" spans="2:2" x14ac:dyDescent="0.25">
      <c r="B34" s="1" t="s">
        <v>65</v>
      </c>
    </row>
    <row r="37" spans="2:2" x14ac:dyDescent="0.25">
      <c r="B37" s="1" t="s">
        <v>66</v>
      </c>
    </row>
    <row r="39" spans="2:2" x14ac:dyDescent="0.25">
      <c r="B39" s="1" t="s">
        <v>67</v>
      </c>
    </row>
    <row r="41" spans="2:2" x14ac:dyDescent="0.25">
      <c r="B41" s="1" t="s">
        <v>68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48201-A5F8-4457-A855-69D45F936883}">
  <dimension ref="B3:U35"/>
  <sheetViews>
    <sheetView topLeftCell="A4" workbookViewId="0">
      <selection activeCell="G8" sqref="A1:XFD1048576"/>
    </sheetView>
  </sheetViews>
  <sheetFormatPr defaultRowHeight="15" x14ac:dyDescent="0.25"/>
  <cols>
    <col min="1" max="8" width="9.140625" style="1"/>
    <col min="9" max="9" width="9.42578125" style="1" bestFit="1" customWidth="1"/>
    <col min="10" max="16384" width="9.140625" style="1"/>
  </cols>
  <sheetData>
    <row r="3" spans="5:21" x14ac:dyDescent="0.25">
      <c r="T3" s="3" t="s">
        <v>60</v>
      </c>
    </row>
    <row r="4" spans="5:21" x14ac:dyDescent="0.25">
      <c r="F4" s="3" t="s">
        <v>0</v>
      </c>
      <c r="J4" s="1" t="s">
        <v>50</v>
      </c>
      <c r="M4" s="1">
        <v>3000</v>
      </c>
    </row>
    <row r="5" spans="5:21" x14ac:dyDescent="0.25">
      <c r="L5" s="23" t="s">
        <v>56</v>
      </c>
      <c r="M5" s="1">
        <f>F8+G8</f>
        <v>4200</v>
      </c>
      <c r="T5" s="1" t="s">
        <v>2</v>
      </c>
      <c r="U5" s="1" t="s">
        <v>61</v>
      </c>
    </row>
    <row r="6" spans="5:21" x14ac:dyDescent="0.25">
      <c r="F6" s="24" t="s">
        <v>2</v>
      </c>
      <c r="G6" s="24" t="s">
        <v>3</v>
      </c>
      <c r="L6" s="23" t="s">
        <v>57</v>
      </c>
      <c r="M6" s="1">
        <f>M4-M5</f>
        <v>-1200</v>
      </c>
      <c r="T6" s="1" t="s">
        <v>3</v>
      </c>
      <c r="U6" s="1" t="s">
        <v>62</v>
      </c>
    </row>
    <row r="7" spans="5:21" x14ac:dyDescent="0.25">
      <c r="F7" s="1">
        <v>1200</v>
      </c>
      <c r="G7" s="1">
        <f>F7</f>
        <v>1200</v>
      </c>
    </row>
    <row r="8" spans="5:21" x14ac:dyDescent="0.25">
      <c r="E8" s="23" t="s">
        <v>52</v>
      </c>
      <c r="F8" s="1">
        <f>IF(F16&gt;0,M16,L16)</f>
        <v>1200</v>
      </c>
      <c r="G8" s="1">
        <f>IF(G16&gt;F16,M16,L16)</f>
        <v>3000</v>
      </c>
    </row>
    <row r="9" spans="5:21" x14ac:dyDescent="0.25">
      <c r="E9" s="23" t="s">
        <v>58</v>
      </c>
      <c r="F9" s="1">
        <f>F7-F8</f>
        <v>0</v>
      </c>
      <c r="G9" s="1">
        <f>G7-G8</f>
        <v>-1800</v>
      </c>
    </row>
    <row r="10" spans="5:21" x14ac:dyDescent="0.25">
      <c r="E10" s="23" t="s">
        <v>53</v>
      </c>
      <c r="F10" s="1">
        <f>IF(F9&gt;F16,F16,F9)</f>
        <v>0</v>
      </c>
      <c r="G10" s="1">
        <f>IF(G9&gt;G16,G16,G9)</f>
        <v>-1800</v>
      </c>
    </row>
    <row r="11" spans="5:21" x14ac:dyDescent="0.25">
      <c r="E11" s="23" t="s">
        <v>63</v>
      </c>
      <c r="F11" s="1">
        <f>F7-F8-F10</f>
        <v>0</v>
      </c>
      <c r="G11" s="1">
        <f>G7-G8-G10</f>
        <v>0</v>
      </c>
    </row>
    <row r="12" spans="5:21" x14ac:dyDescent="0.25">
      <c r="E12" s="23"/>
    </row>
    <row r="14" spans="5:21" x14ac:dyDescent="0.25">
      <c r="F14" s="3" t="s">
        <v>51</v>
      </c>
      <c r="L14" s="3" t="s">
        <v>59</v>
      </c>
      <c r="Q14" s="3" t="s">
        <v>64</v>
      </c>
    </row>
    <row r="15" spans="5:21" x14ac:dyDescent="0.25">
      <c r="F15" s="24" t="s">
        <v>2</v>
      </c>
      <c r="G15" s="24" t="s">
        <v>3</v>
      </c>
      <c r="L15" s="24" t="s">
        <v>2</v>
      </c>
      <c r="M15" s="24" t="s">
        <v>3</v>
      </c>
      <c r="Q15" s="24" t="s">
        <v>2</v>
      </c>
      <c r="R15" s="24" t="s">
        <v>3</v>
      </c>
    </row>
    <row r="16" spans="5:21" x14ac:dyDescent="0.25">
      <c r="E16" s="23" t="s">
        <v>54</v>
      </c>
      <c r="F16" s="1">
        <v>9000</v>
      </c>
      <c r="G16" s="1">
        <v>0</v>
      </c>
      <c r="L16" s="1">
        <f>IF(F7+G7=M4,F7,IF(AND(M4&gt;0,F16=G16),IF(F7&gt;M4,(M4/2),(F7/2)),IF(AND(ABS(G16-F16)&gt;M4,F16-G16&gt;0),M4,IF(AND(M4&gt;0,M4/2&gt;(F7+G7)/2),F7,IF(AND(F16&gt;G16,M4&gt;0),M4/2-(G16-F16)/2,M4/2-(F16-G16)/2)))))</f>
        <v>3000</v>
      </c>
      <c r="M16" s="1">
        <f>IF(F7+G7=M4,G7,IF(AND(M4&gt;0,F16=G16),IF(G7&gt;M4,(M4/2),(G7/2)),IF(AND(M4&gt;0,M4/2&gt;(F7+G7)/2),G7,IF(AND(F16&gt;G16,M4&gt;0),M4/2+(G16-F16)/2,M4/2+(F16-G16)/2))))</f>
        <v>1200</v>
      </c>
      <c r="Q16" s="1">
        <f>IF(AND(M4&gt;0,M4/2&gt;(F7+G7)/2),F7,IF(AND(F16&gt;G16,M4&gt;0),M4/2-(G16-F16)/2,M4/2-(F16-G16)/2))</f>
        <v>1200</v>
      </c>
      <c r="U16" s="1">
        <f>IF(AND(M4&gt;0,M4/2&gt;(F7+G7)/2),F7,IF(AND(F16&gt;G16,M4&gt;0),M4/2-(G16-F16)/2,M4/2-(F16-G16)/2))</f>
        <v>1200</v>
      </c>
    </row>
    <row r="17" spans="2:21" x14ac:dyDescent="0.25">
      <c r="E17" s="23" t="s">
        <v>55</v>
      </c>
      <c r="F17" s="1">
        <f>F10</f>
        <v>0</v>
      </c>
      <c r="G17" s="1">
        <f>G10</f>
        <v>-1800</v>
      </c>
      <c r="U17" s="1">
        <f>IF(AND(M4&gt;0,M4/2&gt;(F7+G7)/2),F7,IF(AND(F16&gt;G16,M4&gt;0),M4/2-(G16-F16)/2,M4/2-(F16-G16)/2))</f>
        <v>1200</v>
      </c>
    </row>
    <row r="18" spans="2:21" x14ac:dyDescent="0.25">
      <c r="E18" s="1" t="s">
        <v>58</v>
      </c>
      <c r="F18" s="1">
        <f>F16-F17</f>
        <v>9000</v>
      </c>
      <c r="G18" s="1">
        <f>G16-G17</f>
        <v>1800</v>
      </c>
    </row>
    <row r="19" spans="2:21" x14ac:dyDescent="0.25">
      <c r="L19" s="24" t="s">
        <v>2</v>
      </c>
      <c r="M19" s="24" t="s">
        <v>3</v>
      </c>
    </row>
    <row r="20" spans="2:21" x14ac:dyDescent="0.25">
      <c r="I20" s="24" t="s">
        <v>2</v>
      </c>
      <c r="J20" s="24" t="s">
        <v>3</v>
      </c>
      <c r="L20" s="1">
        <f>IF(AND((F16-G16)&gt;M4,F7&gt;M4),0,M4)</f>
        <v>3000</v>
      </c>
      <c r="M20" s="1">
        <f>IF(AND((G16-F16)&gt;M4,G7&gt;M4),0,M4)</f>
        <v>3000</v>
      </c>
    </row>
    <row r="30" spans="2:21" x14ac:dyDescent="0.25">
      <c r="B30" s="1" t="s">
        <v>65</v>
      </c>
    </row>
    <row r="31" spans="2:21" x14ac:dyDescent="0.25">
      <c r="B31" s="1" t="s">
        <v>66</v>
      </c>
    </row>
    <row r="33" spans="2:2" x14ac:dyDescent="0.25">
      <c r="B33" s="1" t="s">
        <v>67</v>
      </c>
    </row>
    <row r="35" spans="2:2" x14ac:dyDescent="0.25">
      <c r="B35" s="1" t="s">
        <v>68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2983C-C3C3-4E91-ACC2-86D90D138D31}">
  <dimension ref="B3:U35"/>
  <sheetViews>
    <sheetView topLeftCell="C5" workbookViewId="0">
      <selection activeCell="G8" sqref="A1:XFD1048576"/>
    </sheetView>
  </sheetViews>
  <sheetFormatPr defaultRowHeight="15" x14ac:dyDescent="0.25"/>
  <cols>
    <col min="1" max="8" width="9.140625" style="1"/>
    <col min="9" max="9" width="9.42578125" style="1" bestFit="1" customWidth="1"/>
    <col min="10" max="16384" width="9.140625" style="1"/>
  </cols>
  <sheetData>
    <row r="3" spans="5:21" x14ac:dyDescent="0.25">
      <c r="T3" s="3" t="s">
        <v>60</v>
      </c>
    </row>
    <row r="4" spans="5:21" x14ac:dyDescent="0.25">
      <c r="F4" s="3" t="s">
        <v>0</v>
      </c>
      <c r="J4" s="1" t="s">
        <v>50</v>
      </c>
      <c r="M4" s="1">
        <v>4000</v>
      </c>
    </row>
    <row r="5" spans="5:21" x14ac:dyDescent="0.25">
      <c r="L5" s="23" t="s">
        <v>56</v>
      </c>
      <c r="M5" s="1">
        <f>F8+G8</f>
        <v>8000</v>
      </c>
      <c r="T5" s="1" t="s">
        <v>2</v>
      </c>
      <c r="U5" s="1" t="s">
        <v>97</v>
      </c>
    </row>
    <row r="6" spans="5:21" x14ac:dyDescent="0.25">
      <c r="F6" s="24" t="s">
        <v>2</v>
      </c>
      <c r="G6" s="24" t="s">
        <v>3</v>
      </c>
      <c r="L6" s="23" t="s">
        <v>57</v>
      </c>
      <c r="M6" s="1">
        <f>M4-M5</f>
        <v>-4000</v>
      </c>
      <c r="T6" s="1" t="s">
        <v>3</v>
      </c>
      <c r="U6" s="1" t="s">
        <v>98</v>
      </c>
    </row>
    <row r="7" spans="5:21" x14ac:dyDescent="0.25">
      <c r="F7" s="1">
        <v>9000</v>
      </c>
      <c r="G7" s="1">
        <f>F7</f>
        <v>9000</v>
      </c>
    </row>
    <row r="8" spans="5:21" x14ac:dyDescent="0.25">
      <c r="E8" s="23" t="s">
        <v>52</v>
      </c>
      <c r="F8" s="1">
        <f>L21</f>
        <v>4000</v>
      </c>
      <c r="G8" s="1">
        <f>M21</f>
        <v>4000</v>
      </c>
    </row>
    <row r="9" spans="5:21" x14ac:dyDescent="0.25">
      <c r="E9" s="23" t="s">
        <v>58</v>
      </c>
      <c r="F9" s="1">
        <f>F7-F8</f>
        <v>5000</v>
      </c>
      <c r="G9" s="1">
        <f>G7-G8</f>
        <v>5000</v>
      </c>
    </row>
    <row r="10" spans="5:21" x14ac:dyDescent="0.25">
      <c r="E10" s="23" t="s">
        <v>53</v>
      </c>
      <c r="F10" s="1">
        <f>IF(F9&gt;F16,F16,F9)</f>
        <v>0</v>
      </c>
      <c r="G10" s="1">
        <f>IF(G9&gt;G16,G16,G9)</f>
        <v>5000</v>
      </c>
    </row>
    <row r="11" spans="5:21" x14ac:dyDescent="0.25">
      <c r="E11" s="23" t="s">
        <v>63</v>
      </c>
      <c r="F11" s="1">
        <f>F7-F8-F10</f>
        <v>5000</v>
      </c>
      <c r="G11" s="1">
        <f>G7-G8-G10</f>
        <v>0</v>
      </c>
    </row>
    <row r="12" spans="5:21" x14ac:dyDescent="0.25">
      <c r="E12" s="23"/>
    </row>
    <row r="14" spans="5:21" x14ac:dyDescent="0.25">
      <c r="F14" s="3" t="s">
        <v>51</v>
      </c>
      <c r="L14" s="3" t="s">
        <v>59</v>
      </c>
      <c r="M14" s="1" t="s">
        <v>100</v>
      </c>
      <c r="Q14" s="3"/>
    </row>
    <row r="15" spans="5:21" x14ac:dyDescent="0.25">
      <c r="F15" s="24" t="s">
        <v>2</v>
      </c>
      <c r="G15" s="24" t="s">
        <v>3</v>
      </c>
      <c r="L15" s="24" t="s">
        <v>2</v>
      </c>
      <c r="M15" s="24" t="s">
        <v>3</v>
      </c>
      <c r="Q15" s="24"/>
      <c r="R15" s="24"/>
    </row>
    <row r="16" spans="5:21" x14ac:dyDescent="0.25">
      <c r="E16" s="23" t="s">
        <v>54</v>
      </c>
      <c r="F16" s="1">
        <v>0</v>
      </c>
      <c r="G16" s="1">
        <v>9000</v>
      </c>
      <c r="L16" s="1">
        <f>IF(AND(M4&gt;0,F16=G16),IF(F7&gt;M4/2,(M4/2),(F7)),0)</f>
        <v>0</v>
      </c>
      <c r="M16" s="1">
        <f>IF(AND(M4&gt;0,F16=G16),IF(G7&gt;M4/2,(M4/2),(G7)),0)</f>
        <v>0</v>
      </c>
    </row>
    <row r="17" spans="2:13" x14ac:dyDescent="0.25">
      <c r="E17" s="23" t="s">
        <v>55</v>
      </c>
      <c r="F17" s="1">
        <f>F10</f>
        <v>0</v>
      </c>
      <c r="G17" s="1">
        <f>G10</f>
        <v>5000</v>
      </c>
    </row>
    <row r="18" spans="2:13" x14ac:dyDescent="0.25">
      <c r="E18" s="1" t="s">
        <v>58</v>
      </c>
      <c r="F18" s="1">
        <f>F16-F17</f>
        <v>0</v>
      </c>
      <c r="G18" s="1">
        <f>G16-G17</f>
        <v>4000</v>
      </c>
    </row>
    <row r="19" spans="2:13" x14ac:dyDescent="0.25">
      <c r="L19" s="24" t="s">
        <v>99</v>
      </c>
      <c r="M19" s="1" t="s">
        <v>101</v>
      </c>
    </row>
    <row r="20" spans="2:13" x14ac:dyDescent="0.25">
      <c r="F20" s="1" t="s">
        <v>2</v>
      </c>
      <c r="G20" s="1" t="s">
        <v>3</v>
      </c>
      <c r="I20" s="24"/>
      <c r="J20" s="24"/>
      <c r="L20" s="1" t="s">
        <v>2</v>
      </c>
      <c r="M20" s="1" t="s">
        <v>3</v>
      </c>
    </row>
    <row r="21" spans="2:13" x14ac:dyDescent="0.25">
      <c r="F21" s="1">
        <f>IF(AND(ABS(F16-G16)&gt;M4,F7&gt;M4),M4,F7)</f>
        <v>4000</v>
      </c>
      <c r="L21" s="1">
        <f>IF(AND(ABS(G16-F16)&gt;M4,F16&lt;G16),IF(F7&gt;M4,M4,F7),IF(AND(M4&gt;0,ABS(F16-G16)&gt;0,F7+G7&lt;=M4),F7,IF(F16&gt;G16,M4/2+(F16-G16)/2,M4/2+(G16-F16)/2)))</f>
        <v>4000</v>
      </c>
      <c r="M21" s="1">
        <f>IF(AND(ABS(G16-F16)&gt;M4,F16&lt;G16),IF(F7&gt;M4,M4,F7),IF(AND(M4&gt;0,ABS(F16-G16)&gt;0,F7+G7&lt;=M4),F7,IF(G16&gt;F16,M4/2+(F16-G16)/2,M4/2+(G16-F16)/2)))</f>
        <v>4000</v>
      </c>
    </row>
    <row r="23" spans="2:13" x14ac:dyDescent="0.25">
      <c r="F23" s="1">
        <f>IF(AND(M4&gt;0,ABS(F16-G16)&gt;M4),M4,0)</f>
        <v>4000</v>
      </c>
    </row>
    <row r="30" spans="2:13" x14ac:dyDescent="0.25">
      <c r="B30" s="1" t="s">
        <v>65</v>
      </c>
    </row>
    <row r="31" spans="2:13" x14ac:dyDescent="0.25">
      <c r="B31" s="1" t="s">
        <v>66</v>
      </c>
    </row>
    <row r="33" spans="2:2" x14ac:dyDescent="0.25">
      <c r="B33" s="1" t="s">
        <v>67</v>
      </c>
    </row>
    <row r="35" spans="2:2" x14ac:dyDescent="0.25">
      <c r="B35" s="1" t="s">
        <v>68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6082B-D4A3-4208-9AE1-D8F1AB73C065}">
  <dimension ref="A3:AE36"/>
  <sheetViews>
    <sheetView topLeftCell="M1" zoomScale="90" zoomScaleNormal="90" workbookViewId="0">
      <selection activeCell="R12" sqref="R12"/>
    </sheetView>
  </sheetViews>
  <sheetFormatPr defaultRowHeight="15" x14ac:dyDescent="0.25"/>
  <cols>
    <col min="1" max="1" width="10.7109375" style="1" hidden="1" customWidth="1"/>
    <col min="2" max="2" width="13.85546875" style="1" hidden="1" customWidth="1"/>
    <col min="3" max="5" width="0" style="1" hidden="1" customWidth="1"/>
    <col min="6" max="6" width="13.85546875" style="1" hidden="1" customWidth="1"/>
    <col min="7" max="10" width="12.7109375" style="1" hidden="1" customWidth="1"/>
    <col min="11" max="12" width="0" style="1" hidden="1" customWidth="1"/>
    <col min="13" max="16" width="9.140625" style="1"/>
    <col min="17" max="17" width="9.42578125" style="1" bestFit="1" customWidth="1"/>
    <col min="18" max="19" width="9.140625" style="1"/>
    <col min="20" max="20" width="9.42578125" style="1" bestFit="1" customWidth="1"/>
    <col min="21" max="22" width="9.140625" style="1"/>
    <col min="23" max="23" width="9.42578125" style="1" bestFit="1" customWidth="1"/>
    <col min="24" max="16384" width="9.140625" style="1"/>
  </cols>
  <sheetData>
    <row r="3" spans="1:31" x14ac:dyDescent="0.25">
      <c r="AE3" s="3"/>
    </row>
    <row r="4" spans="1:31" x14ac:dyDescent="0.25">
      <c r="Q4" s="3" t="s">
        <v>0</v>
      </c>
      <c r="U4" s="1" t="s">
        <v>50</v>
      </c>
      <c r="X4" s="1">
        <v>160000</v>
      </c>
    </row>
    <row r="5" spans="1:31" ht="17.25" customHeight="1" x14ac:dyDescent="0.25">
      <c r="A5" s="32" t="s">
        <v>109</v>
      </c>
      <c r="B5" s="32" t="s">
        <v>110</v>
      </c>
      <c r="C5" s="33" t="s">
        <v>111</v>
      </c>
      <c r="D5" s="33" t="s">
        <v>112</v>
      </c>
      <c r="E5" s="33" t="s">
        <v>113</v>
      </c>
      <c r="F5" s="52" t="s">
        <v>114</v>
      </c>
      <c r="G5" s="52"/>
      <c r="H5" s="52"/>
      <c r="I5" s="52"/>
      <c r="J5" s="52"/>
      <c r="K5" s="33" t="s">
        <v>115</v>
      </c>
      <c r="L5" s="33" t="s">
        <v>116</v>
      </c>
      <c r="W5" s="23" t="s">
        <v>56</v>
      </c>
      <c r="X5" s="1">
        <f>Q8+R8</f>
        <v>160000</v>
      </c>
    </row>
    <row r="6" spans="1:31" ht="28.5" x14ac:dyDescent="0.25">
      <c r="A6" s="32"/>
      <c r="B6" s="32"/>
      <c r="C6" s="32"/>
      <c r="D6" s="32"/>
      <c r="E6" s="32"/>
      <c r="F6" s="32"/>
      <c r="G6" s="33" t="s">
        <v>117</v>
      </c>
      <c r="H6" s="33" t="s">
        <v>118</v>
      </c>
      <c r="I6" s="33" t="s">
        <v>119</v>
      </c>
      <c r="J6" s="33" t="s">
        <v>57</v>
      </c>
      <c r="K6" s="32"/>
      <c r="L6" s="32"/>
      <c r="Q6" s="24" t="s">
        <v>2</v>
      </c>
      <c r="R6" s="24" t="s">
        <v>3</v>
      </c>
      <c r="W6" s="23" t="s">
        <v>57</v>
      </c>
      <c r="X6" s="1">
        <f>X4-X5</f>
        <v>0</v>
      </c>
    </row>
    <row r="7" spans="1:31" x14ac:dyDescent="0.25">
      <c r="A7" s="34" t="s">
        <v>1</v>
      </c>
      <c r="B7" s="30"/>
      <c r="C7" s="30"/>
      <c r="D7" s="30"/>
      <c r="E7" s="30"/>
      <c r="F7" s="29" t="s">
        <v>120</v>
      </c>
      <c r="G7" s="30"/>
      <c r="H7" s="30"/>
      <c r="I7" s="30"/>
      <c r="J7" s="30"/>
      <c r="K7" s="30"/>
      <c r="L7" s="30"/>
      <c r="Q7" s="1">
        <v>120000</v>
      </c>
      <c r="R7" s="1">
        <f>Q7</f>
        <v>120000</v>
      </c>
    </row>
    <row r="8" spans="1:31" x14ac:dyDescent="0.25">
      <c r="A8" s="34" t="s">
        <v>2</v>
      </c>
      <c r="B8" s="30"/>
      <c r="C8" s="30"/>
      <c r="D8" s="30"/>
      <c r="E8" s="30"/>
      <c r="F8" s="29" t="s">
        <v>121</v>
      </c>
      <c r="G8" s="30"/>
      <c r="H8" s="30"/>
      <c r="I8" s="30"/>
      <c r="J8" s="30"/>
      <c r="K8" s="30"/>
      <c r="L8" s="30"/>
      <c r="P8" s="23" t="s">
        <v>52</v>
      </c>
      <c r="Q8" s="1">
        <f>IF(AND(Q28&gt;0,R28&gt;0),Q28,W25)</f>
        <v>90000</v>
      </c>
      <c r="R8" s="1">
        <f>IF(AND(Q28&gt;0,R28&gt;0),R28,X25)</f>
        <v>70000</v>
      </c>
      <c r="T8" s="1" t="s">
        <v>2</v>
      </c>
      <c r="U8" s="1" t="s">
        <v>3</v>
      </c>
      <c r="Y8" s="1" t="s">
        <v>127</v>
      </c>
    </row>
    <row r="9" spans="1:31" x14ac:dyDescent="0.25">
      <c r="A9" s="34" t="s">
        <v>3</v>
      </c>
      <c r="B9" s="30"/>
      <c r="C9" s="30"/>
      <c r="D9" s="30"/>
      <c r="E9" s="30"/>
      <c r="F9" s="29" t="s">
        <v>122</v>
      </c>
      <c r="G9" s="30"/>
      <c r="H9" s="30"/>
      <c r="I9" s="30"/>
      <c r="J9" s="30"/>
      <c r="K9" s="30"/>
      <c r="L9" s="30"/>
      <c r="P9" s="23" t="s">
        <v>58</v>
      </c>
      <c r="Q9" s="1">
        <f>Q7-Q8</f>
        <v>30000</v>
      </c>
      <c r="R9" s="1">
        <f>R7-R8</f>
        <v>50000</v>
      </c>
      <c r="T9" s="1">
        <f>IF(OR(IF(AND(X4&gt;0,Q22&lt;Q23,Q22&gt;0),IF(AND(Q22&lt;Q23,Q16&lt;R16),Q7,X4-Q7),IF(X4/2&gt;=(Q7+R7)/2,Q7,IF(AND(X4&gt;0,ABS(Q16-R16)&gt;0,Q16&lt;R16),X4/2-(Q16-R16)/2,X4/2+(R16-Q16)/2)))&lt;0,IF(AND(X4&gt;0,Q22&lt;Q23,Q22&gt;0),IF(AND(Q22&lt;Q23,Q16&gt;R16),Q7,X4-Q7),IF(X4/2&gt;=(Q7+R7)/2,Q7,IF(AND(X4&gt;0,ABS(Q16-R16)&gt;0,Q16&gt;R16),X4/2+(Q16-R16)/2,X4/2-(R16-Q16)/2)))&lt;0),IF(AND(Q16&lt;R16,(ABS(R16-Q16)&gt;=X4)),X4,0),IF(AND(X4&gt;0,Q22&lt;Q23,Q22&gt;0),IF(AND(Q22&lt;Q23,Q16&lt;R16),Q7,X4-Q7),IF(X4/2&gt;=(Q7+R7)/2,Q7,IF(AND(X4&gt;0,ABS(Q16-R16)&gt;0,Q16&lt;R16),X4/2-(Q16-R16)/2,X4/2+(R16-Q16)/2))))</f>
        <v>90000</v>
      </c>
      <c r="U9" s="1">
        <f>IF(OR(IF(AND(X4&gt;0,Q22&lt;Q23,Q22&gt;0),IF(AND(Q22&lt;Q23,Q16&lt;R16),Q7,X4-Q7),IF(X4/2&gt;=(Q7+R7)/2,Q7,IF(AND(X4&gt;0,ABS(Q16-R16)&gt;0,Q16&lt;R16),X4/2-(Q16-R16)/2,X4/2+(R16-Q16)/2)))&lt;0,IF(AND(X4&gt;0,Q22&lt;Q23,Q22&gt;0),IF(AND(Q22&lt;Q23,Q16&gt;R16),Q7,X4-Q7),IF(X4/2&gt;=(Q7+R7)/2,Q7,IF(AND(X4&gt;0,ABS(Q16-R16)&gt;0,Q16&gt;R16),X4/2+(Q16-R16)/2,X4/2-(R16-Q16)/2)))&lt;0),IF(AND(Q16&gt;R16,(ABS(R16-Q16)&gt;=X4)),X4,0),IF(AND(X4&gt;0,Q22&lt;Q23,Q22&gt;0),IF(AND(Q22&lt;Q23,Q16&gt;R16),Q7,X4-Q7),IF(X4/2&gt;=(Q7+R7)/2,Q7,IF(AND(X4&gt;0,ABS(Q16-R16)&gt;0,Q16&gt;R16),X4/2+(Q16-R16)/2,X4/2-(R16-Q16)/2))))</f>
        <v>70000</v>
      </c>
      <c r="Y9" s="1">
        <f>Q8-T9</f>
        <v>0</v>
      </c>
      <c r="Z9" s="1">
        <f>R8-U9</f>
        <v>0</v>
      </c>
    </row>
    <row r="10" spans="1:31" x14ac:dyDescent="0.25">
      <c r="A10" s="35" t="s">
        <v>57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P10" s="23" t="s">
        <v>53</v>
      </c>
      <c r="Q10" s="1">
        <f>IF(Q9&gt;Q16,Q16,Q9)</f>
        <v>30000</v>
      </c>
      <c r="R10" s="1">
        <f>IF(R9&gt;R16,R16,R9)</f>
        <v>50000</v>
      </c>
    </row>
    <row r="11" spans="1:31" x14ac:dyDescent="0.25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P11" s="23" t="s">
        <v>63</v>
      </c>
      <c r="Q11" s="1">
        <f>Q7-Q8-Q10</f>
        <v>0</v>
      </c>
      <c r="R11" s="1">
        <f>R7-R8-R10</f>
        <v>0</v>
      </c>
    </row>
    <row r="12" spans="1:31" x14ac:dyDescent="0.25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P12" s="23"/>
    </row>
    <row r="14" spans="1:31" x14ac:dyDescent="0.25">
      <c r="Q14" s="3" t="s">
        <v>51</v>
      </c>
      <c r="W14" s="3"/>
      <c r="AB14" s="3"/>
    </row>
    <row r="15" spans="1:31" x14ac:dyDescent="0.25">
      <c r="Q15" s="24" t="s">
        <v>2</v>
      </c>
      <c r="R15" s="24" t="s">
        <v>3</v>
      </c>
      <c r="W15" s="24"/>
      <c r="X15" s="24"/>
      <c r="AB15" s="24"/>
      <c r="AC15" s="24"/>
    </row>
    <row r="16" spans="1:31" x14ac:dyDescent="0.25">
      <c r="P16" s="23" t="s">
        <v>54</v>
      </c>
      <c r="Q16" s="1">
        <v>70000</v>
      </c>
      <c r="R16" s="1">
        <v>90000</v>
      </c>
    </row>
    <row r="17" spans="1:26" x14ac:dyDescent="0.25">
      <c r="P17" s="23" t="s">
        <v>55</v>
      </c>
      <c r="Q17" s="1">
        <f>Q10</f>
        <v>30000</v>
      </c>
      <c r="R17" s="1">
        <f>R10</f>
        <v>50000</v>
      </c>
    </row>
    <row r="18" spans="1:26" x14ac:dyDescent="0.25">
      <c r="P18" s="1" t="s">
        <v>58</v>
      </c>
      <c r="Q18" s="1">
        <f>Q16-Q17</f>
        <v>40000</v>
      </c>
      <c r="R18" s="1">
        <f>R16-R17</f>
        <v>40000</v>
      </c>
    </row>
    <row r="19" spans="1:26" x14ac:dyDescent="0.25">
      <c r="W19" s="24" t="s">
        <v>99</v>
      </c>
      <c r="X19" s="1" t="s">
        <v>101</v>
      </c>
    </row>
    <row r="20" spans="1:26" x14ac:dyDescent="0.25">
      <c r="T20" s="24"/>
      <c r="U20" s="24"/>
      <c r="W20" s="1" t="s">
        <v>2</v>
      </c>
      <c r="X20" s="1" t="s">
        <v>3</v>
      </c>
    </row>
    <row r="21" spans="1:26" x14ac:dyDescent="0.25">
      <c r="W21" s="1">
        <f>IF(AND(X4&gt;0,Q16=R16),IF(Q7&gt;X4,(X4/2),(Q7/2)),IF(AND(X4&gt;0,X4/2&gt;(Q7+R7)/2),Q7,IF(AND(Q16&gt;R16,X4&gt;0),X4/2-(R16-Q16)/2,X4/2-(Q16-R16)/2)))</f>
        <v>90000</v>
      </c>
      <c r="X21" s="1">
        <f>IF(AND(X4&gt;0,Q16=R16),IF(R7&gt;X4,(X4/2),(R7/2)),IF(AND(X4&gt;0,X4/2&gt;(Q7+R7)/2),R7,IF(AND(Q16&gt;R16,X4&gt;0),X4/2+(R16-Q16)/2,X4/2+(Q16-R16)/2)))</f>
        <v>70000</v>
      </c>
    </row>
    <row r="22" spans="1:26" x14ac:dyDescent="0.25">
      <c r="P22" s="1" t="s">
        <v>106</v>
      </c>
      <c r="Q22" s="1">
        <f>Q7+R7-X4</f>
        <v>80000</v>
      </c>
      <c r="W22" s="1" t="s">
        <v>2</v>
      </c>
      <c r="X22" s="1" t="s">
        <v>3</v>
      </c>
    </row>
    <row r="23" spans="1:26" x14ac:dyDescent="0.25">
      <c r="P23" s="1" t="s">
        <v>105</v>
      </c>
      <c r="Q23" s="1">
        <f>ABS(Q16-R16)</f>
        <v>20000</v>
      </c>
      <c r="W23" s="19">
        <f>IF(X4/2&gt;=(Q7+R7)/2,Q7,IF(AND(X4&gt;0,ABS(Q16-R16)&gt;0,Q16&lt;R16),X4/2-(Q16-R16)/2,X4/2+(R16-Q16)/2))</f>
        <v>90000</v>
      </c>
      <c r="X23" s="19">
        <f>IF(X4/2&gt;=(Q7+R7)/2,Q7,IF(AND(X4&gt;0,ABS(Q16-R16)&gt;0,Q16&gt;R16),X4/2+(Q16-R16)/2,X4/2-(R16-Q16)/2))</f>
        <v>70000</v>
      </c>
      <c r="Z23" s="1" t="s">
        <v>102</v>
      </c>
    </row>
    <row r="25" spans="1:26" x14ac:dyDescent="0.25">
      <c r="Q25" s="1" t="s">
        <v>2</v>
      </c>
      <c r="R25" s="1" t="s">
        <v>3</v>
      </c>
      <c r="W25" s="19">
        <f>IF(AND(Q16&lt;R16,(ABS(R16-Q16)&gt;=X4)),X4,0)</f>
        <v>0</v>
      </c>
      <c r="X25" s="19">
        <f>IF(AND(Q16&gt;R16,(ABS(R16-Q16)&gt;=X4)),X4,0)</f>
        <v>0</v>
      </c>
      <c r="Z25" s="1" t="s">
        <v>103</v>
      </c>
    </row>
    <row r="26" spans="1:26" x14ac:dyDescent="0.25">
      <c r="Q26" s="1">
        <f>IF(AND(Q22&lt;Q23,Q16&lt;R16),Q7,X4-Q7)</f>
        <v>40000</v>
      </c>
      <c r="R26" s="1">
        <f>IF(AND(Q22&lt;Q23,Q16&gt;R16),Q7,X4-Q7)</f>
        <v>40000</v>
      </c>
      <c r="S26" s="1" t="s">
        <v>107</v>
      </c>
    </row>
    <row r="27" spans="1:26" x14ac:dyDescent="0.25">
      <c r="Z27" s="1" t="s">
        <v>104</v>
      </c>
    </row>
    <row r="28" spans="1:26" x14ac:dyDescent="0.25">
      <c r="Q28" s="1">
        <f>IF(AND(X4&gt;0,Q22&lt;Q23,Q22&gt;0),IF(AND(Q22&lt;Q23,Q16&lt;R16),Q7,X4-Q7),IF(X4/2&gt;=(Q7+R7)/2,Q7,IF(AND(X4&gt;0,ABS(Q16-R16)&gt;0,Q16&lt;R16),X4/2-(Q16-R16)/2,X4/2+(R16-Q16)/2)))</f>
        <v>90000</v>
      </c>
      <c r="R28" s="1">
        <f>IF(AND(X4&gt;0,Q22&lt;Q23,Q22&gt;0),IF(AND(Q22&lt;Q23,Q16&gt;R16),Q7,X4-Q7),IF(X4/2&gt;=(Q7+R7)/2,Q7,IF(AND(X4&gt;0,ABS(Q16-R16)&gt;0,Q16&gt;R16),X4/2+(Q16-R16)/2,X4/2-(R16-Q16)/2)))</f>
        <v>70000</v>
      </c>
      <c r="S28" s="1" t="s">
        <v>108</v>
      </c>
    </row>
    <row r="30" spans="1:26" x14ac:dyDescent="0.25">
      <c r="P30" s="1" t="s">
        <v>2</v>
      </c>
      <c r="Q30" s="1" t="s">
        <v>123</v>
      </c>
    </row>
    <row r="31" spans="1:26" x14ac:dyDescent="0.25">
      <c r="A31" s="1" t="s">
        <v>105</v>
      </c>
      <c r="B31" s="1" t="s">
        <v>65</v>
      </c>
      <c r="P31" s="1" t="s">
        <v>3</v>
      </c>
      <c r="Q31" s="1" t="s">
        <v>124</v>
      </c>
    </row>
    <row r="32" spans="1:26" x14ac:dyDescent="0.25">
      <c r="B32" s="1" t="s">
        <v>66</v>
      </c>
    </row>
    <row r="33" spans="1:17" x14ac:dyDescent="0.25">
      <c r="P33" s="1" t="s">
        <v>2</v>
      </c>
      <c r="Q33" s="1" t="s">
        <v>125</v>
      </c>
    </row>
    <row r="34" spans="1:17" x14ac:dyDescent="0.25">
      <c r="A34" s="1" t="s">
        <v>106</v>
      </c>
      <c r="B34" s="1" t="s">
        <v>67</v>
      </c>
      <c r="P34" s="1" t="s">
        <v>3</v>
      </c>
      <c r="Q34" s="1" t="s">
        <v>126</v>
      </c>
    </row>
    <row r="36" spans="1:17" x14ac:dyDescent="0.25">
      <c r="B36" s="1" t="s">
        <v>68</v>
      </c>
    </row>
  </sheetData>
  <mergeCells count="1">
    <mergeCell ref="F5:J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96C1E-5821-49DF-9DE7-304AC6652068}">
  <dimension ref="A2:AE19"/>
  <sheetViews>
    <sheetView showGridLines="0" tabSelected="1" topLeftCell="M1" zoomScale="90" zoomScaleNormal="90" workbookViewId="0">
      <selection activeCell="S9" sqref="S9"/>
    </sheetView>
  </sheetViews>
  <sheetFormatPr defaultRowHeight="15" x14ac:dyDescent="0.25"/>
  <cols>
    <col min="1" max="1" width="10.7109375" style="36" hidden="1" customWidth="1"/>
    <col min="2" max="2" width="13.85546875" style="36" hidden="1" customWidth="1"/>
    <col min="3" max="5" width="0" style="36" hidden="1" customWidth="1"/>
    <col min="6" max="6" width="13.85546875" style="36" hidden="1" customWidth="1"/>
    <col min="7" max="10" width="12.7109375" style="36" hidden="1" customWidth="1"/>
    <col min="11" max="12" width="0" style="36" hidden="1" customWidth="1"/>
    <col min="13" max="16" width="9.140625" style="36"/>
    <col min="17" max="17" width="9.42578125" style="36" bestFit="1" customWidth="1"/>
    <col min="18" max="19" width="9.140625" style="36"/>
    <col min="20" max="21" width="9.42578125" style="36" bestFit="1" customWidth="1"/>
    <col min="22" max="22" width="9.140625" style="36"/>
    <col min="23" max="23" width="9.42578125" style="36" bestFit="1" customWidth="1"/>
    <col min="24" max="16384" width="9.140625" style="36"/>
  </cols>
  <sheetData>
    <row r="2" spans="1:31" x14ac:dyDescent="0.25">
      <c r="Q2" s="37" t="s">
        <v>130</v>
      </c>
      <c r="R2" s="37"/>
      <c r="S2" s="37"/>
      <c r="T2" s="37"/>
    </row>
    <row r="3" spans="1:31" x14ac:dyDescent="0.25">
      <c r="Q3" s="51" t="s">
        <v>131</v>
      </c>
      <c r="R3" s="51"/>
      <c r="S3" s="51"/>
      <c r="T3" s="51"/>
      <c r="U3" s="51"/>
      <c r="V3" s="51"/>
      <c r="W3" s="51"/>
      <c r="AE3" s="38"/>
    </row>
    <row r="4" spans="1:31" x14ac:dyDescent="0.25">
      <c r="Q4" s="46"/>
      <c r="R4" s="46"/>
      <c r="S4" s="46"/>
      <c r="T4" s="46"/>
      <c r="U4" s="46"/>
      <c r="V4" s="46"/>
      <c r="W4" s="46"/>
      <c r="AE4" s="38"/>
    </row>
    <row r="5" spans="1:31" x14ac:dyDescent="0.25">
      <c r="Q5" s="38"/>
      <c r="W5" s="39" t="s">
        <v>129</v>
      </c>
      <c r="X5" s="37">
        <v>140000</v>
      </c>
    </row>
    <row r="6" spans="1:31" ht="17.25" customHeight="1" x14ac:dyDescent="0.25">
      <c r="A6" s="40" t="s">
        <v>109</v>
      </c>
      <c r="B6" s="40" t="s">
        <v>110</v>
      </c>
      <c r="C6" s="41" t="s">
        <v>111</v>
      </c>
      <c r="D6" s="41" t="s">
        <v>112</v>
      </c>
      <c r="E6" s="41" t="s">
        <v>113</v>
      </c>
      <c r="F6" s="53" t="s">
        <v>114</v>
      </c>
      <c r="G6" s="53"/>
      <c r="H6" s="53"/>
      <c r="I6" s="53"/>
      <c r="J6" s="53"/>
      <c r="K6" s="41" t="s">
        <v>115</v>
      </c>
      <c r="L6" s="41" t="s">
        <v>116</v>
      </c>
      <c r="W6" s="39" t="s">
        <v>56</v>
      </c>
      <c r="X6" s="49">
        <f>Q9+R9</f>
        <v>140000</v>
      </c>
    </row>
    <row r="7" spans="1:31" ht="15" customHeight="1" x14ac:dyDescent="0.25">
      <c r="A7" s="40"/>
      <c r="B7" s="40"/>
      <c r="C7" s="40"/>
      <c r="D7" s="40"/>
      <c r="E7" s="40"/>
      <c r="F7" s="40"/>
      <c r="G7" s="41" t="s">
        <v>117</v>
      </c>
      <c r="H7" s="41" t="s">
        <v>118</v>
      </c>
      <c r="I7" s="41" t="s">
        <v>119</v>
      </c>
      <c r="J7" s="41" t="s">
        <v>57</v>
      </c>
      <c r="K7" s="40"/>
      <c r="L7" s="40"/>
      <c r="Q7" s="42" t="s">
        <v>2</v>
      </c>
      <c r="R7" s="42" t="s">
        <v>3</v>
      </c>
      <c r="W7" s="39" t="s">
        <v>57</v>
      </c>
      <c r="X7" s="49">
        <f>X5-X6</f>
        <v>0</v>
      </c>
    </row>
    <row r="8" spans="1:31" x14ac:dyDescent="0.25">
      <c r="A8" s="43" t="s">
        <v>1</v>
      </c>
      <c r="B8" s="44"/>
      <c r="C8" s="44"/>
      <c r="D8" s="44"/>
      <c r="E8" s="44"/>
      <c r="F8" s="45" t="s">
        <v>120</v>
      </c>
      <c r="G8" s="44"/>
      <c r="H8" s="44"/>
      <c r="I8" s="44"/>
      <c r="J8" s="44"/>
      <c r="K8" s="44"/>
      <c r="L8" s="44"/>
      <c r="P8" s="42" t="s">
        <v>0</v>
      </c>
      <c r="Q8" s="37">
        <v>120000</v>
      </c>
      <c r="R8" s="37">
        <f>Q8</f>
        <v>120000</v>
      </c>
    </row>
    <row r="9" spans="1:31" x14ac:dyDescent="0.25">
      <c r="A9" s="43" t="s">
        <v>2</v>
      </c>
      <c r="B9" s="44"/>
      <c r="C9" s="44"/>
      <c r="D9" s="44"/>
      <c r="E9" s="44"/>
      <c r="F9" s="45" t="s">
        <v>121</v>
      </c>
      <c r="G9" s="44"/>
      <c r="H9" s="44"/>
      <c r="I9" s="44"/>
      <c r="J9" s="44"/>
      <c r="K9" s="44"/>
      <c r="L9" s="44"/>
      <c r="P9" s="39" t="s">
        <v>52</v>
      </c>
      <c r="Q9" s="50">
        <f>IF(OR(IF(AND(X5&gt;0,Q8+R8-X5&lt;ABS(Q17-R17),Q8+R8-X5&gt;0),IF(AND(Q8+R8-X5&lt;ABS(Q17-R17),Q17&lt;R17),Q8,X5-Q8),IF(X5/2&gt;=(Q8+R8)/2,Q8,IF(AND(X5&gt;0,ABS(Q17-R17)&gt;0,Q17&lt;R17),X5/2-(Q17-R17)/2,X5/2+(R17-Q17)/2)))&lt;0,IF(AND(X5&gt;0,Q8+R8-X5&lt;ABS(Q17-R17),Q8+R8-X5&gt;0),IF(AND(Q8+R8-X5&lt;ABS(Q17-R17),Q17&gt;R17),Q8,X5-Q8),IF(X5/2&gt;=(Q8+R8)/2,Q8,IF(AND(X5&gt;0,ABS(Q17-R17)&gt;0,Q17&gt;R17),X5/2+(Q17-R17)/2,X5/2-(R17-Q17)/2)))&lt;0),IF(AND(Q17&lt;R17,(ABS(R17-Q17)&gt;=X5)),X5,0),IF(AND(X5&gt;0,Q8+R8-X5&lt;ABS(Q17-R17),Q8+R8-X5&gt;0),IF(AND(Q8+R8-X5&lt;ABS(Q17-R17),Q17&lt;R17),Q8,X5-Q8),IF(X5/2&gt;=(Q8+R8)/2,Q8,IF(AND(X5&gt;0,ABS(Q17-R17)&gt;0,Q17&lt;R17),X5/2-(Q17-R17)/2,X5/2+(R17-Q17)/2))))</f>
        <v>102500</v>
      </c>
      <c r="R9" s="50">
        <f>IF(OR(IF(AND(X5&gt;0,Q8+R8-X5&lt;ABS(Q17-R17),Q8+R8-X5&gt;0),IF(AND(Q8+R8-X5&lt;ABS(Q17-R17),Q17&lt;R17),Q8,X5-Q8),IF(X5/2&gt;=(Q8+R8)/2,Q8,IF(AND(X5&gt;0,ABS(Q17-R17)&gt;0,Q17&lt;R17),X5/2-(Q17-R17)/2,X5/2+(R17-Q17)/2)))&lt;0,IF(AND(X5&gt;0,Q8+R8-X5&lt;ABS(Q17-R17),Q8+R8-X5&gt;0),IF(AND(Q8+R8-X5&lt;ABS(Q17-R17),Q17&gt;R17),Q8,X5-Q8),IF(X5/2&gt;=(Q8+R8)/2,Q8,IF(AND(X5&gt;0,ABS(Q17-R17)&gt;0,Q17&gt;R17),X5/2+(Q17-R17)/2,X5/2-(R17-Q17)/2)))&lt;0),IF(AND(Q17&gt;R17,(ABS(R17-Q17)&gt;=X5)),X5,0),IF(AND(X5&gt;0,Q8+R8-X5&lt;ABS(Q17-R17),Q8+R8-X5&gt;0),IF(AND(Q8+R8-X5&lt;ABS(Q17-R17),Q17&gt;R17),Q8,X5-Q8),IF(X5/2&gt;=(Q8+R8)/2,Q8,IF(AND(X5&gt;0,ABS(Q17-R17)&gt;0,Q17&gt;R17),X5/2+(Q17-R17)/2,X5/2-(R17-Q17)/2))))</f>
        <v>37500</v>
      </c>
    </row>
    <row r="10" spans="1:31" x14ac:dyDescent="0.25">
      <c r="A10" s="43" t="s">
        <v>3</v>
      </c>
      <c r="B10" s="44"/>
      <c r="C10" s="44"/>
      <c r="D10" s="44"/>
      <c r="E10" s="44"/>
      <c r="F10" s="45" t="s">
        <v>122</v>
      </c>
      <c r="G10" s="44"/>
      <c r="H10" s="44"/>
      <c r="I10" s="44"/>
      <c r="J10" s="44"/>
      <c r="K10" s="44"/>
      <c r="L10" s="44"/>
      <c r="P10" s="39" t="s">
        <v>58</v>
      </c>
      <c r="Q10" s="49">
        <f>Q8-Q9</f>
        <v>17500</v>
      </c>
      <c r="R10" s="49">
        <f>R8-R9</f>
        <v>82500</v>
      </c>
      <c r="T10" s="46"/>
      <c r="U10" s="46"/>
    </row>
    <row r="11" spans="1:31" x14ac:dyDescent="0.25">
      <c r="A11" s="47" t="s">
        <v>57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P11" s="39" t="s">
        <v>53</v>
      </c>
      <c r="Q11" s="49">
        <f>IF(Q10&gt;Q17,Q17,Q10)</f>
        <v>17500</v>
      </c>
      <c r="R11" s="49">
        <f>IF(R10&gt;R17,R17,R10)</f>
        <v>82500</v>
      </c>
    </row>
    <row r="12" spans="1:31" x14ac:dyDescent="0.25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P12" s="39" t="s">
        <v>63</v>
      </c>
      <c r="Q12" s="49">
        <f>Q8-Q9-Q11</f>
        <v>0</v>
      </c>
      <c r="R12" s="49">
        <f>R8-R9-R11</f>
        <v>0</v>
      </c>
    </row>
    <row r="13" spans="1:31" x14ac:dyDescent="0.25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P13" s="39"/>
    </row>
    <row r="15" spans="1:31" x14ac:dyDescent="0.25">
      <c r="W15" s="38"/>
      <c r="AB15" s="38"/>
    </row>
    <row r="16" spans="1:31" x14ac:dyDescent="0.25">
      <c r="P16" s="38" t="s">
        <v>51</v>
      </c>
      <c r="Q16" s="42" t="s">
        <v>2</v>
      </c>
      <c r="R16" s="42" t="s">
        <v>3</v>
      </c>
      <c r="W16" s="42"/>
      <c r="X16" s="42"/>
      <c r="AB16" s="42"/>
      <c r="AC16" s="42"/>
    </row>
    <row r="17" spans="16:18" x14ac:dyDescent="0.25">
      <c r="P17" s="39" t="s">
        <v>128</v>
      </c>
      <c r="Q17" s="37">
        <v>25000</v>
      </c>
      <c r="R17" s="37">
        <v>90000</v>
      </c>
    </row>
    <row r="18" spans="16:18" x14ac:dyDescent="0.25">
      <c r="P18" s="39" t="s">
        <v>55</v>
      </c>
      <c r="Q18" s="49">
        <f>Q11</f>
        <v>17500</v>
      </c>
      <c r="R18" s="49">
        <f>R11</f>
        <v>82500</v>
      </c>
    </row>
    <row r="19" spans="16:18" x14ac:dyDescent="0.25">
      <c r="P19" s="39" t="s">
        <v>58</v>
      </c>
      <c r="Q19" s="49">
        <f>Q17-Q18</f>
        <v>7500</v>
      </c>
      <c r="R19" s="49">
        <f>R17-R18</f>
        <v>7500</v>
      </c>
    </row>
  </sheetData>
  <sheetProtection password="96EA" sheet="1" selectLockedCells="1"/>
  <mergeCells count="1">
    <mergeCell ref="F6:J6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E216F-1914-4B8D-A801-23C588DB147B}">
  <dimension ref="C1:AH55"/>
  <sheetViews>
    <sheetView topLeftCell="U1" workbookViewId="0">
      <selection activeCell="G8" sqref="A1:XFD1048576"/>
    </sheetView>
  </sheetViews>
  <sheetFormatPr defaultColWidth="9.140625" defaultRowHeight="15" x14ac:dyDescent="0.25"/>
  <cols>
    <col min="1" max="2" width="9.140625" style="1"/>
    <col min="3" max="3" width="41.5703125" style="1" bestFit="1" customWidth="1"/>
    <col min="4" max="4" width="9.85546875" style="1" bestFit="1" customWidth="1"/>
    <col min="5" max="5" width="10.140625" style="1" bestFit="1" customWidth="1"/>
    <col min="6" max="6" width="9.85546875" style="1" bestFit="1" customWidth="1"/>
    <col min="7" max="7" width="9.140625" style="1"/>
    <col min="8" max="8" width="9.85546875" style="1" bestFit="1" customWidth="1"/>
    <col min="9" max="9" width="10.140625" style="2" bestFit="1" customWidth="1"/>
    <col min="10" max="10" width="9.85546875" style="1" bestFit="1" customWidth="1"/>
    <col min="11" max="11" width="9.140625" style="1"/>
    <col min="12" max="12" width="0" style="1" hidden="1" customWidth="1"/>
    <col min="13" max="13" width="12.42578125" style="1" customWidth="1"/>
    <col min="14" max="14" width="12.28515625" style="1" customWidth="1"/>
    <col min="15" max="15" width="14" style="1" customWidth="1"/>
    <col min="16" max="16" width="9.140625" style="1"/>
    <col min="17" max="17" width="11.5703125" style="1" bestFit="1" customWidth="1"/>
    <col min="18" max="19" width="11.28515625" style="1" bestFit="1" customWidth="1"/>
    <col min="20" max="22" width="9.140625" style="1"/>
    <col min="23" max="23" width="27.140625" style="1" bestFit="1" customWidth="1"/>
    <col min="24" max="25" width="9.85546875" style="2" bestFit="1" customWidth="1"/>
    <col min="26" max="27" width="9.140625" style="1"/>
    <col min="28" max="28" width="15" style="1" bestFit="1" customWidth="1"/>
    <col min="29" max="16384" width="9.140625" style="1"/>
  </cols>
  <sheetData>
    <row r="1" spans="3:34" x14ac:dyDescent="0.25">
      <c r="C1" s="11" t="s">
        <v>11</v>
      </c>
      <c r="H1" s="11" t="s">
        <v>10</v>
      </c>
      <c r="M1" s="11" t="s">
        <v>20</v>
      </c>
      <c r="Q1" s="16" t="s">
        <v>20</v>
      </c>
    </row>
    <row r="2" spans="3:34" x14ac:dyDescent="0.25">
      <c r="D2" s="3" t="s">
        <v>1</v>
      </c>
      <c r="E2" s="3" t="s">
        <v>3</v>
      </c>
      <c r="F2" s="3" t="s">
        <v>2</v>
      </c>
      <c r="H2" s="3" t="s">
        <v>1</v>
      </c>
      <c r="I2" s="4" t="s">
        <v>3</v>
      </c>
      <c r="J2" s="3" t="s">
        <v>2</v>
      </c>
      <c r="M2" s="3" t="s">
        <v>1</v>
      </c>
      <c r="N2" s="4" t="s">
        <v>3</v>
      </c>
      <c r="O2" s="3" t="s">
        <v>2</v>
      </c>
      <c r="Q2" s="1" t="s">
        <v>1</v>
      </c>
      <c r="R2" s="1" t="s">
        <v>3</v>
      </c>
      <c r="S2" s="1" t="s">
        <v>2</v>
      </c>
      <c r="W2" s="1" t="s">
        <v>23</v>
      </c>
    </row>
    <row r="3" spans="3:34" x14ac:dyDescent="0.25">
      <c r="C3" s="3" t="s">
        <v>0</v>
      </c>
      <c r="D3" s="2">
        <v>1532192.4137016949</v>
      </c>
      <c r="E3" s="2">
        <v>3853616.0441000005</v>
      </c>
      <c r="F3" s="2">
        <v>3853616.0441000005</v>
      </c>
      <c r="H3" s="2">
        <v>1532192.4137016949</v>
      </c>
      <c r="I3" s="2">
        <v>3853616.0441000005</v>
      </c>
      <c r="J3" s="2">
        <v>3853616.0441000005</v>
      </c>
      <c r="M3" s="2">
        <v>1532192.4137016949</v>
      </c>
      <c r="N3" s="2">
        <v>3853616.0441000005</v>
      </c>
      <c r="O3" s="2">
        <v>3853616.0441000005</v>
      </c>
      <c r="Q3" s="2">
        <v>1532192.4137016949</v>
      </c>
      <c r="R3" s="2">
        <v>3853616.0441000005</v>
      </c>
      <c r="S3" s="2">
        <v>3853616.0441000005</v>
      </c>
    </row>
    <row r="4" spans="3:34" x14ac:dyDescent="0.25">
      <c r="C4" s="3" t="s">
        <v>14</v>
      </c>
      <c r="D4" s="2">
        <v>0</v>
      </c>
      <c r="E4" s="2">
        <v>0</v>
      </c>
      <c r="F4" s="2">
        <v>0</v>
      </c>
      <c r="H4" s="2"/>
      <c r="J4" s="2">
        <f>H16</f>
        <v>3803304.5962983067</v>
      </c>
      <c r="N4" s="14">
        <f>M16/2</f>
        <v>1901652.2981491534</v>
      </c>
      <c r="O4" s="14">
        <f>N4</f>
        <v>1901652.2981491534</v>
      </c>
      <c r="R4" s="14">
        <f>Q16/2</f>
        <v>1901652.2981491534</v>
      </c>
      <c r="S4" s="14">
        <f>R4</f>
        <v>1901652.2981491534</v>
      </c>
      <c r="V4" s="1" t="s">
        <v>25</v>
      </c>
      <c r="Y4" s="2">
        <v>6500000</v>
      </c>
    </row>
    <row r="5" spans="3:34" x14ac:dyDescent="0.25">
      <c r="C5" s="3" t="s">
        <v>17</v>
      </c>
      <c r="D5" s="2"/>
      <c r="E5" s="2"/>
      <c r="F5" s="2"/>
      <c r="H5" s="2"/>
      <c r="J5" s="2">
        <f>J3-J4</f>
        <v>50311.447801693808</v>
      </c>
      <c r="N5" s="2">
        <f t="shared" ref="N5:O5" si="0">N3-N4</f>
        <v>1951963.7459508472</v>
      </c>
      <c r="O5" s="2">
        <f t="shared" si="0"/>
        <v>1951963.7459508472</v>
      </c>
      <c r="R5" s="2">
        <f t="shared" ref="R5:S5" si="1">R3-R4</f>
        <v>1951963.7459508472</v>
      </c>
      <c r="S5" s="2">
        <f t="shared" si="1"/>
        <v>1951963.7459508472</v>
      </c>
      <c r="V5" s="1" t="s">
        <v>26</v>
      </c>
      <c r="Y5" s="2">
        <f>Y4-Y9</f>
        <v>2646383.9558999995</v>
      </c>
    </row>
    <row r="6" spans="3:34" x14ac:dyDescent="0.25">
      <c r="C6" s="1" t="s">
        <v>4</v>
      </c>
      <c r="D6" s="2">
        <f>D3</f>
        <v>1532192.4137016949</v>
      </c>
      <c r="E6" s="2">
        <v>840151.42999999993</v>
      </c>
      <c r="F6" s="2">
        <v>840151.42999999993</v>
      </c>
      <c r="H6" s="2">
        <v>1532192.4137016949</v>
      </c>
      <c r="I6" s="2">
        <f>I10</f>
        <v>840151.42999999993</v>
      </c>
      <c r="J6" s="2">
        <f>J5</f>
        <v>50311.447801693808</v>
      </c>
      <c r="M6" s="2">
        <v>1532192.4137016949</v>
      </c>
      <c r="N6" s="2">
        <f>N10</f>
        <v>840151.42999999993</v>
      </c>
      <c r="O6" s="2">
        <f>O10</f>
        <v>840151.42999999993</v>
      </c>
      <c r="Q6" s="1">
        <v>1532192.4137016949</v>
      </c>
      <c r="R6" s="2">
        <f>R10</f>
        <v>840151.42999999993</v>
      </c>
      <c r="S6" s="2">
        <f>S10</f>
        <v>840151.42999999993</v>
      </c>
      <c r="X6" s="17" t="s">
        <v>3</v>
      </c>
      <c r="Y6" s="17" t="s">
        <v>2</v>
      </c>
      <c r="AC6" s="17"/>
      <c r="AD6" s="17"/>
    </row>
    <row r="7" spans="3:34" x14ac:dyDescent="0.25">
      <c r="C7" s="3"/>
      <c r="D7" s="2"/>
      <c r="E7" s="2"/>
      <c r="F7" s="2"/>
      <c r="W7" s="1" t="s">
        <v>0</v>
      </c>
      <c r="X7" s="2">
        <f>R3</f>
        <v>3853616.0441000005</v>
      </c>
      <c r="Y7" s="2">
        <f>S3</f>
        <v>3853616.0441000005</v>
      </c>
    </row>
    <row r="8" spans="3:34" x14ac:dyDescent="0.25">
      <c r="C8" s="3" t="s">
        <v>6</v>
      </c>
      <c r="D8" s="5">
        <f>D3-D6</f>
        <v>0</v>
      </c>
      <c r="E8" s="2">
        <f>E3-E6</f>
        <v>3013464.6141000008</v>
      </c>
      <c r="F8" s="2">
        <f>F3-F6</f>
        <v>3013464.6141000008</v>
      </c>
      <c r="H8" s="5">
        <f>H3-H6</f>
        <v>0</v>
      </c>
      <c r="I8" s="2">
        <f>I3-I6</f>
        <v>3013464.6141000008</v>
      </c>
      <c r="J8" s="5">
        <f>J3-J4-J6</f>
        <v>0</v>
      </c>
      <c r="M8" s="5">
        <f>M3-M6</f>
        <v>0</v>
      </c>
      <c r="N8" s="2">
        <f>N5-N6</f>
        <v>1111812.3159508472</v>
      </c>
      <c r="O8" s="2">
        <f>O5-O6</f>
        <v>1111812.3159508472</v>
      </c>
      <c r="Q8" s="5">
        <f>Q3-Q6</f>
        <v>0</v>
      </c>
      <c r="R8" s="2">
        <f>R5-R6</f>
        <v>1111812.3159508472</v>
      </c>
      <c r="S8" s="2">
        <f>S5-S6</f>
        <v>1111812.3159508472</v>
      </c>
    </row>
    <row r="9" spans="3:34" x14ac:dyDescent="0.25">
      <c r="C9" s="3"/>
      <c r="D9" s="2"/>
      <c r="E9" s="2"/>
      <c r="F9" s="2"/>
      <c r="W9" s="1" t="s">
        <v>22</v>
      </c>
      <c r="Y9" s="2">
        <f>IF(Y4&gt;0,IF(Y7&gt;Y4,Y4,Y7),0)</f>
        <v>3853616.0441000005</v>
      </c>
    </row>
    <row r="10" spans="3:34" x14ac:dyDescent="0.25">
      <c r="C10" s="3" t="s">
        <v>5</v>
      </c>
      <c r="D10" s="2">
        <v>5335497.0100000016</v>
      </c>
      <c r="E10" s="2">
        <v>840151.42999999993</v>
      </c>
      <c r="F10" s="2">
        <v>840151.42999999993</v>
      </c>
      <c r="H10" s="2">
        <v>5335497.0100000016</v>
      </c>
      <c r="I10" s="2">
        <v>840151.42999999993</v>
      </c>
      <c r="J10" s="2">
        <v>840151.42999999993</v>
      </c>
      <c r="M10" s="2">
        <v>5335497.0100000016</v>
      </c>
      <c r="N10" s="2">
        <v>840151.42999999993</v>
      </c>
      <c r="O10" s="2">
        <v>840151.42999999993</v>
      </c>
      <c r="Q10" s="1">
        <v>5335497.0100000016</v>
      </c>
      <c r="R10" s="1">
        <v>840151.42999999993</v>
      </c>
      <c r="S10" s="1">
        <v>840151.42999999993</v>
      </c>
      <c r="W10" s="1" t="s">
        <v>24</v>
      </c>
      <c r="Y10" s="2">
        <f>IF(Y5&gt;0,IF(X7&gt;Y5,Y5,X7),0)</f>
        <v>2646383.9558999995</v>
      </c>
    </row>
    <row r="11" spans="3:34" x14ac:dyDescent="0.25">
      <c r="C11" s="1" t="s">
        <v>4</v>
      </c>
      <c r="D11" s="2">
        <f>D6</f>
        <v>1532192.4137016949</v>
      </c>
      <c r="E11" s="2">
        <f>E6</f>
        <v>840151.42999999993</v>
      </c>
      <c r="F11" s="2">
        <f>F6</f>
        <v>840151.42999999993</v>
      </c>
      <c r="H11" s="2">
        <f>H6</f>
        <v>1532192.4137016949</v>
      </c>
      <c r="I11" s="2">
        <f>I6</f>
        <v>840151.42999999993</v>
      </c>
      <c r="J11" s="2">
        <f>J6</f>
        <v>50311.447801693808</v>
      </c>
      <c r="M11" s="2">
        <f>M6</f>
        <v>1532192.4137016949</v>
      </c>
      <c r="N11" s="2">
        <f>N6</f>
        <v>840151.42999999993</v>
      </c>
      <c r="O11" s="2">
        <f>O6</f>
        <v>840151.42999999993</v>
      </c>
      <c r="Q11" s="2">
        <f>Q6</f>
        <v>1532192.4137016949</v>
      </c>
      <c r="R11" s="2">
        <f>R6</f>
        <v>840151.42999999993</v>
      </c>
      <c r="S11" s="2">
        <f>S6</f>
        <v>840151.42999999993</v>
      </c>
      <c r="AA11" s="1">
        <f>IF(AND(Y4&gt;0,X12=Y12),IF(Y18&gt;Y4,(Y4),(Y18)),0)</f>
        <v>0</v>
      </c>
    </row>
    <row r="12" spans="3:34" x14ac:dyDescent="0.25">
      <c r="C12" s="3" t="s">
        <v>15</v>
      </c>
      <c r="D12" s="2"/>
      <c r="E12" s="2"/>
      <c r="F12" s="2"/>
      <c r="H12" s="2"/>
      <c r="W12" s="1" t="s">
        <v>21</v>
      </c>
      <c r="X12" s="2">
        <v>56000</v>
      </c>
      <c r="Y12" s="2">
        <v>80000</v>
      </c>
      <c r="AA12" s="1">
        <f>IF(AND(Y5&gt;0,X12=Y12),IF(X18&gt;Y5,(Y5),(X18)),0)</f>
        <v>0</v>
      </c>
      <c r="AD12" s="1" t="s">
        <v>28</v>
      </c>
    </row>
    <row r="13" spans="3:34" x14ac:dyDescent="0.25">
      <c r="C13" s="1" t="s">
        <v>12</v>
      </c>
      <c r="D13" s="2">
        <f>F18</f>
        <v>3013464.6141000008</v>
      </c>
      <c r="E13" s="2"/>
      <c r="F13" s="2"/>
      <c r="H13" s="2">
        <v>3803304.5962983067</v>
      </c>
      <c r="M13" s="5">
        <v>0</v>
      </c>
      <c r="Q13" s="1">
        <v>0</v>
      </c>
    </row>
    <row r="14" spans="3:34" x14ac:dyDescent="0.25">
      <c r="C14" s="1" t="s">
        <v>13</v>
      </c>
      <c r="D14" s="2">
        <f>E18</f>
        <v>789839.98219830589</v>
      </c>
      <c r="E14" s="2"/>
      <c r="F14" s="2"/>
      <c r="H14" s="5">
        <v>0</v>
      </c>
      <c r="M14" s="5">
        <v>0</v>
      </c>
      <c r="Q14" s="1">
        <v>0</v>
      </c>
      <c r="X14" s="2">
        <v>600000</v>
      </c>
      <c r="Y14" s="2">
        <v>600000</v>
      </c>
      <c r="AA14" s="2">
        <f>IF(AND(Y4&gt;0,X12=Y12),IF(Y18&gt;Y4,(Y4/2),(Y18/2)),0)</f>
        <v>0</v>
      </c>
      <c r="AB14" s="2">
        <f>IF(AND(Y4&gt;0,X12=Y12),IF(Y18&gt;Y4,(Y4/2),(Y18/2)),0)</f>
        <v>0</v>
      </c>
      <c r="AC14" s="2">
        <f>IF(AND(Y4&gt;0,X12=Y12),IF(Y18&gt;(Y4/2),(Y4/2),(Y18)),0)</f>
        <v>0</v>
      </c>
      <c r="AD14" s="1">
        <f>IF(AND(Y4&gt;0,X14=Y14),IF(Y18&gt;(Y4/2),(Y4/2),(Y18)),IF(AND(Y4&gt;0,Y4/2-Y18&lt;0),IF(Y18&gt;(Y4/2),(Y4/2)+X14-Y14),Y18))</f>
        <v>3250000</v>
      </c>
      <c r="AE14" s="1" t="s">
        <v>2</v>
      </c>
      <c r="AF14" s="2"/>
      <c r="AG14" s="2"/>
      <c r="AH14" s="1" t="s">
        <v>32</v>
      </c>
    </row>
    <row r="15" spans="3:34" x14ac:dyDescent="0.25">
      <c r="D15" s="2"/>
      <c r="E15" s="2"/>
      <c r="F15" s="2"/>
      <c r="V15" s="1" t="s">
        <v>25</v>
      </c>
      <c r="Y15" s="2">
        <f>Y4</f>
        <v>6500000</v>
      </c>
      <c r="AA15" s="2">
        <f>IF(AND(Y4&gt;0,X12=Y12),IF(X18&gt;Y4,(Y4/2),(X18/2)),0)</f>
        <v>0</v>
      </c>
      <c r="AB15" s="2">
        <f>IF(AND(Y4&gt;0,X12=Y12),IF(X18&gt;Y4,(Y4/2),(X18/2)),0)</f>
        <v>0</v>
      </c>
      <c r="AC15" s="2">
        <f>IF(AND(Y4&gt;0,X12=Y12),IF(X18&gt;(Y4/2),(Y4/2),(X18)),0)</f>
        <v>0</v>
      </c>
      <c r="AD15" s="1">
        <f>IF(AND(Y4&gt;0,X14=Y14),IF(X18&gt;(Y4/2),(Y4/2),(X18)),IF(AND(Y4&gt;0,Y4/2-X18&lt;0),IF(X18&gt;(Y4/2),(Y4/2)-X14+Y14),X18))</f>
        <v>3250000</v>
      </c>
      <c r="AE15" s="1" t="s">
        <v>3</v>
      </c>
      <c r="AF15" s="1">
        <f>AD15-AD14</f>
        <v>0</v>
      </c>
      <c r="AH15" s="1" t="s">
        <v>33</v>
      </c>
    </row>
    <row r="16" spans="3:34" x14ac:dyDescent="0.25">
      <c r="C16" s="3" t="s">
        <v>7</v>
      </c>
      <c r="D16" s="2">
        <f>D10-D11</f>
        <v>3803304.5962983067</v>
      </c>
      <c r="E16" s="5">
        <f t="shared" ref="E16:F16" si="2">E10-E11</f>
        <v>0</v>
      </c>
      <c r="F16" s="5">
        <f t="shared" si="2"/>
        <v>0</v>
      </c>
      <c r="H16" s="2">
        <f>H10-H11</f>
        <v>3803304.5962983067</v>
      </c>
      <c r="M16" s="2">
        <f>M10-M11</f>
        <v>3803304.5962983067</v>
      </c>
      <c r="Q16" s="2">
        <f>Q10-Q11</f>
        <v>3803304.5962983067</v>
      </c>
      <c r="V16" s="1" t="s">
        <v>26</v>
      </c>
    </row>
    <row r="17" spans="3:32" x14ac:dyDescent="0.25">
      <c r="D17" s="2"/>
      <c r="E17" s="2"/>
      <c r="F17" s="2"/>
      <c r="X17" s="2" t="s">
        <v>3</v>
      </c>
      <c r="Y17" s="2" t="s">
        <v>2</v>
      </c>
    </row>
    <row r="18" spans="3:32" x14ac:dyDescent="0.25">
      <c r="C18" s="1" t="s">
        <v>8</v>
      </c>
      <c r="D18" s="5">
        <v>0</v>
      </c>
      <c r="E18" s="2">
        <f>D16-F18</f>
        <v>789839.98219830589</v>
      </c>
      <c r="F18" s="2">
        <f>F8</f>
        <v>3013464.6141000008</v>
      </c>
      <c r="M18" s="5">
        <v>0</v>
      </c>
      <c r="N18" s="15">
        <f>N4</f>
        <v>1901652.2981491534</v>
      </c>
      <c r="O18" s="15">
        <f>O4</f>
        <v>1901652.2981491534</v>
      </c>
      <c r="Q18" s="5">
        <v>0</v>
      </c>
      <c r="R18" s="15">
        <f>R4</f>
        <v>1901652.2981491534</v>
      </c>
      <c r="S18" s="15">
        <f>S4</f>
        <v>1901652.2981491534</v>
      </c>
      <c r="W18" s="1" t="s">
        <v>0</v>
      </c>
      <c r="X18" s="2">
        <f>X7</f>
        <v>3853616.0441000005</v>
      </c>
      <c r="Y18" s="2">
        <f>Y7</f>
        <v>3853616.0441000005</v>
      </c>
      <c r="AC18" s="2" t="s">
        <v>3</v>
      </c>
      <c r="AD18" s="2" t="s">
        <v>2</v>
      </c>
    </row>
    <row r="19" spans="3:32" x14ac:dyDescent="0.25">
      <c r="D19" s="2"/>
      <c r="E19" s="2"/>
      <c r="F19" s="2"/>
      <c r="AB19" s="1" t="s">
        <v>0</v>
      </c>
      <c r="AC19" s="2">
        <f>X18</f>
        <v>3853616.0441000005</v>
      </c>
      <c r="AD19" s="2">
        <f>Y18</f>
        <v>3853616.0441000005</v>
      </c>
    </row>
    <row r="20" spans="3:32" x14ac:dyDescent="0.25">
      <c r="C20" s="3" t="s">
        <v>9</v>
      </c>
      <c r="D20" s="6">
        <f>D16-D13-D14</f>
        <v>0</v>
      </c>
      <c r="E20" s="6">
        <f>E16</f>
        <v>0</v>
      </c>
      <c r="F20" s="6">
        <f>F16</f>
        <v>0</v>
      </c>
      <c r="H20" s="5">
        <f>H10-H11-H16</f>
        <v>0</v>
      </c>
      <c r="I20" s="5">
        <f>I10-I11</f>
        <v>0</v>
      </c>
      <c r="J20" s="10">
        <f>J10-J11</f>
        <v>789839.98219830613</v>
      </c>
      <c r="L20" s="3" t="s">
        <v>18</v>
      </c>
      <c r="M20" s="12">
        <f>M16-M13-M14</f>
        <v>3803304.5962983067</v>
      </c>
      <c r="N20" s="12">
        <f>N16</f>
        <v>0</v>
      </c>
      <c r="O20" s="12">
        <f>O16</f>
        <v>0</v>
      </c>
      <c r="Q20" s="12">
        <f>Q16-Q13-Q14</f>
        <v>3803304.5962983067</v>
      </c>
      <c r="R20" s="12">
        <f>R16</f>
        <v>0</v>
      </c>
      <c r="S20" s="12">
        <f>S16</f>
        <v>0</v>
      </c>
      <c r="W20" s="1" t="s">
        <v>22</v>
      </c>
      <c r="Y20" s="2">
        <f>AA14</f>
        <v>0</v>
      </c>
      <c r="AB20" s="1" t="s">
        <v>29</v>
      </c>
      <c r="AC20" s="1">
        <f>AD15</f>
        <v>3250000</v>
      </c>
      <c r="AD20" s="1">
        <f>AD14</f>
        <v>3250000</v>
      </c>
    </row>
    <row r="21" spans="3:32" x14ac:dyDescent="0.25">
      <c r="D21" s="2"/>
      <c r="E21" s="2"/>
      <c r="F21" s="2"/>
      <c r="W21" s="1" t="s">
        <v>24</v>
      </c>
      <c r="X21" s="2">
        <f>AA15</f>
        <v>0</v>
      </c>
      <c r="AB21" s="1" t="s">
        <v>30</v>
      </c>
      <c r="AC21" s="2">
        <f>IF(AND((AC19-AC20)&gt;0,X14&gt;0),X14-(AC19-AC20),0)</f>
        <v>-3616.044100000523</v>
      </c>
      <c r="AD21" s="2">
        <f>IF(AND((AD19-AD20)&gt;0,Y14&gt;0),Y14-(AD19-AD20),0)</f>
        <v>-3616.044100000523</v>
      </c>
    </row>
    <row r="22" spans="3:32" x14ac:dyDescent="0.25">
      <c r="D22" s="2"/>
      <c r="E22" s="2"/>
      <c r="F22" s="2"/>
      <c r="X22" s="2">
        <f>X18-X21</f>
        <v>3853616.0441000005</v>
      </c>
      <c r="Y22" s="2">
        <f>Y18-Y20</f>
        <v>3853616.0441000005</v>
      </c>
      <c r="AB22" s="1" t="s">
        <v>31</v>
      </c>
      <c r="AC22" s="2">
        <f>AC19-AC20-AC21</f>
        <v>607232.08820000105</v>
      </c>
      <c r="AD22" s="2">
        <f>AD19-AD20-AD21</f>
        <v>607232.08820000105</v>
      </c>
      <c r="AF22" s="2"/>
    </row>
    <row r="23" spans="3:32" x14ac:dyDescent="0.25">
      <c r="C23" s="1" t="s">
        <v>16</v>
      </c>
      <c r="D23" s="2">
        <f>D8-D18</f>
        <v>0</v>
      </c>
      <c r="E23" s="7">
        <f>E8-E18</f>
        <v>2223624.6319016949</v>
      </c>
      <c r="F23" s="2">
        <f>F8-F18</f>
        <v>0</v>
      </c>
      <c r="H23" s="2">
        <f>H8-H18</f>
        <v>0</v>
      </c>
      <c r="I23" s="9">
        <f>I8-I20</f>
        <v>3013464.6141000008</v>
      </c>
      <c r="J23" s="8">
        <f>J8</f>
        <v>0</v>
      </c>
      <c r="L23" s="3" t="s">
        <v>19</v>
      </c>
      <c r="M23" s="5">
        <f>M8-M18</f>
        <v>0</v>
      </c>
      <c r="N23" s="13">
        <f>N8-N20</f>
        <v>1111812.3159508472</v>
      </c>
      <c r="O23" s="15">
        <f>O8</f>
        <v>1111812.3159508472</v>
      </c>
      <c r="Q23" s="5">
        <f>Q8-Q18</f>
        <v>0</v>
      </c>
      <c r="R23" s="13">
        <f>R8-R20</f>
        <v>1111812.3159508472</v>
      </c>
      <c r="S23" s="15">
        <f>S8</f>
        <v>1111812.3159508472</v>
      </c>
      <c r="W23" s="1" t="s">
        <v>21</v>
      </c>
      <c r="X23" s="2">
        <f>X12</f>
        <v>56000</v>
      </c>
    </row>
    <row r="24" spans="3:32" x14ac:dyDescent="0.25">
      <c r="D24" s="2"/>
      <c r="E24" s="2"/>
      <c r="F24" s="2"/>
      <c r="AB24" s="1" t="s">
        <v>34</v>
      </c>
      <c r="AC24" s="2">
        <f>X14</f>
        <v>600000</v>
      </c>
      <c r="AD24" s="2">
        <f>Y14</f>
        <v>600000</v>
      </c>
    </row>
    <row r="25" spans="3:32" x14ac:dyDescent="0.25">
      <c r="D25" s="2"/>
      <c r="E25" s="2"/>
      <c r="F25" s="2"/>
      <c r="AB25" s="1" t="s">
        <v>35</v>
      </c>
      <c r="AC25" s="2">
        <f>AC21</f>
        <v>-3616.044100000523</v>
      </c>
      <c r="AD25" s="2">
        <f>AD21</f>
        <v>-3616.044100000523</v>
      </c>
    </row>
    <row r="26" spans="3:32" x14ac:dyDescent="0.25">
      <c r="D26" s="2"/>
      <c r="E26" s="2"/>
      <c r="F26" s="2"/>
      <c r="AC26" s="2">
        <f>AC24-AC25</f>
        <v>603616.04410000052</v>
      </c>
      <c r="AD26" s="2">
        <f>AD24-AD25</f>
        <v>603616.04410000052</v>
      </c>
    </row>
    <row r="27" spans="3:32" x14ac:dyDescent="0.25">
      <c r="D27" s="2"/>
      <c r="E27" s="2"/>
      <c r="F27" s="2"/>
      <c r="Y27" s="2">
        <f>X18+Y18</f>
        <v>7707232.088200001</v>
      </c>
    </row>
    <row r="28" spans="3:32" x14ac:dyDescent="0.25">
      <c r="D28" s="2"/>
      <c r="E28" s="2"/>
      <c r="F28" s="2"/>
      <c r="Y28" s="2">
        <f>Y27-X14-Y14</f>
        <v>6507232.088200001</v>
      </c>
    </row>
    <row r="29" spans="3:32" x14ac:dyDescent="0.25">
      <c r="D29" s="2"/>
      <c r="E29" s="2"/>
      <c r="F29" s="2"/>
    </row>
    <row r="30" spans="3:32" x14ac:dyDescent="0.25">
      <c r="D30" s="2"/>
      <c r="E30" s="2"/>
      <c r="F30" s="2"/>
    </row>
    <row r="31" spans="3:32" x14ac:dyDescent="0.25">
      <c r="D31" s="2"/>
      <c r="E31" s="2"/>
      <c r="F31" s="2"/>
    </row>
    <row r="32" spans="3:32" x14ac:dyDescent="0.25">
      <c r="D32" s="2"/>
      <c r="E32" s="2"/>
      <c r="F32" s="2"/>
    </row>
    <row r="33" spans="4:6" x14ac:dyDescent="0.25">
      <c r="D33" s="2"/>
      <c r="E33" s="2"/>
      <c r="F33" s="2"/>
    </row>
    <row r="34" spans="4:6" x14ac:dyDescent="0.25">
      <c r="D34" s="2"/>
      <c r="E34" s="2"/>
      <c r="F34" s="2"/>
    </row>
    <row r="35" spans="4:6" x14ac:dyDescent="0.25">
      <c r="D35" s="2"/>
      <c r="E35" s="2"/>
      <c r="F35" s="2"/>
    </row>
    <row r="36" spans="4:6" x14ac:dyDescent="0.25">
      <c r="D36" s="2"/>
      <c r="E36" s="2"/>
      <c r="F36" s="2"/>
    </row>
    <row r="37" spans="4:6" x14ac:dyDescent="0.25">
      <c r="D37" s="2"/>
      <c r="E37" s="2"/>
      <c r="F37" s="2"/>
    </row>
    <row r="38" spans="4:6" x14ac:dyDescent="0.25">
      <c r="D38" s="2"/>
      <c r="E38" s="2"/>
      <c r="F38" s="2"/>
    </row>
    <row r="39" spans="4:6" x14ac:dyDescent="0.25">
      <c r="D39" s="2"/>
      <c r="E39" s="2"/>
      <c r="F39" s="2"/>
    </row>
    <row r="40" spans="4:6" x14ac:dyDescent="0.25">
      <c r="D40" s="2"/>
      <c r="E40" s="2"/>
      <c r="F40" s="2"/>
    </row>
    <row r="41" spans="4:6" x14ac:dyDescent="0.25">
      <c r="D41" s="2"/>
      <c r="E41" s="2"/>
      <c r="F41" s="2"/>
    </row>
    <row r="42" spans="4:6" x14ac:dyDescent="0.25">
      <c r="D42" s="2"/>
      <c r="E42" s="2"/>
      <c r="F42" s="2"/>
    </row>
    <row r="43" spans="4:6" x14ac:dyDescent="0.25">
      <c r="D43" s="2"/>
      <c r="E43" s="2"/>
      <c r="F43" s="2"/>
    </row>
    <row r="44" spans="4:6" x14ac:dyDescent="0.25">
      <c r="D44" s="2"/>
      <c r="E44" s="2"/>
      <c r="F44" s="2"/>
    </row>
    <row r="45" spans="4:6" x14ac:dyDescent="0.25">
      <c r="D45" s="2"/>
      <c r="E45" s="2"/>
      <c r="F45" s="2"/>
    </row>
    <row r="46" spans="4:6" x14ac:dyDescent="0.25">
      <c r="D46" s="2"/>
      <c r="E46" s="2"/>
      <c r="F46" s="2"/>
    </row>
    <row r="47" spans="4:6" x14ac:dyDescent="0.25">
      <c r="D47" s="2"/>
      <c r="E47" s="2"/>
      <c r="F47" s="2"/>
    </row>
    <row r="48" spans="4:6" x14ac:dyDescent="0.25">
      <c r="D48" s="2"/>
      <c r="E48" s="2"/>
      <c r="F48" s="2"/>
    </row>
    <row r="49" spans="4:6" x14ac:dyDescent="0.25">
      <c r="D49" s="2"/>
      <c r="E49" s="2"/>
      <c r="F49" s="2"/>
    </row>
    <row r="50" spans="4:6" x14ac:dyDescent="0.25">
      <c r="D50" s="2"/>
      <c r="E50" s="2"/>
      <c r="F50" s="2"/>
    </row>
    <row r="51" spans="4:6" x14ac:dyDescent="0.25">
      <c r="D51" s="2"/>
      <c r="E51" s="2"/>
      <c r="F51" s="2"/>
    </row>
    <row r="52" spans="4:6" x14ac:dyDescent="0.25">
      <c r="D52" s="2"/>
      <c r="E52" s="2"/>
      <c r="F52" s="2"/>
    </row>
    <row r="53" spans="4:6" x14ac:dyDescent="0.25">
      <c r="D53" s="2"/>
      <c r="E53" s="2"/>
      <c r="F53" s="2"/>
    </row>
    <row r="54" spans="4:6" x14ac:dyDescent="0.25">
      <c r="D54" s="2"/>
      <c r="E54" s="2"/>
      <c r="F54" s="2"/>
    </row>
    <row r="55" spans="4:6" x14ac:dyDescent="0.25">
      <c r="D55" s="2"/>
      <c r="E55" s="2"/>
      <c r="F55" s="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6F642-C8CF-4B05-A262-42C84A91670A}">
  <dimension ref="C1:AI55"/>
  <sheetViews>
    <sheetView workbookViewId="0">
      <selection activeCell="G8" sqref="A1:XFD1048576"/>
    </sheetView>
  </sheetViews>
  <sheetFormatPr defaultColWidth="9.140625" defaultRowHeight="15" x14ac:dyDescent="0.25"/>
  <cols>
    <col min="1" max="2" width="9.140625" style="1"/>
    <col min="3" max="3" width="41.5703125" style="1" hidden="1" customWidth="1"/>
    <col min="4" max="4" width="9.85546875" style="1" hidden="1" customWidth="1"/>
    <col min="5" max="5" width="10.140625" style="1" hidden="1" customWidth="1"/>
    <col min="6" max="6" width="9.85546875" style="1" hidden="1" customWidth="1"/>
    <col min="7" max="7" width="0" style="1" hidden="1" customWidth="1"/>
    <col min="8" max="8" width="9.85546875" style="1" hidden="1" customWidth="1"/>
    <col min="9" max="9" width="10.140625" style="2" hidden="1" customWidth="1"/>
    <col min="10" max="10" width="9.85546875" style="1" hidden="1" customWidth="1"/>
    <col min="11" max="12" width="0" style="1" hidden="1" customWidth="1"/>
    <col min="13" max="13" width="12.42578125" style="1" hidden="1" customWidth="1"/>
    <col min="14" max="14" width="12.28515625" style="1" hidden="1" customWidth="1"/>
    <col min="15" max="15" width="14" style="1" hidden="1" customWidth="1"/>
    <col min="16" max="16" width="0" style="1" hidden="1" customWidth="1"/>
    <col min="17" max="17" width="11.5703125" style="1" hidden="1" customWidth="1"/>
    <col min="18" max="19" width="11.28515625" style="1" hidden="1" customWidth="1"/>
    <col min="20" max="21" width="0" style="1" hidden="1" customWidth="1"/>
    <col min="22" max="22" width="9.140625" style="1"/>
    <col min="23" max="23" width="29.7109375" style="1" bestFit="1" customWidth="1"/>
    <col min="24" max="24" width="9.85546875" style="2" bestFit="1" customWidth="1"/>
    <col min="25" max="25" width="16.85546875" style="2" bestFit="1" customWidth="1"/>
    <col min="26" max="26" width="2.140625" style="1" customWidth="1"/>
    <col min="27" max="27" width="9.140625" style="1" customWidth="1"/>
    <col min="28" max="28" width="26.42578125" style="1" bestFit="1" customWidth="1"/>
    <col min="29" max="30" width="8.85546875" style="1" bestFit="1" customWidth="1"/>
    <col min="31" max="16384" width="9.140625" style="1"/>
  </cols>
  <sheetData>
    <row r="1" spans="3:35" x14ac:dyDescent="0.25">
      <c r="C1" s="11" t="s">
        <v>11</v>
      </c>
      <c r="H1" s="11" t="s">
        <v>10</v>
      </c>
      <c r="M1" s="11" t="s">
        <v>20</v>
      </c>
      <c r="Q1" s="16" t="s">
        <v>20</v>
      </c>
    </row>
    <row r="2" spans="3:35" x14ac:dyDescent="0.25">
      <c r="D2" s="3" t="s">
        <v>1</v>
      </c>
      <c r="E2" s="3" t="s">
        <v>3</v>
      </c>
      <c r="F2" s="3" t="s">
        <v>2</v>
      </c>
      <c r="H2" s="3" t="s">
        <v>1</v>
      </c>
      <c r="I2" s="4" t="s">
        <v>3</v>
      </c>
      <c r="J2" s="3" t="s">
        <v>2</v>
      </c>
      <c r="M2" s="3" t="s">
        <v>1</v>
      </c>
      <c r="N2" s="4" t="s">
        <v>3</v>
      </c>
      <c r="O2" s="3" t="s">
        <v>2</v>
      </c>
      <c r="Q2" s="1" t="s">
        <v>1</v>
      </c>
      <c r="R2" s="1" t="s">
        <v>3</v>
      </c>
      <c r="S2" s="1" t="s">
        <v>2</v>
      </c>
      <c r="W2" s="20" t="s">
        <v>23</v>
      </c>
      <c r="AC2" s="4" t="s">
        <v>3</v>
      </c>
      <c r="AD2" s="4" t="s">
        <v>2</v>
      </c>
    </row>
    <row r="3" spans="3:35" x14ac:dyDescent="0.25">
      <c r="C3" s="3" t="s">
        <v>0</v>
      </c>
      <c r="D3" s="2">
        <v>1532192.4137016949</v>
      </c>
      <c r="E3" s="2">
        <v>3853616.0441000005</v>
      </c>
      <c r="F3" s="2">
        <v>3853616.0441000005</v>
      </c>
      <c r="H3" s="2">
        <v>1532192.4137016949</v>
      </c>
      <c r="I3" s="2">
        <v>3853616.0441000005</v>
      </c>
      <c r="J3" s="2">
        <v>3853616.0441000005</v>
      </c>
      <c r="M3" s="2">
        <v>1532192.4137016949</v>
      </c>
      <c r="N3" s="2">
        <v>3853616.0441000005</v>
      </c>
      <c r="O3" s="2">
        <v>3853616.0441000005</v>
      </c>
      <c r="Q3" s="2">
        <v>1532192.4137016949</v>
      </c>
      <c r="R3" s="2">
        <v>3853616.0441000005</v>
      </c>
      <c r="S3" s="2">
        <v>3853616.0441000005</v>
      </c>
      <c r="AB3" s="1" t="s">
        <v>0</v>
      </c>
      <c r="AC3" s="2">
        <v>4200000</v>
      </c>
      <c r="AD3" s="2">
        <v>4200000</v>
      </c>
    </row>
    <row r="4" spans="3:35" x14ac:dyDescent="0.25">
      <c r="C4" s="3" t="s">
        <v>14</v>
      </c>
      <c r="D4" s="2">
        <v>0</v>
      </c>
      <c r="E4" s="2">
        <v>0</v>
      </c>
      <c r="F4" s="2">
        <v>0</v>
      </c>
      <c r="H4" s="2"/>
      <c r="J4" s="2">
        <f>H16</f>
        <v>3803304.5962983067</v>
      </c>
      <c r="N4" s="14">
        <f>M16/2</f>
        <v>1901652.2981491534</v>
      </c>
      <c r="O4" s="14">
        <f>N4</f>
        <v>1901652.2981491534</v>
      </c>
      <c r="R4" s="14">
        <f>Q16/2</f>
        <v>1901652.2981491534</v>
      </c>
      <c r="S4" s="14">
        <f>R4</f>
        <v>1901652.2981491534</v>
      </c>
      <c r="W4" s="1" t="s">
        <v>25</v>
      </c>
      <c r="Y4" s="2">
        <v>1000</v>
      </c>
      <c r="AC4" s="2"/>
      <c r="AD4" s="2"/>
    </row>
    <row r="5" spans="3:35" x14ac:dyDescent="0.25">
      <c r="C5" s="3" t="s">
        <v>17</v>
      </c>
      <c r="D5" s="2"/>
      <c r="E5" s="2"/>
      <c r="F5" s="2"/>
      <c r="H5" s="2"/>
      <c r="J5" s="2">
        <f>J3-J4</f>
        <v>50311.447801693808</v>
      </c>
      <c r="N5" s="2">
        <f t="shared" ref="N5:O5" si="0">N3-N4</f>
        <v>1951963.7459508472</v>
      </c>
      <c r="O5" s="2">
        <f t="shared" si="0"/>
        <v>1951963.7459508472</v>
      </c>
      <c r="R5" s="2">
        <f t="shared" ref="R5:S5" si="1">R3-R4</f>
        <v>1951963.7459508472</v>
      </c>
      <c r="S5" s="2">
        <f t="shared" si="1"/>
        <v>1951963.7459508472</v>
      </c>
      <c r="AB5" s="1" t="s">
        <v>22</v>
      </c>
      <c r="AC5" s="2"/>
      <c r="AD5" s="19">
        <f>IF(AND(Y4&gt;0,X14=Y14),IF(AD3&gt;(Y4/2),(Y4/2),(AD3)),IF(AND(Y4&gt;0,Y4/2-AD3&lt;0),IF(AND(AD3&gt;(Y4/2),(Y4/2)+X14-Y14)&gt;0,(Y4/2)+X14-Y14),AD3))</f>
        <v>500</v>
      </c>
    </row>
    <row r="6" spans="3:35" x14ac:dyDescent="0.25">
      <c r="C6" s="1" t="s">
        <v>4</v>
      </c>
      <c r="D6" s="2">
        <f>D3</f>
        <v>1532192.4137016949</v>
      </c>
      <c r="E6" s="2">
        <v>840151.42999999993</v>
      </c>
      <c r="F6" s="2">
        <v>840151.42999999993</v>
      </c>
      <c r="H6" s="2">
        <v>1532192.4137016949</v>
      </c>
      <c r="I6" s="2">
        <f>I10</f>
        <v>840151.42999999993</v>
      </c>
      <c r="J6" s="2">
        <f>J5</f>
        <v>50311.447801693808</v>
      </c>
      <c r="M6" s="2">
        <v>1532192.4137016949</v>
      </c>
      <c r="N6" s="2">
        <f>N10</f>
        <v>840151.42999999993</v>
      </c>
      <c r="O6" s="2">
        <f>O10</f>
        <v>840151.42999999993</v>
      </c>
      <c r="Q6" s="1">
        <v>1532192.4137016949</v>
      </c>
      <c r="R6" s="2">
        <f>R10</f>
        <v>840151.42999999993</v>
      </c>
      <c r="S6" s="2">
        <f>S10</f>
        <v>840151.42999999993</v>
      </c>
      <c r="X6" s="17"/>
      <c r="Y6" s="17"/>
      <c r="AB6" s="1" t="s">
        <v>24</v>
      </c>
      <c r="AC6" s="19">
        <f>IF(AND(Y4&gt;0,X14=Y14),IF(AC3&gt;(Y4/2),(Y4/2),(AC3)),IF(AND(Y4&gt;0,Y4/2-AC3&lt;0),IF(AC3&gt;(Y4/2),(Y4/2)-X14+Y14),AC3))</f>
        <v>500</v>
      </c>
      <c r="AD6" s="2"/>
      <c r="AH6" s="1">
        <f>((Y4/2)+X14-Y14)+(AD3)-((Y4/2)+(X14-Y14))</f>
        <v>4200000</v>
      </c>
    </row>
    <row r="7" spans="3:35" x14ac:dyDescent="0.25">
      <c r="C7" s="3"/>
      <c r="D7" s="2"/>
      <c r="E7" s="2"/>
      <c r="F7" s="2"/>
      <c r="AB7" s="1" t="s">
        <v>6</v>
      </c>
      <c r="AC7" s="2">
        <f>AC3-AC6</f>
        <v>4199500</v>
      </c>
      <c r="AD7" s="2">
        <f>AD3-AD5</f>
        <v>4199500</v>
      </c>
    </row>
    <row r="8" spans="3:35" x14ac:dyDescent="0.25">
      <c r="C8" s="3" t="s">
        <v>6</v>
      </c>
      <c r="D8" s="5">
        <f>D3-D6</f>
        <v>0</v>
      </c>
      <c r="E8" s="2">
        <f>E3-E6</f>
        <v>3013464.6141000008</v>
      </c>
      <c r="F8" s="2">
        <f>F3-F6</f>
        <v>3013464.6141000008</v>
      </c>
      <c r="H8" s="5">
        <f>H3-H6</f>
        <v>0</v>
      </c>
      <c r="I8" s="2">
        <f>I3-I6</f>
        <v>3013464.6141000008</v>
      </c>
      <c r="J8" s="5">
        <f>J3-J4-J6</f>
        <v>0</v>
      </c>
      <c r="M8" s="5">
        <f>M3-M6</f>
        <v>0</v>
      </c>
      <c r="N8" s="2">
        <f>N5-N6</f>
        <v>1111812.3159508472</v>
      </c>
      <c r="O8" s="2">
        <f>O5-O6</f>
        <v>1111812.3159508472</v>
      </c>
      <c r="Q8" s="5">
        <f>Q3-Q6</f>
        <v>0</v>
      </c>
      <c r="R8" s="2">
        <f>R5-R6</f>
        <v>1111812.3159508472</v>
      </c>
      <c r="S8" s="2">
        <f>S5-S6</f>
        <v>1111812.3159508472</v>
      </c>
      <c r="AF8" s="1">
        <f>IF((AD3)-((Y4/2)+(X14-Y14))&lt;0,((Y4/2)+X14-Y14)+(AD3)-((Y4/2)+(X14-Y14)),(Y4/2)+(X14-Y14))</f>
        <v>500</v>
      </c>
      <c r="AH8" s="1">
        <f>((Y4/2)+X14-Y14)</f>
        <v>500</v>
      </c>
      <c r="AI8" s="1" t="s">
        <v>38</v>
      </c>
    </row>
    <row r="9" spans="3:35" x14ac:dyDescent="0.25">
      <c r="C9" s="3"/>
      <c r="D9" s="2"/>
      <c r="E9" s="2"/>
      <c r="F9" s="2"/>
      <c r="AH9" s="1">
        <f>(AD3)-((Y4/2)+(X14-Y14))</f>
        <v>4199500</v>
      </c>
      <c r="AI9" s="1" t="s">
        <v>37</v>
      </c>
    </row>
    <row r="10" spans="3:35" x14ac:dyDescent="0.25">
      <c r="C10" s="3" t="s">
        <v>5</v>
      </c>
      <c r="D10" s="2">
        <v>5335497.0100000016</v>
      </c>
      <c r="E10" s="2">
        <v>840151.42999999993</v>
      </c>
      <c r="F10" s="2">
        <v>840151.42999999993</v>
      </c>
      <c r="H10" s="2">
        <v>5335497.0100000016</v>
      </c>
      <c r="I10" s="2">
        <v>840151.42999999993</v>
      </c>
      <c r="J10" s="2">
        <v>840151.42999999993</v>
      </c>
      <c r="M10" s="2">
        <v>5335497.0100000016</v>
      </c>
      <c r="N10" s="2">
        <v>840151.42999999993</v>
      </c>
      <c r="O10" s="2">
        <v>840151.42999999993</v>
      </c>
      <c r="Q10" s="1">
        <v>5335497.0100000016</v>
      </c>
      <c r="R10" s="1">
        <v>840151.42999999993</v>
      </c>
      <c r="S10" s="1">
        <v>840151.42999999993</v>
      </c>
      <c r="AC10" s="1">
        <v>3800000</v>
      </c>
      <c r="AD10" s="1">
        <v>4200000</v>
      </c>
      <c r="AF10" s="1">
        <f>(Y4/2)+X14-Y14</f>
        <v>500</v>
      </c>
    </row>
    <row r="11" spans="3:35" x14ac:dyDescent="0.25">
      <c r="C11" s="1" t="s">
        <v>4</v>
      </c>
      <c r="D11" s="2">
        <f>D6</f>
        <v>1532192.4137016949</v>
      </c>
      <c r="E11" s="2">
        <f>E6</f>
        <v>840151.42999999993</v>
      </c>
      <c r="F11" s="2">
        <f>F6</f>
        <v>840151.42999999993</v>
      </c>
      <c r="H11" s="2">
        <f>H6</f>
        <v>1532192.4137016949</v>
      </c>
      <c r="I11" s="2">
        <f>I6</f>
        <v>840151.42999999993</v>
      </c>
      <c r="J11" s="2">
        <f>J6</f>
        <v>50311.447801693808</v>
      </c>
      <c r="M11" s="2">
        <f>M6</f>
        <v>1532192.4137016949</v>
      </c>
      <c r="N11" s="2">
        <f>N6</f>
        <v>840151.42999999993</v>
      </c>
      <c r="O11" s="2">
        <f>O6</f>
        <v>840151.42999999993</v>
      </c>
      <c r="Q11" s="2">
        <f>Q6</f>
        <v>1532192.4137016949</v>
      </c>
      <c r="R11" s="2">
        <f>R6</f>
        <v>840151.42999999993</v>
      </c>
      <c r="S11" s="2">
        <f>S6</f>
        <v>840151.42999999993</v>
      </c>
      <c r="AH11" s="1">
        <f>(AD3)-((Y4/2)+(X14-Y14))</f>
        <v>4199500</v>
      </c>
    </row>
    <row r="12" spans="3:35" x14ac:dyDescent="0.25">
      <c r="C12" s="3" t="s">
        <v>15</v>
      </c>
      <c r="D12" s="2"/>
      <c r="E12" s="2"/>
      <c r="F12" s="2"/>
      <c r="H12" s="2"/>
      <c r="AF12" s="2">
        <f>(Y4/2)+(X14-Y14-AD3)</f>
        <v>-4199500</v>
      </c>
    </row>
    <row r="13" spans="3:35" x14ac:dyDescent="0.25">
      <c r="C13" s="1" t="s">
        <v>12</v>
      </c>
      <c r="D13" s="2">
        <f>F18</f>
        <v>3013464.6141000008</v>
      </c>
      <c r="E13" s="2"/>
      <c r="F13" s="2"/>
      <c r="H13" s="2">
        <v>3803304.5962983067</v>
      </c>
      <c r="M13" s="5">
        <v>0</v>
      </c>
      <c r="Q13" s="1">
        <v>0</v>
      </c>
      <c r="X13" s="2" t="s">
        <v>3</v>
      </c>
      <c r="Y13" s="2" t="s">
        <v>2</v>
      </c>
      <c r="AH13" s="1">
        <f>(Y4/2)+(X14-Y14)</f>
        <v>500</v>
      </c>
    </row>
    <row r="14" spans="3:35" x14ac:dyDescent="0.25">
      <c r="C14" s="1" t="s">
        <v>13</v>
      </c>
      <c r="D14" s="2">
        <f>E18</f>
        <v>789839.98219830589</v>
      </c>
      <c r="E14" s="2"/>
      <c r="F14" s="2"/>
      <c r="H14" s="5">
        <v>0</v>
      </c>
      <c r="M14" s="5">
        <v>0</v>
      </c>
      <c r="Q14" s="1">
        <v>0</v>
      </c>
      <c r="W14" s="1" t="s">
        <v>21</v>
      </c>
      <c r="X14" s="2">
        <v>400</v>
      </c>
      <c r="Y14" s="2">
        <v>400</v>
      </c>
      <c r="AA14" s="2">
        <f>X14-Y14</f>
        <v>0</v>
      </c>
      <c r="AB14" s="18">
        <f>IF(AND(Y4&gt;0,X12=Y12),IF(AD3&gt;Y4,(Y4/2),(AD3/2)),0)</f>
        <v>500</v>
      </c>
      <c r="AC14" s="18">
        <f>IF(AND(Y4&gt;0,X12=Y12),IF(AD3&gt;(Y4/2),(Y4/2),(AD3)),0)</f>
        <v>500</v>
      </c>
      <c r="AF14" s="2">
        <f>Y4/2+(X14-Y14-AD3)</f>
        <v>-4199500</v>
      </c>
      <c r="AG14" s="2"/>
    </row>
    <row r="15" spans="3:35" x14ac:dyDescent="0.25">
      <c r="D15" s="2"/>
      <c r="E15" s="2"/>
      <c r="F15" s="2"/>
      <c r="W15" s="1" t="s">
        <v>25</v>
      </c>
      <c r="Y15" s="2">
        <f>Y4</f>
        <v>1000</v>
      </c>
      <c r="AA15" s="2"/>
      <c r="AB15" s="18">
        <f>IF(AND(Y4&gt;0,X12=Y12),IF(AC3&gt;Y4,(Y4/2),(AC3/2)),0)</f>
        <v>500</v>
      </c>
      <c r="AC15" s="18">
        <f>IF(AND(Y4&gt;0,X12=Y12),IF(AC3&gt;(Y4/2),(Y4/2),(AC3)),0)</f>
        <v>500</v>
      </c>
    </row>
    <row r="16" spans="3:35" x14ac:dyDescent="0.25">
      <c r="C16" s="3" t="s">
        <v>7</v>
      </c>
      <c r="D16" s="2">
        <f>D10-D11</f>
        <v>3803304.5962983067</v>
      </c>
      <c r="E16" s="5">
        <f t="shared" ref="E16:F16" si="2">E10-E11</f>
        <v>0</v>
      </c>
      <c r="F16" s="5">
        <f t="shared" si="2"/>
        <v>0</v>
      </c>
      <c r="H16" s="2">
        <f>H10-H11</f>
        <v>3803304.5962983067</v>
      </c>
      <c r="M16" s="2">
        <f>M10-M11</f>
        <v>3803304.5962983067</v>
      </c>
      <c r="Q16" s="2">
        <f>Q10-Q11</f>
        <v>3803304.5962983067</v>
      </c>
      <c r="W16" s="1" t="s">
        <v>26</v>
      </c>
    </row>
    <row r="17" spans="3:32" x14ac:dyDescent="0.25">
      <c r="D17" s="2"/>
      <c r="E17" s="2"/>
      <c r="F17" s="2"/>
    </row>
    <row r="18" spans="3:32" x14ac:dyDescent="0.25">
      <c r="C18" s="1" t="s">
        <v>8</v>
      </c>
      <c r="D18" s="5">
        <v>0</v>
      </c>
      <c r="E18" s="2">
        <f>D16-F18</f>
        <v>789839.98219830589</v>
      </c>
      <c r="F18" s="2">
        <f>F8</f>
        <v>3013464.6141000008</v>
      </c>
      <c r="M18" s="5">
        <v>0</v>
      </c>
      <c r="N18" s="15">
        <f>N4</f>
        <v>1901652.2981491534</v>
      </c>
      <c r="O18" s="15">
        <f>O4</f>
        <v>1901652.2981491534</v>
      </c>
      <c r="Q18" s="5">
        <v>0</v>
      </c>
      <c r="R18" s="15">
        <f>R4</f>
        <v>1901652.2981491534</v>
      </c>
      <c r="S18" s="15">
        <f>S4</f>
        <v>1901652.2981491534</v>
      </c>
      <c r="AC18" s="2" t="s">
        <v>3</v>
      </c>
      <c r="AD18" s="2" t="s">
        <v>2</v>
      </c>
    </row>
    <row r="19" spans="3:32" x14ac:dyDescent="0.25">
      <c r="D19" s="2"/>
      <c r="E19" s="2"/>
      <c r="F19" s="2"/>
      <c r="AB19" s="1" t="s">
        <v>0</v>
      </c>
      <c r="AC19" s="2">
        <f>AC3</f>
        <v>4200000</v>
      </c>
      <c r="AD19" s="2">
        <f>AD3</f>
        <v>4200000</v>
      </c>
    </row>
    <row r="20" spans="3:32" x14ac:dyDescent="0.25">
      <c r="C20" s="3" t="s">
        <v>9</v>
      </c>
      <c r="D20" s="6">
        <f>D16-D13-D14</f>
        <v>0</v>
      </c>
      <c r="E20" s="6">
        <f>E16</f>
        <v>0</v>
      </c>
      <c r="F20" s="6">
        <f>F16</f>
        <v>0</v>
      </c>
      <c r="H20" s="5">
        <f>H10-H11-H16</f>
        <v>0</v>
      </c>
      <c r="I20" s="5">
        <f>I10-I11</f>
        <v>0</v>
      </c>
      <c r="J20" s="10">
        <f>J10-J11</f>
        <v>789839.98219830613</v>
      </c>
      <c r="L20" s="3" t="s">
        <v>18</v>
      </c>
      <c r="M20" s="12">
        <f>M16-M13-M14</f>
        <v>3803304.5962983067</v>
      </c>
      <c r="N20" s="12">
        <f>N16</f>
        <v>0</v>
      </c>
      <c r="O20" s="12">
        <f>O16</f>
        <v>0</v>
      </c>
      <c r="Q20" s="12">
        <f>Q16-Q13-Q14</f>
        <v>3803304.5962983067</v>
      </c>
      <c r="R20" s="12">
        <f>R16</f>
        <v>0</v>
      </c>
      <c r="S20" s="12">
        <f>S16</f>
        <v>0</v>
      </c>
      <c r="AB20" s="1" t="s">
        <v>29</v>
      </c>
      <c r="AC20" s="1">
        <f>AC6</f>
        <v>500</v>
      </c>
      <c r="AD20" s="1">
        <f>AD5</f>
        <v>500</v>
      </c>
    </row>
    <row r="21" spans="3:32" x14ac:dyDescent="0.25">
      <c r="D21" s="2"/>
      <c r="E21" s="2"/>
      <c r="F21" s="2"/>
      <c r="AB21" s="1" t="s">
        <v>30</v>
      </c>
      <c r="AC21" s="2">
        <f>IF(AND((AC19-AC20)&gt;0,X14&gt;0),IF(AC19-AC20&gt;X14,X14,AC19-AC20),0)</f>
        <v>400</v>
      </c>
      <c r="AD21" s="2">
        <f>IF(AND((AD19-AD20)&gt;0,Y14&gt;0),IF(AD19-AD20&gt;Y14,Y14,AD19-AD20),0)</f>
        <v>400</v>
      </c>
    </row>
    <row r="22" spans="3:32" x14ac:dyDescent="0.25">
      <c r="D22" s="2"/>
      <c r="E22" s="2"/>
      <c r="F22" s="2"/>
      <c r="AB22" s="1" t="s">
        <v>31</v>
      </c>
      <c r="AC22" s="2">
        <f>IF(AC19-AC20-AC21&gt;0,AC19-AC20-AC21,0)</f>
        <v>4199100</v>
      </c>
      <c r="AD22" s="2">
        <f>IF(AD19-AD20-AD21&gt;0,AD19-AD20-AD21,0)</f>
        <v>4199100</v>
      </c>
      <c r="AF22" s="2"/>
    </row>
    <row r="23" spans="3:32" x14ac:dyDescent="0.25">
      <c r="C23" s="1" t="s">
        <v>16</v>
      </c>
      <c r="D23" s="2">
        <f>D8-D18</f>
        <v>0</v>
      </c>
      <c r="E23" s="7">
        <f>E8-E18</f>
        <v>2223624.6319016949</v>
      </c>
      <c r="F23" s="2">
        <f>F8-F18</f>
        <v>0</v>
      </c>
      <c r="H23" s="2">
        <f>H8-H18</f>
        <v>0</v>
      </c>
      <c r="I23" s="9">
        <f>I8-I20</f>
        <v>3013464.6141000008</v>
      </c>
      <c r="J23" s="8">
        <f>J8</f>
        <v>0</v>
      </c>
      <c r="L23" s="3" t="s">
        <v>19</v>
      </c>
      <c r="M23" s="5">
        <f>M8-M18</f>
        <v>0</v>
      </c>
      <c r="N23" s="13">
        <f>N8-N20</f>
        <v>1111812.3159508472</v>
      </c>
      <c r="O23" s="15">
        <f>O8</f>
        <v>1111812.3159508472</v>
      </c>
      <c r="Q23" s="5">
        <f>Q8-Q18</f>
        <v>0</v>
      </c>
      <c r="R23" s="13">
        <f>R8-R20</f>
        <v>1111812.3159508472</v>
      </c>
      <c r="S23" s="15">
        <f>S8</f>
        <v>1111812.3159508472</v>
      </c>
    </row>
    <row r="24" spans="3:32" x14ac:dyDescent="0.25">
      <c r="D24" s="2"/>
      <c r="E24" s="2"/>
      <c r="F24" s="2"/>
      <c r="AB24" s="1" t="s">
        <v>34</v>
      </c>
      <c r="AC24" s="2">
        <f>X14</f>
        <v>400</v>
      </c>
      <c r="AD24" s="2">
        <f>Y14</f>
        <v>400</v>
      </c>
    </row>
    <row r="25" spans="3:32" x14ac:dyDescent="0.25">
      <c r="D25" s="2"/>
      <c r="E25" s="2"/>
      <c r="F25" s="2"/>
      <c r="AB25" s="1" t="s">
        <v>35</v>
      </c>
      <c r="AC25" s="2">
        <f>AC21</f>
        <v>400</v>
      </c>
      <c r="AD25" s="2">
        <f>AD21</f>
        <v>400</v>
      </c>
    </row>
    <row r="26" spans="3:32" x14ac:dyDescent="0.25">
      <c r="D26" s="2"/>
      <c r="E26" s="2"/>
      <c r="F26" s="2"/>
      <c r="AB26" s="1" t="s">
        <v>36</v>
      </c>
      <c r="AC26" s="2">
        <f>AC24-AC25</f>
        <v>0</v>
      </c>
      <c r="AD26" s="2">
        <f>AD24-AD25</f>
        <v>0</v>
      </c>
    </row>
    <row r="27" spans="3:32" x14ac:dyDescent="0.25">
      <c r="D27" s="2"/>
      <c r="E27" s="2"/>
      <c r="F27" s="2"/>
    </row>
    <row r="28" spans="3:32" x14ac:dyDescent="0.25">
      <c r="D28" s="2"/>
      <c r="E28" s="2"/>
      <c r="F28" s="2"/>
    </row>
    <row r="29" spans="3:32" x14ac:dyDescent="0.25">
      <c r="D29" s="2"/>
      <c r="E29" s="2"/>
      <c r="F29" s="2"/>
    </row>
    <row r="30" spans="3:32" x14ac:dyDescent="0.25">
      <c r="D30" s="2"/>
      <c r="E30" s="2"/>
      <c r="F30" s="2"/>
    </row>
    <row r="31" spans="3:32" x14ac:dyDescent="0.25">
      <c r="D31" s="2"/>
      <c r="E31" s="2"/>
      <c r="F31" s="2"/>
    </row>
    <row r="32" spans="3:32" x14ac:dyDescent="0.25">
      <c r="D32" s="2"/>
      <c r="E32" s="2"/>
      <c r="F32" s="2"/>
    </row>
    <row r="33" spans="4:6" x14ac:dyDescent="0.25">
      <c r="D33" s="2"/>
      <c r="E33" s="2"/>
      <c r="F33" s="2"/>
    </row>
    <row r="34" spans="4:6" x14ac:dyDescent="0.25">
      <c r="D34" s="2"/>
      <c r="E34" s="2"/>
      <c r="F34" s="2"/>
    </row>
    <row r="35" spans="4:6" x14ac:dyDescent="0.25">
      <c r="D35" s="2"/>
      <c r="E35" s="2"/>
      <c r="F35" s="2"/>
    </row>
    <row r="36" spans="4:6" x14ac:dyDescent="0.25">
      <c r="D36" s="2"/>
      <c r="E36" s="2"/>
      <c r="F36" s="2"/>
    </row>
    <row r="37" spans="4:6" x14ac:dyDescent="0.25">
      <c r="D37" s="2"/>
      <c r="E37" s="2"/>
      <c r="F37" s="2"/>
    </row>
    <row r="38" spans="4:6" x14ac:dyDescent="0.25">
      <c r="D38" s="2"/>
      <c r="E38" s="2"/>
      <c r="F38" s="2"/>
    </row>
    <row r="39" spans="4:6" x14ac:dyDescent="0.25">
      <c r="D39" s="2"/>
      <c r="E39" s="2"/>
      <c r="F39" s="2"/>
    </row>
    <row r="40" spans="4:6" x14ac:dyDescent="0.25">
      <c r="D40" s="2"/>
      <c r="E40" s="2"/>
      <c r="F40" s="2"/>
    </row>
    <row r="41" spans="4:6" x14ac:dyDescent="0.25">
      <c r="D41" s="2"/>
      <c r="E41" s="2"/>
      <c r="F41" s="2"/>
    </row>
    <row r="42" spans="4:6" x14ac:dyDescent="0.25">
      <c r="D42" s="2"/>
      <c r="E42" s="2"/>
      <c r="F42" s="2"/>
    </row>
    <row r="43" spans="4:6" x14ac:dyDescent="0.25">
      <c r="D43" s="2"/>
      <c r="E43" s="2"/>
      <c r="F43" s="2"/>
    </row>
    <row r="44" spans="4:6" x14ac:dyDescent="0.25">
      <c r="D44" s="2"/>
      <c r="E44" s="2"/>
      <c r="F44" s="2"/>
    </row>
    <row r="45" spans="4:6" x14ac:dyDescent="0.25">
      <c r="D45" s="2"/>
      <c r="E45" s="2"/>
      <c r="F45" s="2"/>
    </row>
    <row r="46" spans="4:6" x14ac:dyDescent="0.25">
      <c r="D46" s="2"/>
      <c r="E46" s="2"/>
      <c r="F46" s="2"/>
    </row>
    <row r="47" spans="4:6" x14ac:dyDescent="0.25">
      <c r="D47" s="2"/>
      <c r="E47" s="2"/>
      <c r="F47" s="2"/>
    </row>
    <row r="48" spans="4:6" x14ac:dyDescent="0.25">
      <c r="D48" s="2"/>
      <c r="E48" s="2"/>
      <c r="F48" s="2"/>
    </row>
    <row r="49" spans="4:6" x14ac:dyDescent="0.25">
      <c r="D49" s="2"/>
      <c r="E49" s="2"/>
      <c r="F49" s="2"/>
    </row>
    <row r="50" spans="4:6" x14ac:dyDescent="0.25">
      <c r="D50" s="2"/>
      <c r="E50" s="2"/>
      <c r="F50" s="2"/>
    </row>
    <row r="51" spans="4:6" x14ac:dyDescent="0.25">
      <c r="D51" s="2"/>
      <c r="E51" s="2"/>
      <c r="F51" s="2"/>
    </row>
    <row r="52" spans="4:6" x14ac:dyDescent="0.25">
      <c r="D52" s="2"/>
      <c r="E52" s="2"/>
      <c r="F52" s="2"/>
    </row>
    <row r="53" spans="4:6" x14ac:dyDescent="0.25">
      <c r="D53" s="2"/>
      <c r="E53" s="2"/>
      <c r="F53" s="2"/>
    </row>
    <row r="54" spans="4:6" x14ac:dyDescent="0.25">
      <c r="D54" s="2"/>
      <c r="E54" s="2"/>
      <c r="F54" s="2"/>
    </row>
    <row r="55" spans="4:6" x14ac:dyDescent="0.25">
      <c r="D55" s="2"/>
      <c r="E55" s="2"/>
      <c r="F55" s="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72370-733E-4434-BFD6-2083AF836831}">
  <dimension ref="C1:AH55"/>
  <sheetViews>
    <sheetView topLeftCell="W1" workbookViewId="0">
      <selection activeCell="G8" sqref="A1:XFD1048576"/>
    </sheetView>
  </sheetViews>
  <sheetFormatPr defaultColWidth="9.140625" defaultRowHeight="15" x14ac:dyDescent="0.25"/>
  <cols>
    <col min="1" max="2" width="9.140625" style="1"/>
    <col min="3" max="3" width="41.5703125" style="1" hidden="1" customWidth="1"/>
    <col min="4" max="4" width="9.85546875" style="1" hidden="1" customWidth="1"/>
    <col min="5" max="5" width="10.140625" style="1" hidden="1" customWidth="1"/>
    <col min="6" max="6" width="9.85546875" style="1" hidden="1" customWidth="1"/>
    <col min="7" max="7" width="0" style="1" hidden="1" customWidth="1"/>
    <col min="8" max="8" width="9.85546875" style="1" hidden="1" customWidth="1"/>
    <col min="9" max="9" width="10.140625" style="2" hidden="1" customWidth="1"/>
    <col min="10" max="10" width="9.85546875" style="1" hidden="1" customWidth="1"/>
    <col min="11" max="12" width="0" style="1" hidden="1" customWidth="1"/>
    <col min="13" max="13" width="12.42578125" style="1" hidden="1" customWidth="1"/>
    <col min="14" max="14" width="12.28515625" style="1" hidden="1" customWidth="1"/>
    <col min="15" max="15" width="14" style="1" hidden="1" customWidth="1"/>
    <col min="16" max="16" width="0" style="1" hidden="1" customWidth="1"/>
    <col min="17" max="17" width="11.5703125" style="1" hidden="1" customWidth="1"/>
    <col min="18" max="19" width="11.28515625" style="1" hidden="1" customWidth="1"/>
    <col min="20" max="21" width="0" style="1" hidden="1" customWidth="1"/>
    <col min="22" max="22" width="9.140625" style="1"/>
    <col min="23" max="23" width="29.7109375" style="1" bestFit="1" customWidth="1"/>
    <col min="24" max="25" width="9.85546875" style="2" bestFit="1" customWidth="1"/>
    <col min="26" max="26" width="2.140625" style="1" customWidth="1"/>
    <col min="27" max="27" width="9.140625" style="1"/>
    <col min="28" max="28" width="26.42578125" style="1" bestFit="1" customWidth="1"/>
    <col min="29" max="30" width="8.85546875" style="1" bestFit="1" customWidth="1"/>
    <col min="31" max="16384" width="9.140625" style="1"/>
  </cols>
  <sheetData>
    <row r="1" spans="3:34" x14ac:dyDescent="0.25">
      <c r="C1" s="11" t="s">
        <v>11</v>
      </c>
      <c r="H1" s="11" t="s">
        <v>10</v>
      </c>
      <c r="M1" s="11" t="s">
        <v>20</v>
      </c>
      <c r="Q1" s="16" t="s">
        <v>20</v>
      </c>
    </row>
    <row r="2" spans="3:34" x14ac:dyDescent="0.25">
      <c r="D2" s="3" t="s">
        <v>1</v>
      </c>
      <c r="E2" s="3" t="s">
        <v>3</v>
      </c>
      <c r="F2" s="3" t="s">
        <v>2</v>
      </c>
      <c r="H2" s="3" t="s">
        <v>1</v>
      </c>
      <c r="I2" s="4" t="s">
        <v>3</v>
      </c>
      <c r="J2" s="3" t="s">
        <v>2</v>
      </c>
      <c r="M2" s="3" t="s">
        <v>1</v>
      </c>
      <c r="N2" s="4" t="s">
        <v>3</v>
      </c>
      <c r="O2" s="3" t="s">
        <v>2</v>
      </c>
      <c r="Q2" s="1" t="s">
        <v>1</v>
      </c>
      <c r="R2" s="1" t="s">
        <v>3</v>
      </c>
      <c r="S2" s="1" t="s">
        <v>2</v>
      </c>
      <c r="W2" s="20" t="s">
        <v>23</v>
      </c>
      <c r="AC2" s="4" t="s">
        <v>3</v>
      </c>
      <c r="AD2" s="4" t="s">
        <v>2</v>
      </c>
    </row>
    <row r="3" spans="3:34" x14ac:dyDescent="0.25">
      <c r="C3" s="3" t="s">
        <v>0</v>
      </c>
      <c r="D3" s="2">
        <v>1532192.4137016949</v>
      </c>
      <c r="E3" s="2">
        <v>3853616.0441000005</v>
      </c>
      <c r="F3" s="2">
        <v>3853616.0441000005</v>
      </c>
      <c r="H3" s="2">
        <v>1532192.4137016949</v>
      </c>
      <c r="I3" s="2">
        <v>3853616.0441000005</v>
      </c>
      <c r="J3" s="2">
        <v>3853616.0441000005</v>
      </c>
      <c r="M3" s="2">
        <v>1532192.4137016949</v>
      </c>
      <c r="N3" s="2">
        <v>3853616.0441000005</v>
      </c>
      <c r="O3" s="2">
        <v>3853616.0441000005</v>
      </c>
      <c r="Q3" s="2">
        <v>1532192.4137016949</v>
      </c>
      <c r="R3" s="2">
        <v>3853616.0441000005</v>
      </c>
      <c r="S3" s="2">
        <v>3853616.0441000005</v>
      </c>
      <c r="AB3" s="1" t="s">
        <v>0</v>
      </c>
      <c r="AC3" s="2">
        <v>4200000</v>
      </c>
      <c r="AD3" s="2">
        <v>4200000</v>
      </c>
    </row>
    <row r="4" spans="3:34" x14ac:dyDescent="0.25">
      <c r="C4" s="3" t="s">
        <v>14</v>
      </c>
      <c r="D4" s="2">
        <v>0</v>
      </c>
      <c r="E4" s="2">
        <v>0</v>
      </c>
      <c r="F4" s="2">
        <v>0</v>
      </c>
      <c r="H4" s="2"/>
      <c r="J4" s="2">
        <f>H16</f>
        <v>3803304.5962983067</v>
      </c>
      <c r="N4" s="14">
        <f>M16/2</f>
        <v>1901652.2981491534</v>
      </c>
      <c r="O4" s="14">
        <f>N4</f>
        <v>1901652.2981491534</v>
      </c>
      <c r="R4" s="14">
        <f>Q16/2</f>
        <v>1901652.2981491534</v>
      </c>
      <c r="S4" s="14">
        <f>R4</f>
        <v>1901652.2981491534</v>
      </c>
      <c r="W4" s="1" t="s">
        <v>25</v>
      </c>
      <c r="Y4" s="2">
        <v>8000000</v>
      </c>
      <c r="AC4" s="2"/>
      <c r="AD4" s="2"/>
    </row>
    <row r="5" spans="3:34" x14ac:dyDescent="0.25">
      <c r="C5" s="3" t="s">
        <v>17</v>
      </c>
      <c r="D5" s="2"/>
      <c r="E5" s="2"/>
      <c r="F5" s="2"/>
      <c r="H5" s="2"/>
      <c r="J5" s="2">
        <f>J3-J4</f>
        <v>50311.447801693808</v>
      </c>
      <c r="N5" s="2">
        <f t="shared" ref="N5:O5" si="0">N3-N4</f>
        <v>1951963.7459508472</v>
      </c>
      <c r="O5" s="2">
        <f t="shared" si="0"/>
        <v>1951963.7459508472</v>
      </c>
      <c r="R5" s="2">
        <f t="shared" ref="R5:S5" si="1">R3-R4</f>
        <v>1951963.7459508472</v>
      </c>
      <c r="S5" s="2">
        <f t="shared" si="1"/>
        <v>1951963.7459508472</v>
      </c>
      <c r="AB5" s="1" t="s">
        <v>22</v>
      </c>
      <c r="AC5" s="2"/>
      <c r="AD5" s="19">
        <f>IF(AND(Y4&gt;0,X14=Y14),IF(AD3&gt;(Y4/2),(Y4/2),(AD3)),IF(AND(Y4&gt;0,Y4/2-AD3&lt;0),IF(AND(AD3&gt;(Y4/2),(Y4/2)+X14-Y14)&gt;0,(Y4/2)+X14-Y14),AD3))</f>
        <v>4600000</v>
      </c>
    </row>
    <row r="6" spans="3:34" x14ac:dyDescent="0.25">
      <c r="C6" s="1" t="s">
        <v>4</v>
      </c>
      <c r="D6" s="2">
        <f>D3</f>
        <v>1532192.4137016949</v>
      </c>
      <c r="E6" s="2">
        <v>840151.42999999993</v>
      </c>
      <c r="F6" s="2">
        <v>840151.42999999993</v>
      </c>
      <c r="H6" s="2">
        <v>1532192.4137016949</v>
      </c>
      <c r="I6" s="2">
        <f>I10</f>
        <v>840151.42999999993</v>
      </c>
      <c r="J6" s="2">
        <f>J5</f>
        <v>50311.447801693808</v>
      </c>
      <c r="M6" s="2">
        <v>1532192.4137016949</v>
      </c>
      <c r="N6" s="2">
        <f>N10</f>
        <v>840151.42999999993</v>
      </c>
      <c r="O6" s="2">
        <f>O10</f>
        <v>840151.42999999993</v>
      </c>
      <c r="Q6" s="1">
        <v>1532192.4137016949</v>
      </c>
      <c r="R6" s="2">
        <f>R10</f>
        <v>840151.42999999993</v>
      </c>
      <c r="S6" s="2">
        <f>S10</f>
        <v>840151.42999999993</v>
      </c>
      <c r="X6" s="17"/>
      <c r="Y6" s="17"/>
      <c r="AB6" s="1" t="s">
        <v>24</v>
      </c>
      <c r="AC6" s="19">
        <f>IF(AND(Y4&gt;0,X14=Y14),IF(AC3&gt;(Y4/2),(Y4/2),(AC3)),IF(AND(Y4&gt;0,Y4/2-AC3&lt;0),IF(AC3&gt;(Y4/2),(Y4/2)-X14+Y14),AC3))</f>
        <v>3400000</v>
      </c>
      <c r="AD6" s="2"/>
      <c r="AH6" s="1" t="s">
        <v>39</v>
      </c>
    </row>
    <row r="7" spans="3:34" x14ac:dyDescent="0.25">
      <c r="C7" s="3"/>
      <c r="D7" s="2"/>
      <c r="E7" s="2"/>
      <c r="F7" s="2"/>
      <c r="AB7" s="1" t="s">
        <v>6</v>
      </c>
      <c r="AC7" s="2">
        <f>AC3-AC6</f>
        <v>800000</v>
      </c>
      <c r="AD7" s="2">
        <f>AD3-AD5</f>
        <v>-400000</v>
      </c>
    </row>
    <row r="8" spans="3:34" x14ac:dyDescent="0.25">
      <c r="C8" s="3" t="s">
        <v>6</v>
      </c>
      <c r="D8" s="5">
        <f>D3-D6</f>
        <v>0</v>
      </c>
      <c r="E8" s="2">
        <f>E3-E6</f>
        <v>3013464.6141000008</v>
      </c>
      <c r="F8" s="2">
        <f>F3-F6</f>
        <v>3013464.6141000008</v>
      </c>
      <c r="H8" s="5">
        <f>H3-H6</f>
        <v>0</v>
      </c>
      <c r="I8" s="2">
        <f>I3-I6</f>
        <v>3013464.6141000008</v>
      </c>
      <c r="J8" s="5">
        <f>J3-J4-J6</f>
        <v>0</v>
      </c>
      <c r="M8" s="5">
        <f>M3-M6</f>
        <v>0</v>
      </c>
      <c r="N8" s="2">
        <f>N5-N6</f>
        <v>1111812.3159508472</v>
      </c>
      <c r="O8" s="2">
        <f>O5-O6</f>
        <v>1111812.3159508472</v>
      </c>
      <c r="Q8" s="5">
        <f>Q3-Q6</f>
        <v>0</v>
      </c>
      <c r="R8" s="2">
        <f>R5-R6</f>
        <v>1111812.3159508472</v>
      </c>
      <c r="S8" s="2">
        <f>S5-S6</f>
        <v>1111812.3159508472</v>
      </c>
      <c r="AE8" s="1" t="s">
        <v>2</v>
      </c>
      <c r="AF8" s="1">
        <f>IF((AD3)-((Y4/2)+(X14-Y14))&lt;0,((Y4/2)+X14-Y14)+(AD3)-((Y4/2)+(X14-Y14)),(Y4/2)+(X14-Y14))</f>
        <v>4200000</v>
      </c>
    </row>
    <row r="9" spans="3:34" x14ac:dyDescent="0.25">
      <c r="C9" s="3"/>
      <c r="D9" s="2"/>
      <c r="E9" s="2"/>
      <c r="F9" s="2"/>
      <c r="AE9" s="1" t="s">
        <v>3</v>
      </c>
      <c r="AF9" s="1">
        <f>IF((AD3)-((Y4/2)+(Y14-X14))&lt;0,((Y4/2)+Y14-X14)+(AD3)-((Y4/2)+(Y14-X14)),(Y4/2)+(Y14-X14))-((AD3)-((Y4/2)+(X14-Y14)))</f>
        <v>3800000</v>
      </c>
      <c r="AG9" s="1">
        <f>((AD3)-((Y4/2)+(Y14-X14)))</f>
        <v>800000</v>
      </c>
      <c r="AH9" s="1" t="s">
        <v>40</v>
      </c>
    </row>
    <row r="10" spans="3:34" x14ac:dyDescent="0.25">
      <c r="C10" s="3" t="s">
        <v>5</v>
      </c>
      <c r="D10" s="2">
        <v>5335497.0100000016</v>
      </c>
      <c r="E10" s="2">
        <v>840151.42999999993</v>
      </c>
      <c r="F10" s="2">
        <v>840151.42999999993</v>
      </c>
      <c r="H10" s="2">
        <v>5335497.0100000016</v>
      </c>
      <c r="I10" s="2">
        <v>840151.42999999993</v>
      </c>
      <c r="J10" s="2">
        <v>840151.42999999993</v>
      </c>
      <c r="M10" s="2">
        <v>5335497.0100000016</v>
      </c>
      <c r="N10" s="2">
        <v>840151.42999999993</v>
      </c>
      <c r="O10" s="2">
        <v>840151.42999999993</v>
      </c>
      <c r="Q10" s="1">
        <v>5335497.0100000016</v>
      </c>
      <c r="R10" s="1">
        <v>840151.42999999993</v>
      </c>
      <c r="S10" s="1">
        <v>840151.42999999993</v>
      </c>
      <c r="AC10" s="1">
        <v>3800000</v>
      </c>
      <c r="AD10" s="1">
        <v>4200000</v>
      </c>
      <c r="AG10" s="1">
        <f>((Y4/2)+Y14-X14)+(AD3)-((Y4/2)+(Y14-X14))</f>
        <v>4200000</v>
      </c>
      <c r="AH10" s="1" t="s">
        <v>41</v>
      </c>
    </row>
    <row r="11" spans="3:34" x14ac:dyDescent="0.25">
      <c r="C11" s="1" t="s">
        <v>4</v>
      </c>
      <c r="D11" s="2">
        <f>D6</f>
        <v>1532192.4137016949</v>
      </c>
      <c r="E11" s="2">
        <f>E6</f>
        <v>840151.42999999993</v>
      </c>
      <c r="F11" s="2">
        <f>F6</f>
        <v>840151.42999999993</v>
      </c>
      <c r="H11" s="2">
        <f>H6</f>
        <v>1532192.4137016949</v>
      </c>
      <c r="I11" s="2">
        <f>I6</f>
        <v>840151.42999999993</v>
      </c>
      <c r="J11" s="2">
        <f>J6</f>
        <v>50311.447801693808</v>
      </c>
      <c r="M11" s="2">
        <f>M6</f>
        <v>1532192.4137016949</v>
      </c>
      <c r="N11" s="2">
        <f>N6</f>
        <v>840151.42999999993</v>
      </c>
      <c r="O11" s="2">
        <f>O6</f>
        <v>840151.42999999993</v>
      </c>
      <c r="Q11" s="2">
        <f>Q6</f>
        <v>1532192.4137016949</v>
      </c>
      <c r="R11" s="2">
        <f>R6</f>
        <v>840151.42999999993</v>
      </c>
      <c r="S11" s="2">
        <f>S6</f>
        <v>840151.42999999993</v>
      </c>
      <c r="AG11" s="1">
        <f>(Y4/2)+(Y14-X14)</f>
        <v>3400000</v>
      </c>
      <c r="AH11" s="1" t="s">
        <v>42</v>
      </c>
    </row>
    <row r="12" spans="3:34" x14ac:dyDescent="0.25">
      <c r="C12" s="3" t="s">
        <v>15</v>
      </c>
      <c r="D12" s="2"/>
      <c r="E12" s="2"/>
      <c r="F12" s="2"/>
      <c r="H12" s="2"/>
      <c r="AF12" s="2"/>
    </row>
    <row r="13" spans="3:34" x14ac:dyDescent="0.25">
      <c r="C13" s="1" t="s">
        <v>12</v>
      </c>
      <c r="D13" s="2">
        <f>F18</f>
        <v>3013464.6141000008</v>
      </c>
      <c r="E13" s="2"/>
      <c r="F13" s="2"/>
      <c r="H13" s="2">
        <v>3803304.5962983067</v>
      </c>
      <c r="M13" s="5">
        <v>0</v>
      </c>
      <c r="Q13" s="1">
        <v>0</v>
      </c>
      <c r="X13" s="2" t="s">
        <v>3</v>
      </c>
      <c r="Y13" s="2" t="s">
        <v>2</v>
      </c>
    </row>
    <row r="14" spans="3:34" x14ac:dyDescent="0.25">
      <c r="C14" s="1" t="s">
        <v>13</v>
      </c>
      <c r="D14" s="2">
        <f>E18</f>
        <v>789839.98219830589</v>
      </c>
      <c r="E14" s="2"/>
      <c r="F14" s="2"/>
      <c r="H14" s="5">
        <v>0</v>
      </c>
      <c r="M14" s="5">
        <v>0</v>
      </c>
      <c r="Q14" s="1">
        <v>0</v>
      </c>
      <c r="W14" s="1" t="s">
        <v>21</v>
      </c>
      <c r="X14" s="2">
        <v>1100000</v>
      </c>
      <c r="Y14" s="2">
        <v>500000</v>
      </c>
      <c r="AA14" s="2">
        <f>X14-Y14</f>
        <v>600000</v>
      </c>
      <c r="AB14" s="18">
        <f>IF(AND(Y4&gt;0,X12=Y12),IF(AD3&gt;Y4,(Y4/2),(AD3/2)),0)</f>
        <v>2100000</v>
      </c>
      <c r="AC14" s="18">
        <f>IF(AND(Y4&gt;0,X12=Y12),IF(AD3&gt;(Y4/2),(Y4/2),(AD3)),0)</f>
        <v>4000000</v>
      </c>
      <c r="AF14" s="2"/>
      <c r="AG14" s="2"/>
    </row>
    <row r="15" spans="3:34" x14ac:dyDescent="0.25">
      <c r="D15" s="2"/>
      <c r="E15" s="2"/>
      <c r="F15" s="2"/>
      <c r="W15" s="1" t="s">
        <v>25</v>
      </c>
      <c r="Y15" s="2">
        <f>Y4</f>
        <v>8000000</v>
      </c>
      <c r="AA15" s="2"/>
      <c r="AB15" s="18">
        <f>IF(AND(Y4&gt;0,X12=Y12),IF(AC3&gt;Y4,(Y4/2),(AC3/2)),0)</f>
        <v>2100000</v>
      </c>
      <c r="AC15" s="18">
        <f>IF(AND(Y4&gt;0,X12=Y12),IF(AC3&gt;(Y4/2),(Y4/2),(AC3)),0)</f>
        <v>4000000</v>
      </c>
    </row>
    <row r="16" spans="3:34" x14ac:dyDescent="0.25">
      <c r="C16" s="3" t="s">
        <v>7</v>
      </c>
      <c r="D16" s="2">
        <f>D10-D11</f>
        <v>3803304.5962983067</v>
      </c>
      <c r="E16" s="5">
        <f t="shared" ref="E16:F16" si="2">E10-E11</f>
        <v>0</v>
      </c>
      <c r="F16" s="5">
        <f t="shared" si="2"/>
        <v>0</v>
      </c>
      <c r="H16" s="2">
        <f>H10-H11</f>
        <v>3803304.5962983067</v>
      </c>
      <c r="M16" s="2">
        <f>M10-M11</f>
        <v>3803304.5962983067</v>
      </c>
      <c r="Q16" s="2">
        <f>Q10-Q11</f>
        <v>3803304.5962983067</v>
      </c>
      <c r="W16" s="1" t="s">
        <v>26</v>
      </c>
    </row>
    <row r="17" spans="3:32" x14ac:dyDescent="0.25">
      <c r="D17" s="2"/>
      <c r="E17" s="2"/>
      <c r="F17" s="2"/>
    </row>
    <row r="18" spans="3:32" x14ac:dyDescent="0.25">
      <c r="C18" s="1" t="s">
        <v>8</v>
      </c>
      <c r="D18" s="5">
        <v>0</v>
      </c>
      <c r="E18" s="2">
        <f>D16-F18</f>
        <v>789839.98219830589</v>
      </c>
      <c r="F18" s="2">
        <f>F8</f>
        <v>3013464.6141000008</v>
      </c>
      <c r="M18" s="5">
        <v>0</v>
      </c>
      <c r="N18" s="15">
        <f>N4</f>
        <v>1901652.2981491534</v>
      </c>
      <c r="O18" s="15">
        <f>O4</f>
        <v>1901652.2981491534</v>
      </c>
      <c r="Q18" s="5">
        <v>0</v>
      </c>
      <c r="R18" s="15">
        <f>R4</f>
        <v>1901652.2981491534</v>
      </c>
      <c r="S18" s="15">
        <f>S4</f>
        <v>1901652.2981491534</v>
      </c>
      <c r="AC18" s="2" t="s">
        <v>3</v>
      </c>
      <c r="AD18" s="2" t="s">
        <v>2</v>
      </c>
    </row>
    <row r="19" spans="3:32" x14ac:dyDescent="0.25">
      <c r="D19" s="2"/>
      <c r="E19" s="2"/>
      <c r="F19" s="2"/>
      <c r="AB19" s="1" t="s">
        <v>0</v>
      </c>
      <c r="AC19" s="2">
        <f>AC3</f>
        <v>4200000</v>
      </c>
      <c r="AD19" s="2">
        <f>AD3</f>
        <v>4200000</v>
      </c>
    </row>
    <row r="20" spans="3:32" x14ac:dyDescent="0.25">
      <c r="C20" s="3" t="s">
        <v>9</v>
      </c>
      <c r="D20" s="6">
        <f>D16-D13-D14</f>
        <v>0</v>
      </c>
      <c r="E20" s="6">
        <f>E16</f>
        <v>0</v>
      </c>
      <c r="F20" s="6">
        <f>F16</f>
        <v>0</v>
      </c>
      <c r="H20" s="5">
        <f>H10-H11-H16</f>
        <v>0</v>
      </c>
      <c r="I20" s="5">
        <f>I10-I11</f>
        <v>0</v>
      </c>
      <c r="J20" s="10">
        <f>J10-J11</f>
        <v>789839.98219830613</v>
      </c>
      <c r="L20" s="3" t="s">
        <v>18</v>
      </c>
      <c r="M20" s="12">
        <f>M16-M13-M14</f>
        <v>3803304.5962983067</v>
      </c>
      <c r="N20" s="12">
        <f>N16</f>
        <v>0</v>
      </c>
      <c r="O20" s="12">
        <f>O16</f>
        <v>0</v>
      </c>
      <c r="Q20" s="12">
        <f>Q16-Q13-Q14</f>
        <v>3803304.5962983067</v>
      </c>
      <c r="R20" s="12">
        <f>R16</f>
        <v>0</v>
      </c>
      <c r="S20" s="12">
        <f>S16</f>
        <v>0</v>
      </c>
      <c r="AB20" s="1" t="s">
        <v>29</v>
      </c>
      <c r="AC20" s="1">
        <f>AC6</f>
        <v>3400000</v>
      </c>
      <c r="AD20" s="1">
        <f>AD5</f>
        <v>4600000</v>
      </c>
    </row>
    <row r="21" spans="3:32" x14ac:dyDescent="0.25">
      <c r="D21" s="2"/>
      <c r="E21" s="2"/>
      <c r="F21" s="2"/>
      <c r="AB21" s="1" t="s">
        <v>30</v>
      </c>
      <c r="AC21" s="2">
        <f>IF(AND((AC19-AC20)&gt;0,X14&gt;0),IF(AC19-AC20&gt;X14,X14,AC19-AC20),0)</f>
        <v>800000</v>
      </c>
      <c r="AD21" s="2">
        <f>IF(AND((AD19-AD20)&gt;0,Y14&gt;0),IF(AD19-AD20&gt;Y14,Y14,AD19-AD20),0)</f>
        <v>0</v>
      </c>
    </row>
    <row r="22" spans="3:32" x14ac:dyDescent="0.25">
      <c r="D22" s="2"/>
      <c r="E22" s="2"/>
      <c r="F22" s="2"/>
      <c r="AB22" s="1" t="s">
        <v>31</v>
      </c>
      <c r="AC22" s="2">
        <f>IF(AC19-AC20-AC21&gt;0,AC19-AC20-AC21,0)</f>
        <v>0</v>
      </c>
      <c r="AD22" s="2">
        <f>IF(AD19-AD20-AD21&gt;0,AD19-AD20-AD21,0)</f>
        <v>0</v>
      </c>
      <c r="AF22" s="2"/>
    </row>
    <row r="23" spans="3:32" x14ac:dyDescent="0.25">
      <c r="C23" s="1" t="s">
        <v>16</v>
      </c>
      <c r="D23" s="2">
        <f>D8-D18</f>
        <v>0</v>
      </c>
      <c r="E23" s="7">
        <f>E8-E18</f>
        <v>2223624.6319016949</v>
      </c>
      <c r="F23" s="2">
        <f>F8-F18</f>
        <v>0</v>
      </c>
      <c r="H23" s="2">
        <f>H8-H18</f>
        <v>0</v>
      </c>
      <c r="I23" s="9">
        <f>I8-I20</f>
        <v>3013464.6141000008</v>
      </c>
      <c r="J23" s="8">
        <f>J8</f>
        <v>0</v>
      </c>
      <c r="L23" s="3" t="s">
        <v>19</v>
      </c>
      <c r="M23" s="5">
        <f>M8-M18</f>
        <v>0</v>
      </c>
      <c r="N23" s="13">
        <f>N8-N20</f>
        <v>1111812.3159508472</v>
      </c>
      <c r="O23" s="15">
        <f>O8</f>
        <v>1111812.3159508472</v>
      </c>
      <c r="Q23" s="5">
        <f>Q8-Q18</f>
        <v>0</v>
      </c>
      <c r="R23" s="13">
        <f>R8-R20</f>
        <v>1111812.3159508472</v>
      </c>
      <c r="S23" s="15">
        <f>S8</f>
        <v>1111812.3159508472</v>
      </c>
    </row>
    <row r="24" spans="3:32" x14ac:dyDescent="0.25">
      <c r="D24" s="2"/>
      <c r="E24" s="2"/>
      <c r="F24" s="2"/>
      <c r="AB24" s="1" t="s">
        <v>34</v>
      </c>
      <c r="AC24" s="2">
        <f>X14</f>
        <v>1100000</v>
      </c>
      <c r="AD24" s="2">
        <f>Y14</f>
        <v>500000</v>
      </c>
    </row>
    <row r="25" spans="3:32" x14ac:dyDescent="0.25">
      <c r="D25" s="2"/>
      <c r="E25" s="2"/>
      <c r="F25" s="2"/>
      <c r="AB25" s="1" t="s">
        <v>35</v>
      </c>
      <c r="AC25" s="2">
        <f>AC21</f>
        <v>800000</v>
      </c>
      <c r="AD25" s="2">
        <f>AD21</f>
        <v>0</v>
      </c>
    </row>
    <row r="26" spans="3:32" x14ac:dyDescent="0.25">
      <c r="D26" s="2"/>
      <c r="E26" s="2"/>
      <c r="F26" s="2"/>
      <c r="AB26" s="1" t="s">
        <v>36</v>
      </c>
      <c r="AC26" s="2">
        <f>AC24-AC25</f>
        <v>300000</v>
      </c>
      <c r="AD26" s="2">
        <f>AD24-AD25</f>
        <v>500000</v>
      </c>
    </row>
    <row r="27" spans="3:32" x14ac:dyDescent="0.25">
      <c r="D27" s="2"/>
      <c r="E27" s="2"/>
      <c r="F27" s="2"/>
    </row>
    <row r="28" spans="3:32" x14ac:dyDescent="0.25">
      <c r="D28" s="2"/>
      <c r="E28" s="2"/>
      <c r="F28" s="2"/>
    </row>
    <row r="29" spans="3:32" x14ac:dyDescent="0.25">
      <c r="D29" s="2"/>
      <c r="E29" s="2"/>
      <c r="F29" s="2"/>
    </row>
    <row r="30" spans="3:32" x14ac:dyDescent="0.25">
      <c r="D30" s="2"/>
      <c r="E30" s="2"/>
      <c r="F30" s="2"/>
    </row>
    <row r="31" spans="3:32" x14ac:dyDescent="0.25">
      <c r="D31" s="2"/>
      <c r="E31" s="2"/>
      <c r="F31" s="2"/>
    </row>
    <row r="32" spans="3:32" x14ac:dyDescent="0.25">
      <c r="D32" s="2"/>
      <c r="E32" s="2"/>
      <c r="F32" s="2"/>
    </row>
    <row r="33" spans="4:6" x14ac:dyDescent="0.25">
      <c r="D33" s="2"/>
      <c r="E33" s="2"/>
      <c r="F33" s="2"/>
    </row>
    <row r="34" spans="4:6" x14ac:dyDescent="0.25">
      <c r="D34" s="2"/>
      <c r="E34" s="2"/>
      <c r="F34" s="2"/>
    </row>
    <row r="35" spans="4:6" x14ac:dyDescent="0.25">
      <c r="D35" s="2"/>
      <c r="E35" s="2"/>
      <c r="F35" s="2"/>
    </row>
    <row r="36" spans="4:6" x14ac:dyDescent="0.25">
      <c r="D36" s="2"/>
      <c r="E36" s="2"/>
      <c r="F36" s="2"/>
    </row>
    <row r="37" spans="4:6" x14ac:dyDescent="0.25">
      <c r="D37" s="2"/>
      <c r="E37" s="2"/>
      <c r="F37" s="2"/>
    </row>
    <row r="38" spans="4:6" x14ac:dyDescent="0.25">
      <c r="D38" s="2"/>
      <c r="E38" s="2"/>
      <c r="F38" s="2"/>
    </row>
    <row r="39" spans="4:6" x14ac:dyDescent="0.25">
      <c r="D39" s="2"/>
      <c r="E39" s="2"/>
      <c r="F39" s="2"/>
    </row>
    <row r="40" spans="4:6" x14ac:dyDescent="0.25">
      <c r="D40" s="2"/>
      <c r="E40" s="2"/>
      <c r="F40" s="2"/>
    </row>
    <row r="41" spans="4:6" x14ac:dyDescent="0.25">
      <c r="D41" s="2"/>
      <c r="E41" s="2"/>
      <c r="F41" s="2"/>
    </row>
    <row r="42" spans="4:6" x14ac:dyDescent="0.25">
      <c r="D42" s="2"/>
      <c r="E42" s="2"/>
      <c r="F42" s="2"/>
    </row>
    <row r="43" spans="4:6" x14ac:dyDescent="0.25">
      <c r="D43" s="2"/>
      <c r="E43" s="2"/>
      <c r="F43" s="2"/>
    </row>
    <row r="44" spans="4:6" x14ac:dyDescent="0.25">
      <c r="D44" s="2"/>
      <c r="E44" s="2"/>
      <c r="F44" s="2"/>
    </row>
    <row r="45" spans="4:6" x14ac:dyDescent="0.25">
      <c r="D45" s="2"/>
      <c r="E45" s="2"/>
      <c r="F45" s="2"/>
    </row>
    <row r="46" spans="4:6" x14ac:dyDescent="0.25">
      <c r="D46" s="2"/>
      <c r="E46" s="2"/>
      <c r="F46" s="2"/>
    </row>
    <row r="47" spans="4:6" x14ac:dyDescent="0.25">
      <c r="D47" s="2"/>
      <c r="E47" s="2"/>
      <c r="F47" s="2"/>
    </row>
    <row r="48" spans="4:6" x14ac:dyDescent="0.25">
      <c r="D48" s="2"/>
      <c r="E48" s="2"/>
      <c r="F48" s="2"/>
    </row>
    <row r="49" spans="4:6" x14ac:dyDescent="0.25">
      <c r="D49" s="2"/>
      <c r="E49" s="2"/>
      <c r="F49" s="2"/>
    </row>
    <row r="50" spans="4:6" x14ac:dyDescent="0.25">
      <c r="D50" s="2"/>
      <c r="E50" s="2"/>
      <c r="F50" s="2"/>
    </row>
    <row r="51" spans="4:6" x14ac:dyDescent="0.25">
      <c r="D51" s="2"/>
      <c r="E51" s="2"/>
      <c r="F51" s="2"/>
    </row>
    <row r="52" spans="4:6" x14ac:dyDescent="0.25">
      <c r="D52" s="2"/>
      <c r="E52" s="2"/>
      <c r="F52" s="2"/>
    </row>
    <row r="53" spans="4:6" x14ac:dyDescent="0.25">
      <c r="D53" s="2"/>
      <c r="E53" s="2"/>
      <c r="F53" s="2"/>
    </row>
    <row r="54" spans="4:6" x14ac:dyDescent="0.25">
      <c r="D54" s="2"/>
      <c r="E54" s="2"/>
      <c r="F54" s="2"/>
    </row>
    <row r="55" spans="4:6" x14ac:dyDescent="0.25">
      <c r="D55" s="2"/>
      <c r="E55" s="2"/>
      <c r="F55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5773F-C2AD-4473-8721-C1E5C7FCAF34}">
  <dimension ref="C1:AH55"/>
  <sheetViews>
    <sheetView topLeftCell="AB1" workbookViewId="0">
      <selection activeCell="G8" sqref="A1:XFD1048576"/>
    </sheetView>
  </sheetViews>
  <sheetFormatPr defaultColWidth="9.140625" defaultRowHeight="15" x14ac:dyDescent="0.25"/>
  <cols>
    <col min="1" max="2" width="9.140625" style="1"/>
    <col min="3" max="3" width="41.5703125" style="1" hidden="1" customWidth="1"/>
    <col min="4" max="4" width="9.85546875" style="1" hidden="1" customWidth="1"/>
    <col min="5" max="5" width="10.140625" style="1" hidden="1" customWidth="1"/>
    <col min="6" max="6" width="9.85546875" style="1" hidden="1" customWidth="1"/>
    <col min="7" max="7" width="0" style="1" hidden="1" customWidth="1"/>
    <col min="8" max="8" width="9.85546875" style="1" hidden="1" customWidth="1"/>
    <col min="9" max="9" width="10.140625" style="2" hidden="1" customWidth="1"/>
    <col min="10" max="10" width="9.85546875" style="1" hidden="1" customWidth="1"/>
    <col min="11" max="12" width="0" style="1" hidden="1" customWidth="1"/>
    <col min="13" max="13" width="12.42578125" style="1" hidden="1" customWidth="1"/>
    <col min="14" max="14" width="12.28515625" style="1" hidden="1" customWidth="1"/>
    <col min="15" max="15" width="14" style="1" hidden="1" customWidth="1"/>
    <col min="16" max="16" width="0" style="1" hidden="1" customWidth="1"/>
    <col min="17" max="17" width="11.5703125" style="1" hidden="1" customWidth="1"/>
    <col min="18" max="19" width="11.28515625" style="1" hidden="1" customWidth="1"/>
    <col min="20" max="21" width="0" style="1" hidden="1" customWidth="1"/>
    <col min="22" max="22" width="9.140625" style="1"/>
    <col min="23" max="23" width="29.7109375" style="1" bestFit="1" customWidth="1"/>
    <col min="24" max="25" width="9.85546875" style="2" bestFit="1" customWidth="1"/>
    <col min="26" max="26" width="2.140625" style="1" customWidth="1"/>
    <col min="27" max="27" width="9.140625" style="1"/>
    <col min="28" max="28" width="26.42578125" style="1" bestFit="1" customWidth="1"/>
    <col min="29" max="30" width="8.85546875" style="1" bestFit="1" customWidth="1"/>
    <col min="31" max="16384" width="9.140625" style="1"/>
  </cols>
  <sheetData>
    <row r="1" spans="3:34" x14ac:dyDescent="0.25">
      <c r="C1" s="11" t="s">
        <v>11</v>
      </c>
      <c r="H1" s="11" t="s">
        <v>10</v>
      </c>
      <c r="M1" s="11" t="s">
        <v>20</v>
      </c>
      <c r="Q1" s="16" t="s">
        <v>20</v>
      </c>
    </row>
    <row r="2" spans="3:34" x14ac:dyDescent="0.25">
      <c r="D2" s="3" t="s">
        <v>1</v>
      </c>
      <c r="E2" s="3" t="s">
        <v>3</v>
      </c>
      <c r="F2" s="3" t="s">
        <v>2</v>
      </c>
      <c r="H2" s="3" t="s">
        <v>1</v>
      </c>
      <c r="I2" s="4" t="s">
        <v>3</v>
      </c>
      <c r="J2" s="3" t="s">
        <v>2</v>
      </c>
      <c r="M2" s="3" t="s">
        <v>1</v>
      </c>
      <c r="N2" s="4" t="s">
        <v>3</v>
      </c>
      <c r="O2" s="3" t="s">
        <v>2</v>
      </c>
      <c r="Q2" s="1" t="s">
        <v>1</v>
      </c>
      <c r="R2" s="1" t="s">
        <v>3</v>
      </c>
      <c r="S2" s="1" t="s">
        <v>2</v>
      </c>
      <c r="W2" s="20" t="s">
        <v>23</v>
      </c>
      <c r="AC2" s="4" t="s">
        <v>3</v>
      </c>
      <c r="AD2" s="4" t="s">
        <v>2</v>
      </c>
    </row>
    <row r="3" spans="3:34" x14ac:dyDescent="0.25">
      <c r="C3" s="3" t="s">
        <v>0</v>
      </c>
      <c r="D3" s="2">
        <v>1532192.4137016949</v>
      </c>
      <c r="E3" s="2">
        <v>3853616.0441000005</v>
      </c>
      <c r="F3" s="2">
        <v>3853616.0441000005</v>
      </c>
      <c r="H3" s="2">
        <v>1532192.4137016949</v>
      </c>
      <c r="I3" s="2">
        <v>3853616.0441000005</v>
      </c>
      <c r="J3" s="2">
        <v>3853616.0441000005</v>
      </c>
      <c r="M3" s="2">
        <v>1532192.4137016949</v>
      </c>
      <c r="N3" s="2">
        <v>3853616.0441000005</v>
      </c>
      <c r="O3" s="2">
        <v>3853616.0441000005</v>
      </c>
      <c r="Q3" s="2">
        <v>1532192.4137016949</v>
      </c>
      <c r="R3" s="2">
        <v>3853616.0441000005</v>
      </c>
      <c r="S3" s="2">
        <v>3853616.0441000005</v>
      </c>
      <c r="AB3" s="1" t="s">
        <v>0</v>
      </c>
      <c r="AC3" s="2">
        <v>4200000</v>
      </c>
      <c r="AD3" s="2">
        <v>4200000</v>
      </c>
    </row>
    <row r="4" spans="3:34" x14ac:dyDescent="0.25">
      <c r="C4" s="3" t="s">
        <v>14</v>
      </c>
      <c r="D4" s="2">
        <v>0</v>
      </c>
      <c r="E4" s="2">
        <v>0</v>
      </c>
      <c r="F4" s="2">
        <v>0</v>
      </c>
      <c r="H4" s="2"/>
      <c r="J4" s="2">
        <f>H16</f>
        <v>3803304.5962983067</v>
      </c>
      <c r="N4" s="14">
        <f>M16/2</f>
        <v>1901652.2981491534</v>
      </c>
      <c r="O4" s="14">
        <f>N4</f>
        <v>1901652.2981491534</v>
      </c>
      <c r="R4" s="14">
        <f>Q16/2</f>
        <v>1901652.2981491534</v>
      </c>
      <c r="S4" s="14">
        <f>R4</f>
        <v>1901652.2981491534</v>
      </c>
      <c r="W4" s="1" t="s">
        <v>25</v>
      </c>
      <c r="Y4" s="2">
        <v>8000000</v>
      </c>
      <c r="AC4" s="2"/>
      <c r="AD4" s="2"/>
    </row>
    <row r="5" spans="3:34" x14ac:dyDescent="0.25">
      <c r="C5" s="3" t="s">
        <v>17</v>
      </c>
      <c r="D5" s="2"/>
      <c r="E5" s="2"/>
      <c r="F5" s="2"/>
      <c r="H5" s="2"/>
      <c r="J5" s="2">
        <f>J3-J4</f>
        <v>50311.447801693808</v>
      </c>
      <c r="N5" s="2">
        <f t="shared" ref="N5:O5" si="0">N3-N4</f>
        <v>1951963.7459508472</v>
      </c>
      <c r="O5" s="2">
        <f t="shared" si="0"/>
        <v>1951963.7459508472</v>
      </c>
      <c r="R5" s="2">
        <f t="shared" ref="R5:S5" si="1">R3-R4</f>
        <v>1951963.7459508472</v>
      </c>
      <c r="S5" s="2">
        <f t="shared" si="1"/>
        <v>1951963.7459508472</v>
      </c>
      <c r="AB5" s="1" t="s">
        <v>22</v>
      </c>
      <c r="AC5" s="2"/>
      <c r="AD5" s="19">
        <f>IF(AND(Y4&gt;0,X14=Y14),IF(AD3&gt;(Y4/2),(Y4/2),(AD3)),IF(AND(Y4&gt;0,Y4/2-AD3&lt;0),IF(AND(AD3&gt;(Y4/2),(Y4/2)+X14-Y14)&gt;0,(Y4/2)+X14-Y14),AD3))</f>
        <v>3600000</v>
      </c>
    </row>
    <row r="6" spans="3:34" x14ac:dyDescent="0.25">
      <c r="C6" s="1" t="s">
        <v>4</v>
      </c>
      <c r="D6" s="2">
        <f>D3</f>
        <v>1532192.4137016949</v>
      </c>
      <c r="E6" s="2">
        <v>840151.42999999993</v>
      </c>
      <c r="F6" s="2">
        <v>840151.42999999993</v>
      </c>
      <c r="H6" s="2">
        <v>1532192.4137016949</v>
      </c>
      <c r="I6" s="2">
        <f>I10</f>
        <v>840151.42999999993</v>
      </c>
      <c r="J6" s="2">
        <f>J5</f>
        <v>50311.447801693808</v>
      </c>
      <c r="M6" s="2">
        <v>1532192.4137016949</v>
      </c>
      <c r="N6" s="2">
        <f>N10</f>
        <v>840151.42999999993</v>
      </c>
      <c r="O6" s="2">
        <f>O10</f>
        <v>840151.42999999993</v>
      </c>
      <c r="Q6" s="1">
        <v>1532192.4137016949</v>
      </c>
      <c r="R6" s="2">
        <f>R10</f>
        <v>840151.42999999993</v>
      </c>
      <c r="S6" s="2">
        <f>S10</f>
        <v>840151.42999999993</v>
      </c>
      <c r="X6" s="17"/>
      <c r="Y6" s="17"/>
      <c r="AB6" s="1" t="s">
        <v>24</v>
      </c>
      <c r="AC6" s="19">
        <f>IF(AND(Y4&gt;0,X14=Y14),IF(AC3&gt;(Y4/2),(Y4/2),(AC3)),IF(AND(Y4&gt;0,Y4/2-AC3&lt;0),IF(AC3&gt;(Y4/2),(Y4/2)-X14+Y14),AC3))</f>
        <v>4400000</v>
      </c>
      <c r="AD6" s="2"/>
      <c r="AH6" s="1" t="s">
        <v>39</v>
      </c>
    </row>
    <row r="7" spans="3:34" x14ac:dyDescent="0.25">
      <c r="C7" s="3"/>
      <c r="D7" s="2"/>
      <c r="E7" s="2"/>
      <c r="F7" s="2"/>
      <c r="AB7" s="1" t="s">
        <v>6</v>
      </c>
      <c r="AC7" s="2">
        <f>AC3-AC6</f>
        <v>-200000</v>
      </c>
      <c r="AD7" s="2">
        <f>AD3-AD5</f>
        <v>600000</v>
      </c>
    </row>
    <row r="8" spans="3:34" x14ac:dyDescent="0.25">
      <c r="C8" s="3" t="s">
        <v>6</v>
      </c>
      <c r="D8" s="5">
        <f>D3-D6</f>
        <v>0</v>
      </c>
      <c r="E8" s="2">
        <f>E3-E6</f>
        <v>3013464.6141000008</v>
      </c>
      <c r="F8" s="2">
        <f>F3-F6</f>
        <v>3013464.6141000008</v>
      </c>
      <c r="H8" s="5">
        <f>H3-H6</f>
        <v>0</v>
      </c>
      <c r="I8" s="2">
        <f>I3-I6</f>
        <v>3013464.6141000008</v>
      </c>
      <c r="J8" s="5">
        <f>J3-J4-J6</f>
        <v>0</v>
      </c>
      <c r="M8" s="5">
        <f>M3-M6</f>
        <v>0</v>
      </c>
      <c r="N8" s="2">
        <f>N5-N6</f>
        <v>1111812.3159508472</v>
      </c>
      <c r="O8" s="2">
        <f>O5-O6</f>
        <v>1111812.3159508472</v>
      </c>
      <c r="Q8" s="5">
        <f>Q3-Q6</f>
        <v>0</v>
      </c>
      <c r="R8" s="2">
        <f>R5-R6</f>
        <v>1111812.3159508472</v>
      </c>
      <c r="S8" s="2">
        <f>S5-S6</f>
        <v>1111812.3159508472</v>
      </c>
      <c r="AE8" s="1" t="s">
        <v>2</v>
      </c>
      <c r="AF8" s="1">
        <f>IF(X14=Y14,IF(AND(Y4&gt;0,X14=Y14),IF(AD3&gt;(Y4/2),(Y4/2),(AD3)),IF(AND(Y4&gt;0,Y4/2-AD3&lt;0),IF(AND(AD3&gt;(Y4/2),(Y4/2)+X14-Y14)&gt;0,(Y4/2)+X14-Y14),AD3)),IF((AD3)-((Y4/2)+(X14-Y14))&lt;0,((Y4/2)+X14-Y14)+(AD3)-((Y4/2)+(X14-Y14)),(Y4/2)+(X14-Y14)))</f>
        <v>3600000</v>
      </c>
    </row>
    <row r="9" spans="3:34" x14ac:dyDescent="0.25">
      <c r="C9" s="3"/>
      <c r="D9" s="2"/>
      <c r="E9" s="2"/>
      <c r="F9" s="2"/>
      <c r="AE9" s="1" t="s">
        <v>3</v>
      </c>
      <c r="AF9" s="1">
        <f>IF(X14=Y14,IF(AND(Y4&gt;0,X14=Y14),IF(AC3&gt;(Y4/2),(Y4/2),(AC3)),IF(AND(Y4&gt;0,Y4/2-AC3&lt;0),IF(AC3&gt;(Y4/2),(Y4/2)-X14+Y14),AC3)),IF((AD3)-((Y4/2)+(Y14-X14))&lt;0,((Y4/2)+Y14-X14)+(AD3)-((Y4/2)+(Y14-X14)),(Y4/2)+(Y14-X14))-((AD3)-((Y4/2)+(X14-Y14))))</f>
        <v>3600000</v>
      </c>
      <c r="AG9" s="1">
        <f>((AD3)-((Y4/2)+(Y14-X14)))</f>
        <v>-200000</v>
      </c>
      <c r="AH9" s="1" t="s">
        <v>40</v>
      </c>
    </row>
    <row r="10" spans="3:34" x14ac:dyDescent="0.25">
      <c r="C10" s="3" t="s">
        <v>5</v>
      </c>
      <c r="D10" s="2">
        <v>5335497.0100000016</v>
      </c>
      <c r="E10" s="2">
        <v>840151.42999999993</v>
      </c>
      <c r="F10" s="2">
        <v>840151.42999999993</v>
      </c>
      <c r="H10" s="2">
        <v>5335497.0100000016</v>
      </c>
      <c r="I10" s="2">
        <v>840151.42999999993</v>
      </c>
      <c r="J10" s="2">
        <v>840151.42999999993</v>
      </c>
      <c r="M10" s="2">
        <v>5335497.0100000016</v>
      </c>
      <c r="N10" s="2">
        <v>840151.42999999993</v>
      </c>
      <c r="O10" s="2">
        <v>840151.42999999993</v>
      </c>
      <c r="Q10" s="1">
        <v>5335497.0100000016</v>
      </c>
      <c r="R10" s="1">
        <v>840151.42999999993</v>
      </c>
      <c r="S10" s="1">
        <v>840151.42999999993</v>
      </c>
      <c r="AC10" s="1">
        <v>3800000</v>
      </c>
      <c r="AD10" s="1">
        <v>4200000</v>
      </c>
      <c r="AG10" s="1">
        <f>((Y4/2)+Y14-X14)+(AD3)-((Y4/2)+(Y14-X14))</f>
        <v>4200000</v>
      </c>
      <c r="AH10" s="1" t="s">
        <v>41</v>
      </c>
    </row>
    <row r="11" spans="3:34" x14ac:dyDescent="0.25">
      <c r="C11" s="1" t="s">
        <v>4</v>
      </c>
      <c r="D11" s="2">
        <f>D6</f>
        <v>1532192.4137016949</v>
      </c>
      <c r="E11" s="2">
        <f>E6</f>
        <v>840151.42999999993</v>
      </c>
      <c r="F11" s="2">
        <f>F6</f>
        <v>840151.42999999993</v>
      </c>
      <c r="H11" s="2">
        <f>H6</f>
        <v>1532192.4137016949</v>
      </c>
      <c r="I11" s="2">
        <f>I6</f>
        <v>840151.42999999993</v>
      </c>
      <c r="J11" s="2">
        <f>J6</f>
        <v>50311.447801693808</v>
      </c>
      <c r="M11" s="2">
        <f>M6</f>
        <v>1532192.4137016949</v>
      </c>
      <c r="N11" s="2">
        <f>N6</f>
        <v>840151.42999999993</v>
      </c>
      <c r="O11" s="2">
        <f>O6</f>
        <v>840151.42999999993</v>
      </c>
      <c r="Q11" s="2">
        <f>Q6</f>
        <v>1532192.4137016949</v>
      </c>
      <c r="R11" s="2">
        <f>R6</f>
        <v>840151.42999999993</v>
      </c>
      <c r="S11" s="2">
        <f>S6</f>
        <v>840151.42999999993</v>
      </c>
      <c r="AG11" s="1">
        <f>(Y4/2)+(Y14-X14)</f>
        <v>4400000</v>
      </c>
      <c r="AH11" s="1" t="s">
        <v>42</v>
      </c>
    </row>
    <row r="12" spans="3:34" x14ac:dyDescent="0.25">
      <c r="C12" s="3" t="s">
        <v>15</v>
      </c>
      <c r="D12" s="2"/>
      <c r="E12" s="2"/>
      <c r="F12" s="2"/>
      <c r="H12" s="2"/>
      <c r="AF12" s="2"/>
    </row>
    <row r="13" spans="3:34" x14ac:dyDescent="0.25">
      <c r="C13" s="1" t="s">
        <v>12</v>
      </c>
      <c r="D13" s="2">
        <f>F18</f>
        <v>3013464.6141000008</v>
      </c>
      <c r="E13" s="2"/>
      <c r="F13" s="2"/>
      <c r="H13" s="2">
        <v>3803304.5962983067</v>
      </c>
      <c r="M13" s="5">
        <v>0</v>
      </c>
      <c r="Q13" s="1">
        <v>0</v>
      </c>
      <c r="X13" s="2" t="s">
        <v>3</v>
      </c>
      <c r="Y13" s="2" t="s">
        <v>2</v>
      </c>
    </row>
    <row r="14" spans="3:34" x14ac:dyDescent="0.25">
      <c r="C14" s="1" t="s">
        <v>13</v>
      </c>
      <c r="D14" s="2">
        <f>E18</f>
        <v>789839.98219830589</v>
      </c>
      <c r="E14" s="2"/>
      <c r="F14" s="2"/>
      <c r="H14" s="5">
        <v>0</v>
      </c>
      <c r="M14" s="5">
        <v>0</v>
      </c>
      <c r="Q14" s="1">
        <v>0</v>
      </c>
      <c r="W14" s="1" t="s">
        <v>21</v>
      </c>
      <c r="X14" s="2">
        <v>1500000</v>
      </c>
      <c r="Y14" s="2">
        <v>1900000</v>
      </c>
      <c r="AA14" s="2">
        <f>X14-Y14</f>
        <v>-400000</v>
      </c>
      <c r="AB14" s="18">
        <f>IF(AND(Y4&gt;0,X12=Y12),IF(AD3&gt;Y4,(Y4/2),(AD3/2)),0)</f>
        <v>2100000</v>
      </c>
      <c r="AC14" s="18">
        <f>IF(AND(Y4&gt;0,X12=Y12),IF(AD3&gt;(Y4/2),(Y4/2),(AD3)),0)</f>
        <v>4000000</v>
      </c>
      <c r="AF14" s="2"/>
      <c r="AG14" s="2"/>
    </row>
    <row r="15" spans="3:34" x14ac:dyDescent="0.25">
      <c r="D15" s="2"/>
      <c r="E15" s="2"/>
      <c r="F15" s="2"/>
      <c r="W15" s="1" t="s">
        <v>25</v>
      </c>
      <c r="Y15" s="2">
        <f>Y4</f>
        <v>8000000</v>
      </c>
      <c r="AA15" s="2"/>
      <c r="AB15" s="18">
        <f>IF(AND(Y4&gt;0,X12=Y12),IF(AC3&gt;Y4,(Y4/2),(AC3/2)),0)</f>
        <v>2100000</v>
      </c>
      <c r="AC15" s="18">
        <f>IF(AND(Y4&gt;0,X12=Y12),IF(AC3&gt;(Y4/2),(Y4/2),(AC3)),0)</f>
        <v>4000000</v>
      </c>
    </row>
    <row r="16" spans="3:34" x14ac:dyDescent="0.25">
      <c r="C16" s="3" t="s">
        <v>7</v>
      </c>
      <c r="D16" s="2">
        <f>D10-D11</f>
        <v>3803304.5962983067</v>
      </c>
      <c r="E16" s="5">
        <f t="shared" ref="E16:F16" si="2">E10-E11</f>
        <v>0</v>
      </c>
      <c r="F16" s="5">
        <f t="shared" si="2"/>
        <v>0</v>
      </c>
      <c r="H16" s="2">
        <f>H10-H11</f>
        <v>3803304.5962983067</v>
      </c>
      <c r="M16" s="2">
        <f>M10-M11</f>
        <v>3803304.5962983067</v>
      </c>
      <c r="Q16" s="2">
        <f>Q10-Q11</f>
        <v>3803304.5962983067</v>
      </c>
      <c r="W16" s="1" t="s">
        <v>26</v>
      </c>
    </row>
    <row r="17" spans="3:32" x14ac:dyDescent="0.25">
      <c r="D17" s="2"/>
      <c r="E17" s="2"/>
      <c r="F17" s="2"/>
    </row>
    <row r="18" spans="3:32" x14ac:dyDescent="0.25">
      <c r="C18" s="1" t="s">
        <v>8</v>
      </c>
      <c r="D18" s="5">
        <v>0</v>
      </c>
      <c r="E18" s="2">
        <f>D16-F18</f>
        <v>789839.98219830589</v>
      </c>
      <c r="F18" s="2">
        <f>F8</f>
        <v>3013464.6141000008</v>
      </c>
      <c r="M18" s="5">
        <v>0</v>
      </c>
      <c r="N18" s="15">
        <f>N4</f>
        <v>1901652.2981491534</v>
      </c>
      <c r="O18" s="15">
        <f>O4</f>
        <v>1901652.2981491534</v>
      </c>
      <c r="Q18" s="5">
        <v>0</v>
      </c>
      <c r="R18" s="15">
        <f>R4</f>
        <v>1901652.2981491534</v>
      </c>
      <c r="S18" s="15">
        <f>S4</f>
        <v>1901652.2981491534</v>
      </c>
      <c r="AC18" s="2" t="s">
        <v>3</v>
      </c>
      <c r="AD18" s="2" t="s">
        <v>2</v>
      </c>
    </row>
    <row r="19" spans="3:32" x14ac:dyDescent="0.25">
      <c r="D19" s="2"/>
      <c r="E19" s="2"/>
      <c r="F19" s="2"/>
      <c r="AB19" s="1" t="s">
        <v>0</v>
      </c>
      <c r="AC19" s="2">
        <f>AC3</f>
        <v>4200000</v>
      </c>
      <c r="AD19" s="2">
        <f>AD3</f>
        <v>4200000</v>
      </c>
    </row>
    <row r="20" spans="3:32" x14ac:dyDescent="0.25">
      <c r="C20" s="3" t="s">
        <v>9</v>
      </c>
      <c r="D20" s="6">
        <f>D16-D13-D14</f>
        <v>0</v>
      </c>
      <c r="E20" s="6">
        <f>E16</f>
        <v>0</v>
      </c>
      <c r="F20" s="6">
        <f>F16</f>
        <v>0</v>
      </c>
      <c r="H20" s="5">
        <f>H10-H11-H16</f>
        <v>0</v>
      </c>
      <c r="I20" s="5">
        <f>I10-I11</f>
        <v>0</v>
      </c>
      <c r="J20" s="10">
        <f>J10-J11</f>
        <v>789839.98219830613</v>
      </c>
      <c r="L20" s="3" t="s">
        <v>18</v>
      </c>
      <c r="M20" s="12">
        <f>M16-M13-M14</f>
        <v>3803304.5962983067</v>
      </c>
      <c r="N20" s="12">
        <f>N16</f>
        <v>0</v>
      </c>
      <c r="O20" s="12">
        <f>O16</f>
        <v>0</v>
      </c>
      <c r="Q20" s="12">
        <f>Q16-Q13-Q14</f>
        <v>3803304.5962983067</v>
      </c>
      <c r="R20" s="12">
        <f>R16</f>
        <v>0</v>
      </c>
      <c r="S20" s="12">
        <f>S16</f>
        <v>0</v>
      </c>
      <c r="AB20" s="1" t="s">
        <v>29</v>
      </c>
      <c r="AC20" s="1">
        <f>AC6</f>
        <v>4400000</v>
      </c>
      <c r="AD20" s="1">
        <f>AD5</f>
        <v>3600000</v>
      </c>
    </row>
    <row r="21" spans="3:32" x14ac:dyDescent="0.25">
      <c r="D21" s="2"/>
      <c r="E21" s="2"/>
      <c r="F21" s="2"/>
      <c r="AB21" s="1" t="s">
        <v>30</v>
      </c>
      <c r="AC21" s="2">
        <f>IF(AND((AC19-AC20)&gt;0,X14&gt;0),IF(AC19-AC20&gt;X14,X14,AC19-AC20),0)</f>
        <v>0</v>
      </c>
      <c r="AD21" s="2">
        <f>IF(AND((AD19-AD20)&gt;0,Y14&gt;0),IF(AD19-AD20&gt;Y14,Y14,AD19-AD20),0)</f>
        <v>600000</v>
      </c>
    </row>
    <row r="22" spans="3:32" x14ac:dyDescent="0.25">
      <c r="D22" s="2"/>
      <c r="E22" s="2"/>
      <c r="F22" s="2"/>
      <c r="AB22" s="1" t="s">
        <v>31</v>
      </c>
      <c r="AC22" s="2">
        <f>IF(AC19-AC20-AC21&gt;0,AC19-AC20-AC21,0)</f>
        <v>0</v>
      </c>
      <c r="AD22" s="2">
        <f>IF(AD19-AD20-AD21&gt;0,AD19-AD20-AD21,0)</f>
        <v>0</v>
      </c>
      <c r="AF22" s="2"/>
    </row>
    <row r="23" spans="3:32" x14ac:dyDescent="0.25">
      <c r="C23" s="1" t="s">
        <v>16</v>
      </c>
      <c r="D23" s="2">
        <f>D8-D18</f>
        <v>0</v>
      </c>
      <c r="E23" s="7">
        <f>E8-E18</f>
        <v>2223624.6319016949</v>
      </c>
      <c r="F23" s="2">
        <f>F8-F18</f>
        <v>0</v>
      </c>
      <c r="H23" s="2">
        <f>H8-H18</f>
        <v>0</v>
      </c>
      <c r="I23" s="9">
        <f>I8-I20</f>
        <v>3013464.6141000008</v>
      </c>
      <c r="J23" s="8">
        <f>J8</f>
        <v>0</v>
      </c>
      <c r="L23" s="3" t="s">
        <v>19</v>
      </c>
      <c r="M23" s="5">
        <f>M8-M18</f>
        <v>0</v>
      </c>
      <c r="N23" s="13">
        <f>N8-N20</f>
        <v>1111812.3159508472</v>
      </c>
      <c r="O23" s="15">
        <f>O8</f>
        <v>1111812.3159508472</v>
      </c>
      <c r="Q23" s="5">
        <f>Q8-Q18</f>
        <v>0</v>
      </c>
      <c r="R23" s="13">
        <f>R8-R20</f>
        <v>1111812.3159508472</v>
      </c>
      <c r="S23" s="15">
        <f>S8</f>
        <v>1111812.3159508472</v>
      </c>
    </row>
    <row r="24" spans="3:32" x14ac:dyDescent="0.25">
      <c r="D24" s="2"/>
      <c r="E24" s="2"/>
      <c r="F24" s="2"/>
      <c r="AB24" s="1" t="s">
        <v>34</v>
      </c>
      <c r="AC24" s="2">
        <f>X14</f>
        <v>1500000</v>
      </c>
      <c r="AD24" s="2">
        <f>Y14</f>
        <v>1900000</v>
      </c>
    </row>
    <row r="25" spans="3:32" x14ac:dyDescent="0.25">
      <c r="D25" s="2"/>
      <c r="E25" s="2"/>
      <c r="F25" s="2"/>
      <c r="AB25" s="1" t="s">
        <v>35</v>
      </c>
      <c r="AC25" s="2">
        <f>AC21</f>
        <v>0</v>
      </c>
      <c r="AD25" s="2">
        <f>AD21</f>
        <v>600000</v>
      </c>
    </row>
    <row r="26" spans="3:32" x14ac:dyDescent="0.25">
      <c r="D26" s="2"/>
      <c r="E26" s="2"/>
      <c r="F26" s="2"/>
      <c r="AB26" s="1" t="s">
        <v>36</v>
      </c>
      <c r="AC26" s="2">
        <f>AC24-AC25</f>
        <v>1500000</v>
      </c>
      <c r="AD26" s="2">
        <f>AD24-AD25</f>
        <v>1300000</v>
      </c>
    </row>
    <row r="27" spans="3:32" x14ac:dyDescent="0.25">
      <c r="D27" s="2"/>
      <c r="E27" s="2"/>
      <c r="F27" s="2"/>
    </row>
    <row r="28" spans="3:32" x14ac:dyDescent="0.25">
      <c r="D28" s="2"/>
      <c r="E28" s="2"/>
      <c r="F28" s="2"/>
    </row>
    <row r="29" spans="3:32" x14ac:dyDescent="0.25">
      <c r="D29" s="2"/>
      <c r="E29" s="2"/>
      <c r="F29" s="2"/>
    </row>
    <row r="30" spans="3:32" x14ac:dyDescent="0.25">
      <c r="D30" s="2"/>
      <c r="E30" s="2"/>
      <c r="F30" s="2"/>
    </row>
    <row r="31" spans="3:32" x14ac:dyDescent="0.25">
      <c r="D31" s="2"/>
      <c r="E31" s="2"/>
      <c r="F31" s="2"/>
    </row>
    <row r="32" spans="3:32" x14ac:dyDescent="0.25">
      <c r="D32" s="2"/>
      <c r="E32" s="2"/>
      <c r="F32" s="2"/>
    </row>
    <row r="33" spans="4:6" x14ac:dyDescent="0.25">
      <c r="D33" s="2"/>
      <c r="E33" s="2"/>
      <c r="F33" s="2"/>
    </row>
    <row r="34" spans="4:6" x14ac:dyDescent="0.25">
      <c r="D34" s="2"/>
      <c r="E34" s="2"/>
      <c r="F34" s="2"/>
    </row>
    <row r="35" spans="4:6" x14ac:dyDescent="0.25">
      <c r="D35" s="2"/>
      <c r="E35" s="2"/>
      <c r="F35" s="2"/>
    </row>
    <row r="36" spans="4:6" x14ac:dyDescent="0.25">
      <c r="D36" s="2"/>
      <c r="E36" s="2"/>
      <c r="F36" s="2"/>
    </row>
    <row r="37" spans="4:6" x14ac:dyDescent="0.25">
      <c r="D37" s="2"/>
      <c r="E37" s="2"/>
      <c r="F37" s="2"/>
    </row>
    <row r="38" spans="4:6" x14ac:dyDescent="0.25">
      <c r="D38" s="2"/>
      <c r="E38" s="2"/>
      <c r="F38" s="2"/>
    </row>
    <row r="39" spans="4:6" x14ac:dyDescent="0.25">
      <c r="D39" s="2"/>
      <c r="E39" s="2"/>
      <c r="F39" s="2"/>
    </row>
    <row r="40" spans="4:6" x14ac:dyDescent="0.25">
      <c r="D40" s="2"/>
      <c r="E40" s="2"/>
      <c r="F40" s="2"/>
    </row>
    <row r="41" spans="4:6" x14ac:dyDescent="0.25">
      <c r="D41" s="2"/>
      <c r="E41" s="2"/>
      <c r="F41" s="2"/>
    </row>
    <row r="42" spans="4:6" x14ac:dyDescent="0.25">
      <c r="D42" s="2"/>
      <c r="E42" s="2"/>
      <c r="F42" s="2"/>
    </row>
    <row r="43" spans="4:6" x14ac:dyDescent="0.25">
      <c r="D43" s="2"/>
      <c r="E43" s="2"/>
      <c r="F43" s="2"/>
    </row>
    <row r="44" spans="4:6" x14ac:dyDescent="0.25">
      <c r="D44" s="2"/>
      <c r="E44" s="2"/>
      <c r="F44" s="2"/>
    </row>
    <row r="45" spans="4:6" x14ac:dyDescent="0.25">
      <c r="D45" s="2"/>
      <c r="E45" s="2"/>
      <c r="F45" s="2"/>
    </row>
    <row r="46" spans="4:6" x14ac:dyDescent="0.25">
      <c r="D46" s="2"/>
      <c r="E46" s="2"/>
      <c r="F46" s="2"/>
    </row>
    <row r="47" spans="4:6" x14ac:dyDescent="0.25">
      <c r="D47" s="2"/>
      <c r="E47" s="2"/>
      <c r="F47" s="2"/>
    </row>
    <row r="48" spans="4:6" x14ac:dyDescent="0.25">
      <c r="D48" s="2"/>
      <c r="E48" s="2"/>
      <c r="F48" s="2"/>
    </row>
    <row r="49" spans="4:6" x14ac:dyDescent="0.25">
      <c r="D49" s="2"/>
      <c r="E49" s="2"/>
      <c r="F49" s="2"/>
    </row>
    <row r="50" spans="4:6" x14ac:dyDescent="0.25">
      <c r="D50" s="2"/>
      <c r="E50" s="2"/>
      <c r="F50" s="2"/>
    </row>
    <row r="51" spans="4:6" x14ac:dyDescent="0.25">
      <c r="D51" s="2"/>
      <c r="E51" s="2"/>
      <c r="F51" s="2"/>
    </row>
    <row r="52" spans="4:6" x14ac:dyDescent="0.25">
      <c r="D52" s="2"/>
      <c r="E52" s="2"/>
      <c r="F52" s="2"/>
    </row>
    <row r="53" spans="4:6" x14ac:dyDescent="0.25">
      <c r="D53" s="2"/>
      <c r="E53" s="2"/>
      <c r="F53" s="2"/>
    </row>
    <row r="54" spans="4:6" x14ac:dyDescent="0.25">
      <c r="D54" s="2"/>
      <c r="E54" s="2"/>
      <c r="F54" s="2"/>
    </row>
    <row r="55" spans="4:6" x14ac:dyDescent="0.25">
      <c r="D55" s="2"/>
      <c r="E55" s="2"/>
      <c r="F55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F88F3-EC09-4634-B0D3-4FEF9C418EAF}">
  <dimension ref="C1:AH55"/>
  <sheetViews>
    <sheetView workbookViewId="0">
      <selection activeCell="G8" sqref="A1:XFD1048576"/>
    </sheetView>
  </sheetViews>
  <sheetFormatPr defaultColWidth="9.140625" defaultRowHeight="15" x14ac:dyDescent="0.25"/>
  <cols>
    <col min="1" max="2" width="9.140625" style="1"/>
    <col min="3" max="3" width="41.5703125" style="1" hidden="1" customWidth="1"/>
    <col min="4" max="4" width="9.85546875" style="1" hidden="1" customWidth="1"/>
    <col min="5" max="5" width="10.140625" style="1" hidden="1" customWidth="1"/>
    <col min="6" max="6" width="9.85546875" style="1" hidden="1" customWidth="1"/>
    <col min="7" max="7" width="0" style="1" hidden="1" customWidth="1"/>
    <col min="8" max="8" width="9.85546875" style="1" hidden="1" customWidth="1"/>
    <col min="9" max="9" width="10.140625" style="2" hidden="1" customWidth="1"/>
    <col min="10" max="10" width="9.85546875" style="1" hidden="1" customWidth="1"/>
    <col min="11" max="12" width="0" style="1" hidden="1" customWidth="1"/>
    <col min="13" max="13" width="12.42578125" style="1" hidden="1" customWidth="1"/>
    <col min="14" max="14" width="12.28515625" style="1" hidden="1" customWidth="1"/>
    <col min="15" max="15" width="14" style="1" hidden="1" customWidth="1"/>
    <col min="16" max="16" width="0" style="1" hidden="1" customWidth="1"/>
    <col min="17" max="17" width="11.5703125" style="1" hidden="1" customWidth="1"/>
    <col min="18" max="19" width="11.28515625" style="1" hidden="1" customWidth="1"/>
    <col min="20" max="21" width="0" style="1" hidden="1" customWidth="1"/>
    <col min="22" max="22" width="9.140625" style="1"/>
    <col min="23" max="23" width="29.7109375" style="1" bestFit="1" customWidth="1"/>
    <col min="24" max="25" width="9.85546875" style="2" bestFit="1" customWidth="1"/>
    <col min="26" max="26" width="2.140625" style="1" customWidth="1"/>
    <col min="27" max="27" width="9.140625" style="1"/>
    <col min="28" max="28" width="26.42578125" style="1" bestFit="1" customWidth="1"/>
    <col min="29" max="30" width="8.85546875" style="1" bestFit="1" customWidth="1"/>
    <col min="31" max="16384" width="9.140625" style="1"/>
  </cols>
  <sheetData>
    <row r="1" spans="3:34" x14ac:dyDescent="0.25">
      <c r="C1" s="11" t="s">
        <v>11</v>
      </c>
      <c r="H1" s="11" t="s">
        <v>10</v>
      </c>
      <c r="M1" s="11" t="s">
        <v>20</v>
      </c>
      <c r="Q1" s="16" t="s">
        <v>20</v>
      </c>
    </row>
    <row r="2" spans="3:34" x14ac:dyDescent="0.25">
      <c r="D2" s="3" t="s">
        <v>1</v>
      </c>
      <c r="E2" s="3" t="s">
        <v>3</v>
      </c>
      <c r="F2" s="3" t="s">
        <v>2</v>
      </c>
      <c r="H2" s="3" t="s">
        <v>1</v>
      </c>
      <c r="I2" s="4" t="s">
        <v>3</v>
      </c>
      <c r="J2" s="3" t="s">
        <v>2</v>
      </c>
      <c r="M2" s="3" t="s">
        <v>1</v>
      </c>
      <c r="N2" s="4" t="s">
        <v>3</v>
      </c>
      <c r="O2" s="3" t="s">
        <v>2</v>
      </c>
      <c r="Q2" s="1" t="s">
        <v>1</v>
      </c>
      <c r="R2" s="1" t="s">
        <v>3</v>
      </c>
      <c r="S2" s="1" t="s">
        <v>2</v>
      </c>
      <c r="W2" s="20" t="s">
        <v>23</v>
      </c>
      <c r="AC2" s="4" t="s">
        <v>3</v>
      </c>
      <c r="AD2" s="4" t="s">
        <v>2</v>
      </c>
    </row>
    <row r="3" spans="3:34" x14ac:dyDescent="0.25">
      <c r="C3" s="3" t="s">
        <v>0</v>
      </c>
      <c r="D3" s="2">
        <v>1532192.4137016949</v>
      </c>
      <c r="E3" s="2">
        <v>3853616.0441000005</v>
      </c>
      <c r="F3" s="2">
        <v>3853616.0441000005</v>
      </c>
      <c r="H3" s="2">
        <v>1532192.4137016949</v>
      </c>
      <c r="I3" s="2">
        <v>3853616.0441000005</v>
      </c>
      <c r="J3" s="2">
        <v>3853616.0441000005</v>
      </c>
      <c r="M3" s="2">
        <v>1532192.4137016949</v>
      </c>
      <c r="N3" s="2">
        <v>3853616.0441000005</v>
      </c>
      <c r="O3" s="2">
        <v>3853616.0441000005</v>
      </c>
      <c r="Q3" s="2">
        <v>1532192.4137016949</v>
      </c>
      <c r="R3" s="2">
        <v>3853616.0441000005</v>
      </c>
      <c r="S3" s="2">
        <v>3853616.0441000005</v>
      </c>
      <c r="AB3" s="1" t="s">
        <v>0</v>
      </c>
      <c r="AC3" s="2">
        <v>4200000</v>
      </c>
      <c r="AD3" s="2">
        <v>4200000</v>
      </c>
    </row>
    <row r="4" spans="3:34" x14ac:dyDescent="0.25">
      <c r="C4" s="3" t="s">
        <v>14</v>
      </c>
      <c r="D4" s="2">
        <v>0</v>
      </c>
      <c r="E4" s="2">
        <v>0</v>
      </c>
      <c r="F4" s="2">
        <v>0</v>
      </c>
      <c r="H4" s="2"/>
      <c r="J4" s="2">
        <f>H16</f>
        <v>3803304.5962983067</v>
      </c>
      <c r="N4" s="14">
        <f>M16/2</f>
        <v>1901652.2981491534</v>
      </c>
      <c r="O4" s="14">
        <f>N4</f>
        <v>1901652.2981491534</v>
      </c>
      <c r="R4" s="14">
        <f>Q16/2</f>
        <v>1901652.2981491534</v>
      </c>
      <c r="S4" s="14">
        <f>R4</f>
        <v>1901652.2981491534</v>
      </c>
      <c r="W4" s="1" t="s">
        <v>25</v>
      </c>
      <c r="Y4" s="2">
        <v>8000000</v>
      </c>
      <c r="AC4" s="2"/>
      <c r="AD4" s="2"/>
    </row>
    <row r="5" spans="3:34" x14ac:dyDescent="0.25">
      <c r="C5" s="3" t="s">
        <v>17</v>
      </c>
      <c r="D5" s="2"/>
      <c r="E5" s="2"/>
      <c r="F5" s="2"/>
      <c r="H5" s="2"/>
      <c r="J5" s="2">
        <f>J3-J4</f>
        <v>50311.447801693808</v>
      </c>
      <c r="N5" s="2">
        <f t="shared" ref="N5:O5" si="0">N3-N4</f>
        <v>1951963.7459508472</v>
      </c>
      <c r="O5" s="2">
        <f t="shared" si="0"/>
        <v>1951963.7459508472</v>
      </c>
      <c r="R5" s="2">
        <f t="shared" ref="R5:S5" si="1">R3-R4</f>
        <v>1951963.7459508472</v>
      </c>
      <c r="S5" s="2">
        <f t="shared" si="1"/>
        <v>1951963.7459508472</v>
      </c>
      <c r="AB5" s="1" t="s">
        <v>22</v>
      </c>
      <c r="AC5" s="2"/>
      <c r="AD5" s="19">
        <f>IF(AND(Y4&gt;0,X14=Y14),IF(AD3&gt;(Y4/2),(Y4/2),(AD3)),IF(AND(Y4&gt;0,Y4/2-AD3&lt;0),IF(AND(AD3&gt;(Y4/2),(Y4/2)+X14-Y14)&gt;0,(Y4/2)+X14-Y14),AD3))</f>
        <v>4000000</v>
      </c>
    </row>
    <row r="6" spans="3:34" x14ac:dyDescent="0.25">
      <c r="C6" s="1" t="s">
        <v>4</v>
      </c>
      <c r="D6" s="2">
        <f>D3</f>
        <v>1532192.4137016949</v>
      </c>
      <c r="E6" s="2">
        <v>840151.42999999993</v>
      </c>
      <c r="F6" s="2">
        <v>840151.42999999993</v>
      </c>
      <c r="H6" s="2">
        <v>1532192.4137016949</v>
      </c>
      <c r="I6" s="2">
        <f>I10</f>
        <v>840151.42999999993</v>
      </c>
      <c r="J6" s="2">
        <f>J5</f>
        <v>50311.447801693808</v>
      </c>
      <c r="M6" s="2">
        <v>1532192.4137016949</v>
      </c>
      <c r="N6" s="2">
        <f>N10</f>
        <v>840151.42999999993</v>
      </c>
      <c r="O6" s="2">
        <f>O10</f>
        <v>840151.42999999993</v>
      </c>
      <c r="Q6" s="1">
        <v>1532192.4137016949</v>
      </c>
      <c r="R6" s="2">
        <f>R10</f>
        <v>840151.42999999993</v>
      </c>
      <c r="S6" s="2">
        <f>S10</f>
        <v>840151.42999999993</v>
      </c>
      <c r="X6" s="17"/>
      <c r="Y6" s="17"/>
      <c r="AB6" s="1" t="s">
        <v>24</v>
      </c>
      <c r="AC6" s="19">
        <f>IF(AND(Y4&gt;0,X14=Y14),IF(AC3&gt;(Y4/2),(Y4/2),(AC3)),IF(AND(Y4&gt;0,Y4/2-AC3&lt;0),IF(AC3&gt;(Y4/2),(Y4/2)-X14+Y14),AC3))</f>
        <v>4000000</v>
      </c>
      <c r="AD6" s="2"/>
      <c r="AH6" s="1" t="s">
        <v>39</v>
      </c>
    </row>
    <row r="7" spans="3:34" x14ac:dyDescent="0.25">
      <c r="C7" s="3"/>
      <c r="D7" s="2"/>
      <c r="E7" s="2"/>
      <c r="F7" s="2"/>
      <c r="AB7" s="1" t="s">
        <v>6</v>
      </c>
      <c r="AC7" s="2">
        <f>AC3-AC6</f>
        <v>200000</v>
      </c>
      <c r="AD7" s="2">
        <f>AD3-AD5</f>
        <v>200000</v>
      </c>
    </row>
    <row r="8" spans="3:34" x14ac:dyDescent="0.25">
      <c r="C8" s="3" t="s">
        <v>6</v>
      </c>
      <c r="D8" s="5">
        <f>D3-D6</f>
        <v>0</v>
      </c>
      <c r="E8" s="2">
        <f>E3-E6</f>
        <v>3013464.6141000008</v>
      </c>
      <c r="F8" s="2">
        <f>F3-F6</f>
        <v>3013464.6141000008</v>
      </c>
      <c r="H8" s="5">
        <f>H3-H6</f>
        <v>0</v>
      </c>
      <c r="I8" s="2">
        <f>I3-I6</f>
        <v>3013464.6141000008</v>
      </c>
      <c r="J8" s="5">
        <f>J3-J4-J6</f>
        <v>0</v>
      </c>
      <c r="M8" s="5">
        <f>M3-M6</f>
        <v>0</v>
      </c>
      <c r="N8" s="2">
        <f>N5-N6</f>
        <v>1111812.3159508472</v>
      </c>
      <c r="O8" s="2">
        <f>O5-O6</f>
        <v>1111812.3159508472</v>
      </c>
      <c r="Q8" s="5">
        <f>Q3-Q6</f>
        <v>0</v>
      </c>
      <c r="R8" s="2">
        <f>R5-R6</f>
        <v>1111812.3159508472</v>
      </c>
      <c r="S8" s="2">
        <f>S5-S6</f>
        <v>1111812.3159508472</v>
      </c>
      <c r="AE8" s="1" t="s">
        <v>2</v>
      </c>
      <c r="AF8" s="1">
        <f>IF(X14=Y14,IF(AND(Y4&gt;0,X14=Y14),IF(AD3&gt;(Y4/2),(Y4/2),(AD3)),IF(AND(Y4&gt;0,Y4/2-AD3&lt;0),IF(AND(AD3&gt;(Y4/2),(Y4/2)+X14-Y14)&gt;0,(Y4/2)+X14-Y14),AD3)),IF((AD3)-((Y4/2)+(X14-Y14))&lt;0,((Y4/2)+X14-Y14)+(AD3)-((Y4/2)+(X14-Y14)),(Y4/2)+(X14-Y14)))</f>
        <v>4000000</v>
      </c>
    </row>
    <row r="9" spans="3:34" x14ac:dyDescent="0.25">
      <c r="C9" s="3"/>
      <c r="D9" s="2"/>
      <c r="E9" s="2"/>
      <c r="F9" s="2"/>
      <c r="AE9" s="1" t="s">
        <v>3</v>
      </c>
      <c r="AF9" s="1">
        <f>IF(X14=Y14,IF(AND(Y4&gt;0,X14=Y14),IF(AC3&gt;(Y4/2),(Y4/2),(AC3)),IF(AND(Y4&gt;0,Y4/2-AC3&lt;0),IF(AC3&gt;(Y4/2),(Y4/2)-X14+Y14),AC3)),IF((AD3)-((Y4/2)+(Y14-X14))&lt;0,((Y4/2)+Y14-X14)+(AD3)-((Y4/2)+(Y14-X14)),(Y4/2)+(Y14-X14))-((AD3)-((Y4/2)+(X14-Y14))))</f>
        <v>4000000</v>
      </c>
      <c r="AG9" s="1">
        <f>((AD3)-((Y4/2)+(Y14-X14)))</f>
        <v>200000</v>
      </c>
      <c r="AH9" s="1" t="s">
        <v>40</v>
      </c>
    </row>
    <row r="10" spans="3:34" x14ac:dyDescent="0.25">
      <c r="C10" s="3" t="s">
        <v>5</v>
      </c>
      <c r="D10" s="2">
        <v>5335497.0100000016</v>
      </c>
      <c r="E10" s="2">
        <v>840151.42999999993</v>
      </c>
      <c r="F10" s="2">
        <v>840151.42999999993</v>
      </c>
      <c r="H10" s="2">
        <v>5335497.0100000016</v>
      </c>
      <c r="I10" s="2">
        <v>840151.42999999993</v>
      </c>
      <c r="J10" s="2">
        <v>840151.42999999993</v>
      </c>
      <c r="M10" s="2">
        <v>5335497.0100000016</v>
      </c>
      <c r="N10" s="2">
        <v>840151.42999999993</v>
      </c>
      <c r="O10" s="2">
        <v>840151.42999999993</v>
      </c>
      <c r="Q10" s="1">
        <v>5335497.0100000016</v>
      </c>
      <c r="R10" s="1">
        <v>840151.42999999993</v>
      </c>
      <c r="S10" s="1">
        <v>840151.42999999993</v>
      </c>
      <c r="AC10" s="1">
        <v>3800000</v>
      </c>
      <c r="AD10" s="1">
        <v>4200000</v>
      </c>
      <c r="AG10" s="1">
        <f>((Y4/2)+Y14-X14)+(AD3)-((Y4/2)+(Y14-X14))</f>
        <v>4200000</v>
      </c>
      <c r="AH10" s="1" t="s">
        <v>41</v>
      </c>
    </row>
    <row r="11" spans="3:34" x14ac:dyDescent="0.25">
      <c r="C11" s="1" t="s">
        <v>4</v>
      </c>
      <c r="D11" s="2">
        <f>D6</f>
        <v>1532192.4137016949</v>
      </c>
      <c r="E11" s="2">
        <f>E6</f>
        <v>840151.42999999993</v>
      </c>
      <c r="F11" s="2">
        <f>F6</f>
        <v>840151.42999999993</v>
      </c>
      <c r="H11" s="2">
        <f>H6</f>
        <v>1532192.4137016949</v>
      </c>
      <c r="I11" s="2">
        <f>I6</f>
        <v>840151.42999999993</v>
      </c>
      <c r="J11" s="2">
        <f>J6</f>
        <v>50311.447801693808</v>
      </c>
      <c r="M11" s="2">
        <f>M6</f>
        <v>1532192.4137016949</v>
      </c>
      <c r="N11" s="2">
        <f>N6</f>
        <v>840151.42999999993</v>
      </c>
      <c r="O11" s="2">
        <f>O6</f>
        <v>840151.42999999993</v>
      </c>
      <c r="Q11" s="2">
        <f>Q6</f>
        <v>1532192.4137016949</v>
      </c>
      <c r="R11" s="2">
        <f>R6</f>
        <v>840151.42999999993</v>
      </c>
      <c r="S11" s="2">
        <f>S6</f>
        <v>840151.42999999993</v>
      </c>
      <c r="AG11" s="1">
        <f>(Y4/2)+(Y14-X14)</f>
        <v>4000000</v>
      </c>
      <c r="AH11" s="1" t="s">
        <v>42</v>
      </c>
    </row>
    <row r="12" spans="3:34" x14ac:dyDescent="0.25">
      <c r="C12" s="3" t="s">
        <v>15</v>
      </c>
      <c r="D12" s="2"/>
      <c r="E12" s="2"/>
      <c r="F12" s="2"/>
      <c r="H12" s="2"/>
      <c r="AF12" s="2"/>
    </row>
    <row r="13" spans="3:34" x14ac:dyDescent="0.25">
      <c r="C13" s="1" t="s">
        <v>12</v>
      </c>
      <c r="D13" s="2">
        <f>F18</f>
        <v>3013464.6141000008</v>
      </c>
      <c r="E13" s="2"/>
      <c r="F13" s="2"/>
      <c r="H13" s="2">
        <v>3803304.5962983067</v>
      </c>
      <c r="M13" s="5">
        <v>0</v>
      </c>
      <c r="Q13" s="1">
        <v>0</v>
      </c>
      <c r="X13" s="2" t="s">
        <v>3</v>
      </c>
      <c r="Y13" s="2" t="s">
        <v>2</v>
      </c>
    </row>
    <row r="14" spans="3:34" x14ac:dyDescent="0.25">
      <c r="C14" s="1" t="s">
        <v>13</v>
      </c>
      <c r="D14" s="2">
        <f>E18</f>
        <v>789839.98219830589</v>
      </c>
      <c r="E14" s="2"/>
      <c r="F14" s="2"/>
      <c r="H14" s="5">
        <v>0</v>
      </c>
      <c r="M14" s="5">
        <v>0</v>
      </c>
      <c r="Q14" s="1">
        <v>0</v>
      </c>
      <c r="W14" s="1" t="s">
        <v>21</v>
      </c>
      <c r="X14" s="2">
        <v>12</v>
      </c>
      <c r="Y14" s="2">
        <f>X14</f>
        <v>12</v>
      </c>
      <c r="AA14" s="2">
        <f>X14-Y14</f>
        <v>0</v>
      </c>
      <c r="AB14" s="18">
        <f>IF(AND(Y4&gt;0,X12=Y12),IF(AD3&gt;Y4,(Y4/2),(AD3/2)),0)</f>
        <v>2100000</v>
      </c>
      <c r="AC14" s="18">
        <f>IF(AND(Y4&gt;0,X12=Y12),IF(AD3&gt;(Y4/2),(Y4/2),(AD3)),0)</f>
        <v>4000000</v>
      </c>
      <c r="AF14" s="2"/>
      <c r="AG14" s="2"/>
    </row>
    <row r="15" spans="3:34" x14ac:dyDescent="0.25">
      <c r="D15" s="2"/>
      <c r="E15" s="2"/>
      <c r="F15" s="2"/>
      <c r="W15" s="1" t="s">
        <v>25</v>
      </c>
      <c r="Y15" s="2">
        <f>Y4</f>
        <v>8000000</v>
      </c>
      <c r="AA15" s="2"/>
      <c r="AB15" s="18">
        <f>IF(AND(Y4&gt;0,X12=Y12),IF(AC3&gt;Y4,(Y4/2),(AC3/2)),0)</f>
        <v>2100000</v>
      </c>
      <c r="AC15" s="18">
        <f>IF(AND(Y4&gt;0,X12=Y12),IF(AC3&gt;(Y4/2),(Y4/2),(AC3)),0)</f>
        <v>4000000</v>
      </c>
    </row>
    <row r="16" spans="3:34" x14ac:dyDescent="0.25">
      <c r="C16" s="3" t="s">
        <v>7</v>
      </c>
      <c r="D16" s="2">
        <f>D10-D11</f>
        <v>3803304.5962983067</v>
      </c>
      <c r="E16" s="5">
        <f t="shared" ref="E16:F16" si="2">E10-E11</f>
        <v>0</v>
      </c>
      <c r="F16" s="5">
        <f t="shared" si="2"/>
        <v>0</v>
      </c>
      <c r="H16" s="2">
        <f>H10-H11</f>
        <v>3803304.5962983067</v>
      </c>
      <c r="M16" s="2">
        <f>M10-M11</f>
        <v>3803304.5962983067</v>
      </c>
      <c r="Q16" s="2">
        <f>Q10-Q11</f>
        <v>3803304.5962983067</v>
      </c>
      <c r="W16" s="1" t="s">
        <v>26</v>
      </c>
    </row>
    <row r="17" spans="3:32" x14ac:dyDescent="0.25">
      <c r="D17" s="2"/>
      <c r="E17" s="2"/>
      <c r="F17" s="2"/>
    </row>
    <row r="18" spans="3:32" x14ac:dyDescent="0.25">
      <c r="C18" s="1" t="s">
        <v>8</v>
      </c>
      <c r="D18" s="5">
        <v>0</v>
      </c>
      <c r="E18" s="2">
        <f>D16-F18</f>
        <v>789839.98219830589</v>
      </c>
      <c r="F18" s="2">
        <f>F8</f>
        <v>3013464.6141000008</v>
      </c>
      <c r="M18" s="5">
        <v>0</v>
      </c>
      <c r="N18" s="15">
        <f>N4</f>
        <v>1901652.2981491534</v>
      </c>
      <c r="O18" s="15">
        <f>O4</f>
        <v>1901652.2981491534</v>
      </c>
      <c r="Q18" s="5">
        <v>0</v>
      </c>
      <c r="R18" s="15">
        <f>R4</f>
        <v>1901652.2981491534</v>
      </c>
      <c r="S18" s="15">
        <f>S4</f>
        <v>1901652.2981491534</v>
      </c>
      <c r="AC18" s="2" t="s">
        <v>3</v>
      </c>
      <c r="AD18" s="2" t="s">
        <v>2</v>
      </c>
    </row>
    <row r="19" spans="3:32" x14ac:dyDescent="0.25">
      <c r="D19" s="2"/>
      <c r="E19" s="2"/>
      <c r="F19" s="2"/>
      <c r="AB19" s="1" t="s">
        <v>0</v>
      </c>
      <c r="AC19" s="2">
        <f>AC3</f>
        <v>4200000</v>
      </c>
      <c r="AD19" s="2">
        <f>AD3</f>
        <v>4200000</v>
      </c>
    </row>
    <row r="20" spans="3:32" x14ac:dyDescent="0.25">
      <c r="C20" s="3" t="s">
        <v>9</v>
      </c>
      <c r="D20" s="6">
        <f>D16-D13-D14</f>
        <v>0</v>
      </c>
      <c r="E20" s="6">
        <f>E16</f>
        <v>0</v>
      </c>
      <c r="F20" s="6">
        <f>F16</f>
        <v>0</v>
      </c>
      <c r="H20" s="5">
        <f>H10-H11-H16</f>
        <v>0</v>
      </c>
      <c r="I20" s="5">
        <f>I10-I11</f>
        <v>0</v>
      </c>
      <c r="J20" s="10">
        <f>J10-J11</f>
        <v>789839.98219830613</v>
      </c>
      <c r="L20" s="3" t="s">
        <v>18</v>
      </c>
      <c r="M20" s="12">
        <f>M16-M13-M14</f>
        <v>3803304.5962983067</v>
      </c>
      <c r="N20" s="12">
        <f>N16</f>
        <v>0</v>
      </c>
      <c r="O20" s="12">
        <f>O16</f>
        <v>0</v>
      </c>
      <c r="Q20" s="12">
        <f>Q16-Q13-Q14</f>
        <v>3803304.5962983067</v>
      </c>
      <c r="R20" s="12">
        <f>R16</f>
        <v>0</v>
      </c>
      <c r="S20" s="12">
        <f>S16</f>
        <v>0</v>
      </c>
      <c r="AB20" s="1" t="s">
        <v>29</v>
      </c>
      <c r="AC20" s="1">
        <f>AC6</f>
        <v>4000000</v>
      </c>
      <c r="AD20" s="1">
        <f>AD5</f>
        <v>4000000</v>
      </c>
    </row>
    <row r="21" spans="3:32" x14ac:dyDescent="0.25">
      <c r="D21" s="2"/>
      <c r="E21" s="2"/>
      <c r="F21" s="2"/>
      <c r="AB21" s="1" t="s">
        <v>30</v>
      </c>
      <c r="AC21" s="2">
        <f>IF(AND((AC19-AC20)&gt;0,X14&gt;0),IF(AC19-AC20&gt;X14,X14,AC19-AC20),0)</f>
        <v>12</v>
      </c>
      <c r="AD21" s="2">
        <f>IF(AND((AD19-AD20)&gt;0,Y14&gt;0),IF(AD19-AD20&gt;Y14,Y14,AD19-AD20),0)</f>
        <v>12</v>
      </c>
    </row>
    <row r="22" spans="3:32" x14ac:dyDescent="0.25">
      <c r="D22" s="2"/>
      <c r="E22" s="2"/>
      <c r="F22" s="2"/>
      <c r="AB22" s="1" t="s">
        <v>31</v>
      </c>
      <c r="AC22" s="2">
        <f>IF(AC19-AC20-AC21&gt;0,AC19-AC20-AC21,0)</f>
        <v>199988</v>
      </c>
      <c r="AD22" s="2">
        <f>IF(AD19-AD20-AD21&gt;0,AD19-AD20-AD21,0)</f>
        <v>199988</v>
      </c>
      <c r="AF22" s="2"/>
    </row>
    <row r="23" spans="3:32" x14ac:dyDescent="0.25">
      <c r="C23" s="1" t="s">
        <v>16</v>
      </c>
      <c r="D23" s="2">
        <f>D8-D18</f>
        <v>0</v>
      </c>
      <c r="E23" s="7">
        <f>E8-E18</f>
        <v>2223624.6319016949</v>
      </c>
      <c r="F23" s="2">
        <f>F8-F18</f>
        <v>0</v>
      </c>
      <c r="H23" s="2">
        <f>H8-H18</f>
        <v>0</v>
      </c>
      <c r="I23" s="9">
        <f>I8-I20</f>
        <v>3013464.6141000008</v>
      </c>
      <c r="J23" s="8">
        <f>J8</f>
        <v>0</v>
      </c>
      <c r="L23" s="3" t="s">
        <v>19</v>
      </c>
      <c r="M23" s="5">
        <f>M8-M18</f>
        <v>0</v>
      </c>
      <c r="N23" s="13">
        <f>N8-N20</f>
        <v>1111812.3159508472</v>
      </c>
      <c r="O23" s="15">
        <f>O8</f>
        <v>1111812.3159508472</v>
      </c>
      <c r="Q23" s="5">
        <f>Q8-Q18</f>
        <v>0</v>
      </c>
      <c r="R23" s="13">
        <f>R8-R20</f>
        <v>1111812.3159508472</v>
      </c>
      <c r="S23" s="15">
        <f>S8</f>
        <v>1111812.3159508472</v>
      </c>
    </row>
    <row r="24" spans="3:32" x14ac:dyDescent="0.25">
      <c r="D24" s="2"/>
      <c r="E24" s="2"/>
      <c r="F24" s="2"/>
      <c r="AB24" s="1" t="s">
        <v>34</v>
      </c>
      <c r="AC24" s="2">
        <f>X14</f>
        <v>12</v>
      </c>
      <c r="AD24" s="2">
        <f>Y14</f>
        <v>12</v>
      </c>
    </row>
    <row r="25" spans="3:32" x14ac:dyDescent="0.25">
      <c r="D25" s="2"/>
      <c r="E25" s="2"/>
      <c r="F25" s="2"/>
      <c r="AB25" s="1" t="s">
        <v>35</v>
      </c>
      <c r="AC25" s="2">
        <f>AC21</f>
        <v>12</v>
      </c>
      <c r="AD25" s="2">
        <f>AD21</f>
        <v>12</v>
      </c>
    </row>
    <row r="26" spans="3:32" x14ac:dyDescent="0.25">
      <c r="D26" s="2"/>
      <c r="E26" s="2"/>
      <c r="F26" s="2"/>
      <c r="AB26" s="1" t="s">
        <v>36</v>
      </c>
      <c r="AC26" s="2">
        <f>AC24-AC25</f>
        <v>0</v>
      </c>
      <c r="AD26" s="2">
        <f>AD24-AD25</f>
        <v>0</v>
      </c>
    </row>
    <row r="27" spans="3:32" x14ac:dyDescent="0.25">
      <c r="D27" s="2"/>
      <c r="E27" s="2"/>
      <c r="F27" s="2"/>
    </row>
    <row r="28" spans="3:32" x14ac:dyDescent="0.25">
      <c r="D28" s="2"/>
      <c r="E28" s="2"/>
      <c r="F28" s="2"/>
    </row>
    <row r="29" spans="3:32" x14ac:dyDescent="0.25">
      <c r="D29" s="2"/>
      <c r="E29" s="2"/>
      <c r="F29" s="2"/>
    </row>
    <row r="30" spans="3:32" x14ac:dyDescent="0.25">
      <c r="D30" s="2"/>
      <c r="E30" s="2"/>
      <c r="F30" s="2"/>
    </row>
    <row r="31" spans="3:32" x14ac:dyDescent="0.25">
      <c r="D31" s="2"/>
      <c r="E31" s="2"/>
      <c r="F31" s="2"/>
    </row>
    <row r="32" spans="3:32" x14ac:dyDescent="0.25">
      <c r="D32" s="2"/>
      <c r="E32" s="2"/>
      <c r="F32" s="2"/>
    </row>
    <row r="33" spans="4:6" x14ac:dyDescent="0.25">
      <c r="D33" s="2"/>
      <c r="E33" s="2"/>
      <c r="F33" s="2"/>
    </row>
    <row r="34" spans="4:6" x14ac:dyDescent="0.25">
      <c r="D34" s="2"/>
      <c r="E34" s="2"/>
      <c r="F34" s="2"/>
    </row>
    <row r="35" spans="4:6" x14ac:dyDescent="0.25">
      <c r="D35" s="2"/>
      <c r="E35" s="2"/>
      <c r="F35" s="2"/>
    </row>
    <row r="36" spans="4:6" x14ac:dyDescent="0.25">
      <c r="D36" s="2"/>
      <c r="E36" s="2"/>
      <c r="F36" s="2"/>
    </row>
    <row r="37" spans="4:6" x14ac:dyDescent="0.25">
      <c r="D37" s="2"/>
      <c r="E37" s="2"/>
      <c r="F37" s="2"/>
    </row>
    <row r="38" spans="4:6" x14ac:dyDescent="0.25">
      <c r="D38" s="2"/>
      <c r="E38" s="2"/>
      <c r="F38" s="2"/>
    </row>
    <row r="39" spans="4:6" x14ac:dyDescent="0.25">
      <c r="D39" s="2"/>
      <c r="E39" s="2"/>
      <c r="F39" s="2"/>
    </row>
    <row r="40" spans="4:6" x14ac:dyDescent="0.25">
      <c r="D40" s="2"/>
      <c r="E40" s="2"/>
      <c r="F40" s="2"/>
    </row>
    <row r="41" spans="4:6" x14ac:dyDescent="0.25">
      <c r="D41" s="2"/>
      <c r="E41" s="2"/>
      <c r="F41" s="2"/>
    </row>
    <row r="42" spans="4:6" x14ac:dyDescent="0.25">
      <c r="D42" s="2"/>
      <c r="E42" s="2"/>
      <c r="F42" s="2"/>
    </row>
    <row r="43" spans="4:6" x14ac:dyDescent="0.25">
      <c r="D43" s="2"/>
      <c r="E43" s="2"/>
      <c r="F43" s="2"/>
    </row>
    <row r="44" spans="4:6" x14ac:dyDescent="0.25">
      <c r="D44" s="2"/>
      <c r="E44" s="2"/>
      <c r="F44" s="2"/>
    </row>
    <row r="45" spans="4:6" x14ac:dyDescent="0.25">
      <c r="D45" s="2"/>
      <c r="E45" s="2"/>
      <c r="F45" s="2"/>
    </row>
    <row r="46" spans="4:6" x14ac:dyDescent="0.25">
      <c r="D46" s="2"/>
      <c r="E46" s="2"/>
      <c r="F46" s="2"/>
    </row>
    <row r="47" spans="4:6" x14ac:dyDescent="0.25">
      <c r="D47" s="2"/>
      <c r="E47" s="2"/>
      <c r="F47" s="2"/>
    </row>
    <row r="48" spans="4:6" x14ac:dyDescent="0.25">
      <c r="D48" s="2"/>
      <c r="E48" s="2"/>
      <c r="F48" s="2"/>
    </row>
    <row r="49" spans="4:6" x14ac:dyDescent="0.25">
      <c r="D49" s="2"/>
      <c r="E49" s="2"/>
      <c r="F49" s="2"/>
    </row>
    <row r="50" spans="4:6" x14ac:dyDescent="0.25">
      <c r="D50" s="2"/>
      <c r="E50" s="2"/>
      <c r="F50" s="2"/>
    </row>
    <row r="51" spans="4:6" x14ac:dyDescent="0.25">
      <c r="D51" s="2"/>
      <c r="E51" s="2"/>
      <c r="F51" s="2"/>
    </row>
    <row r="52" spans="4:6" x14ac:dyDescent="0.25">
      <c r="D52" s="2"/>
      <c r="E52" s="2"/>
      <c r="F52" s="2"/>
    </row>
    <row r="53" spans="4:6" x14ac:dyDescent="0.25">
      <c r="D53" s="2"/>
      <c r="E53" s="2"/>
      <c r="F53" s="2"/>
    </row>
    <row r="54" spans="4:6" x14ac:dyDescent="0.25">
      <c r="D54" s="2"/>
      <c r="E54" s="2"/>
      <c r="F54" s="2"/>
    </row>
    <row r="55" spans="4:6" x14ac:dyDescent="0.25">
      <c r="D55" s="2"/>
      <c r="E55" s="2"/>
      <c r="F55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F19A7-664C-4BCA-8101-7AD451AD459B}">
  <dimension ref="C1:AM55"/>
  <sheetViews>
    <sheetView workbookViewId="0">
      <selection activeCell="G8" sqref="A1:XFD1048576"/>
    </sheetView>
  </sheetViews>
  <sheetFormatPr defaultColWidth="9.140625" defaultRowHeight="15" x14ac:dyDescent="0.25"/>
  <cols>
    <col min="1" max="2" width="9.140625" style="1"/>
    <col min="3" max="3" width="41.5703125" style="1" hidden="1" customWidth="1"/>
    <col min="4" max="4" width="9.85546875" style="1" hidden="1" customWidth="1"/>
    <col min="5" max="5" width="10.140625" style="1" hidden="1" customWidth="1"/>
    <col min="6" max="6" width="9.85546875" style="1" hidden="1" customWidth="1"/>
    <col min="7" max="7" width="0" style="1" hidden="1" customWidth="1"/>
    <col min="8" max="8" width="9.85546875" style="1" hidden="1" customWidth="1"/>
    <col min="9" max="9" width="10.140625" style="2" hidden="1" customWidth="1"/>
    <col min="10" max="10" width="9.85546875" style="1" hidden="1" customWidth="1"/>
    <col min="11" max="12" width="0" style="1" hidden="1" customWidth="1"/>
    <col min="13" max="13" width="12.42578125" style="1" hidden="1" customWidth="1"/>
    <col min="14" max="14" width="12.28515625" style="1" hidden="1" customWidth="1"/>
    <col min="15" max="15" width="14" style="1" hidden="1" customWidth="1"/>
    <col min="16" max="16" width="0" style="1" hidden="1" customWidth="1"/>
    <col min="17" max="17" width="11.5703125" style="1" hidden="1" customWidth="1"/>
    <col min="18" max="19" width="11.28515625" style="1" hidden="1" customWidth="1"/>
    <col min="20" max="21" width="0" style="1" hidden="1" customWidth="1"/>
    <col min="22" max="22" width="9.140625" style="1"/>
    <col min="23" max="23" width="29.7109375" style="1" bestFit="1" customWidth="1"/>
    <col min="24" max="25" width="9.85546875" style="2" bestFit="1" customWidth="1"/>
    <col min="26" max="26" width="2.140625" style="1" customWidth="1"/>
    <col min="27" max="28" width="9.140625" style="1"/>
    <col min="29" max="29" width="26.42578125" style="1" bestFit="1" customWidth="1"/>
    <col min="30" max="31" width="8.85546875" style="1" bestFit="1" customWidth="1"/>
    <col min="32" max="37" width="9.140625" style="1"/>
    <col min="38" max="38" width="9.5703125" style="1" bestFit="1" customWidth="1"/>
    <col min="39" max="16384" width="9.140625" style="1"/>
  </cols>
  <sheetData>
    <row r="1" spans="3:39" x14ac:dyDescent="0.25">
      <c r="C1" s="11" t="s">
        <v>11</v>
      </c>
      <c r="H1" s="11" t="s">
        <v>10</v>
      </c>
      <c r="M1" s="11" t="s">
        <v>20</v>
      </c>
      <c r="Q1" s="16" t="s">
        <v>20</v>
      </c>
    </row>
    <row r="2" spans="3:39" x14ac:dyDescent="0.25">
      <c r="D2" s="3" t="s">
        <v>1</v>
      </c>
      <c r="E2" s="3" t="s">
        <v>3</v>
      </c>
      <c r="F2" s="3" t="s">
        <v>2</v>
      </c>
      <c r="H2" s="3" t="s">
        <v>1</v>
      </c>
      <c r="I2" s="4" t="s">
        <v>3</v>
      </c>
      <c r="J2" s="3" t="s">
        <v>2</v>
      </c>
      <c r="M2" s="3" t="s">
        <v>1</v>
      </c>
      <c r="N2" s="4" t="s">
        <v>3</v>
      </c>
      <c r="O2" s="3" t="s">
        <v>2</v>
      </c>
      <c r="Q2" s="1" t="s">
        <v>1</v>
      </c>
      <c r="R2" s="1" t="s">
        <v>3</v>
      </c>
      <c r="S2" s="1" t="s">
        <v>2</v>
      </c>
      <c r="W2" s="20" t="s">
        <v>23</v>
      </c>
      <c r="AD2" s="4" t="s">
        <v>3</v>
      </c>
      <c r="AE2" s="4" t="s">
        <v>2</v>
      </c>
      <c r="AI2" s="1" t="s">
        <v>44</v>
      </c>
    </row>
    <row r="3" spans="3:39" x14ac:dyDescent="0.25">
      <c r="C3" s="3" t="s">
        <v>0</v>
      </c>
      <c r="D3" s="2">
        <v>1532192.4137016949</v>
      </c>
      <c r="E3" s="2">
        <v>3853616.0441000005</v>
      </c>
      <c r="F3" s="2">
        <v>3853616.0441000005</v>
      </c>
      <c r="H3" s="2">
        <v>1532192.4137016949</v>
      </c>
      <c r="I3" s="2">
        <v>3853616.0441000005</v>
      </c>
      <c r="J3" s="2">
        <v>3853616.0441000005</v>
      </c>
      <c r="M3" s="2">
        <v>1532192.4137016949</v>
      </c>
      <c r="N3" s="2">
        <v>3853616.0441000005</v>
      </c>
      <c r="O3" s="2">
        <v>3853616.0441000005</v>
      </c>
      <c r="Q3" s="2">
        <v>1532192.4137016949</v>
      </c>
      <c r="R3" s="2">
        <v>3853616.0441000005</v>
      </c>
      <c r="S3" s="2">
        <v>3853616.0441000005</v>
      </c>
      <c r="AC3" s="1" t="s">
        <v>0</v>
      </c>
      <c r="AD3" s="2">
        <v>4200000</v>
      </c>
      <c r="AE3" s="2">
        <v>4200000</v>
      </c>
    </row>
    <row r="4" spans="3:39" x14ac:dyDescent="0.25">
      <c r="C4" s="3" t="s">
        <v>14</v>
      </c>
      <c r="D4" s="2">
        <v>0</v>
      </c>
      <c r="E4" s="2">
        <v>0</v>
      </c>
      <c r="F4" s="2">
        <v>0</v>
      </c>
      <c r="H4" s="2"/>
      <c r="J4" s="2">
        <f>H16</f>
        <v>3803304.5962983067</v>
      </c>
      <c r="N4" s="14">
        <f>M16/2</f>
        <v>1901652.2981491534</v>
      </c>
      <c r="O4" s="14">
        <f>N4</f>
        <v>1901652.2981491534</v>
      </c>
      <c r="R4" s="14">
        <f>Q16/2</f>
        <v>1901652.2981491534</v>
      </c>
      <c r="S4" s="14">
        <f>R4</f>
        <v>1901652.2981491534</v>
      </c>
      <c r="W4" s="1" t="s">
        <v>25</v>
      </c>
      <c r="Y4" s="2">
        <v>7000000</v>
      </c>
      <c r="AD4" s="2"/>
      <c r="AE4" s="2"/>
    </row>
    <row r="5" spans="3:39" x14ac:dyDescent="0.25">
      <c r="C5" s="3" t="s">
        <v>17</v>
      </c>
      <c r="D5" s="2"/>
      <c r="E5" s="2"/>
      <c r="F5" s="2"/>
      <c r="H5" s="2"/>
      <c r="J5" s="2">
        <f>J3-J4</f>
        <v>50311.447801693808</v>
      </c>
      <c r="N5" s="2">
        <f t="shared" ref="N5:O5" si="0">N3-N4</f>
        <v>1951963.7459508472</v>
      </c>
      <c r="O5" s="2">
        <f t="shared" si="0"/>
        <v>1951963.7459508472</v>
      </c>
      <c r="R5" s="2">
        <f t="shared" ref="R5:S5" si="1">R3-R4</f>
        <v>1951963.7459508472</v>
      </c>
      <c r="S5" s="2">
        <f t="shared" si="1"/>
        <v>1951963.7459508472</v>
      </c>
      <c r="AC5" s="1" t="s">
        <v>22</v>
      </c>
      <c r="AD5" s="2"/>
      <c r="AE5" s="19">
        <f>IF(AND(Y4&gt;0,X14=Y14),IF(AE3&gt;(Y4/2),(Y4/2),(AE3)),IF(AND(Y4&gt;0,Y4/2-AE3&lt;0),IF(AND(AE3&gt;(Y4/2),(Y4/2)+X14-Y14)&gt;0,(Y4/2)+(X14-Y14)/2,AE3)))</f>
        <v>3500000</v>
      </c>
      <c r="AJ5" s="1">
        <f>IF(AND(Y4&gt;0,X14=Y14),IF(AE3&gt;(Y4/2),(Y4/2),(AE3)),IF(AND(Y4&gt;0,Y4/2-AE3&lt;0),IF(AND(AE3&gt;(Y4/2),(Y4/2)+X14-Y14)&gt;0,(Y4/2)+(X14-Y14)/2,AE3)))</f>
        <v>3500000</v>
      </c>
      <c r="AL5" s="1">
        <f>IF(AND(Y4&gt;0,X14=Y14),IF(AE3&gt;(Y4/2),(Y4/2),(AE3)),IF(AND(Y4&gt;0,Y4/2-AE3&lt;0),IF(AND(AE3&gt;(Y4/2),(Y4/2)+X14-Y14)&gt;0,(Y4/2)+(X14-Y14)/2,AE3)))</f>
        <v>3500000</v>
      </c>
    </row>
    <row r="6" spans="3:39" x14ac:dyDescent="0.25">
      <c r="C6" s="1" t="s">
        <v>4</v>
      </c>
      <c r="D6" s="2">
        <f>D3</f>
        <v>1532192.4137016949</v>
      </c>
      <c r="E6" s="2">
        <v>840151.42999999993</v>
      </c>
      <c r="F6" s="2">
        <v>840151.42999999993</v>
      </c>
      <c r="H6" s="2">
        <v>1532192.4137016949</v>
      </c>
      <c r="I6" s="2">
        <f>I10</f>
        <v>840151.42999999993</v>
      </c>
      <c r="J6" s="2">
        <f>J5</f>
        <v>50311.447801693808</v>
      </c>
      <c r="M6" s="2">
        <v>1532192.4137016949</v>
      </c>
      <c r="N6" s="2">
        <f>N10</f>
        <v>840151.42999999993</v>
      </c>
      <c r="O6" s="2">
        <f>O10</f>
        <v>840151.42999999993</v>
      </c>
      <c r="Q6" s="1">
        <v>1532192.4137016949</v>
      </c>
      <c r="R6" s="2">
        <f>R10</f>
        <v>840151.42999999993</v>
      </c>
      <c r="S6" s="2">
        <f>S10</f>
        <v>840151.42999999993</v>
      </c>
      <c r="X6" s="17"/>
      <c r="Y6" s="17"/>
      <c r="AC6" s="1" t="s">
        <v>24</v>
      </c>
      <c r="AD6" s="19">
        <f>IF(AND(Y4&gt;0,X14=Y14),IF(AD3&gt;(Y4/2),(Y4/2),(AD3)),IF(AND(Y4&gt;0,Y4/2-AD3&lt;0),IF(AD3&gt;(Y4/2),(Y4/2)-(X14-Y14)/2,AD3)))</f>
        <v>3500000</v>
      </c>
      <c r="AE6" s="2"/>
      <c r="AI6" s="1">
        <f>IF(AND(Y4&gt;0,X14=Y14),IF(AD3&gt;(Y4/2),(Y4/2),(AD3)),IF(AND(Y4&gt;0,Y4/2-AD3&lt;0),IF(AD3&gt;(Y4/2),(Y4/2)-(X14-Y14)/2,AD3)))</f>
        <v>3500000</v>
      </c>
      <c r="AL6" s="1">
        <f>IF(AND(Y4&gt;0,Y4/2-AE3&lt;0),IF(AND(AE3&gt;(Y4/2),(Y4/2)+X14-Y14)&gt;0,(Y4/2)+(X14-Y14)/2,AE3))</f>
        <v>3500000</v>
      </c>
    </row>
    <row r="7" spans="3:39" x14ac:dyDescent="0.25">
      <c r="C7" s="3"/>
      <c r="D7" s="2"/>
      <c r="E7" s="2"/>
      <c r="F7" s="2"/>
      <c r="AC7" s="1" t="s">
        <v>6</v>
      </c>
      <c r="AD7" s="2">
        <f>AD3-AD6</f>
        <v>700000</v>
      </c>
      <c r="AE7" s="2">
        <f>AE3-AE5</f>
        <v>700000</v>
      </c>
      <c r="AI7" s="22">
        <f>IF(IF(AND(Y4&gt;0,Y4/2-AD3&lt;0),IF(AD3&gt;(Y4/2),(Y4/2)-(X14-Y14)/2,AD3))-AD3&gt;0,AD3,IF(AND(Y4&gt;0,Y4/2-AD3&lt;0),IF(AD3&gt;(Y4/2),(Y4/2)-(X14-Y14)/2,AD3)))</f>
        <v>3500000</v>
      </c>
    </row>
    <row r="8" spans="3:39" x14ac:dyDescent="0.25">
      <c r="C8" s="3" t="s">
        <v>6</v>
      </c>
      <c r="D8" s="5">
        <f>D3-D6</f>
        <v>0</v>
      </c>
      <c r="E8" s="2">
        <f>E3-E6</f>
        <v>3013464.6141000008</v>
      </c>
      <c r="F8" s="2">
        <f>F3-F6</f>
        <v>3013464.6141000008</v>
      </c>
      <c r="H8" s="5">
        <f>H3-H6</f>
        <v>0</v>
      </c>
      <c r="I8" s="2">
        <f>I3-I6</f>
        <v>3013464.6141000008</v>
      </c>
      <c r="J8" s="5">
        <f>J3-J4-J6</f>
        <v>0</v>
      </c>
      <c r="M8" s="5">
        <f>M3-M6</f>
        <v>0</v>
      </c>
      <c r="N8" s="2">
        <f>N5-N6</f>
        <v>1111812.3159508472</v>
      </c>
      <c r="O8" s="2">
        <f>O5-O6</f>
        <v>1111812.3159508472</v>
      </c>
      <c r="Q8" s="5">
        <f>Q3-Q6</f>
        <v>0</v>
      </c>
      <c r="R8" s="2">
        <f>R5-R6</f>
        <v>1111812.3159508472</v>
      </c>
      <c r="S8" s="2">
        <f>S5-S6</f>
        <v>1111812.3159508472</v>
      </c>
      <c r="AF8" s="1" t="s">
        <v>2</v>
      </c>
      <c r="AG8" s="1">
        <f>IF(X14=Y14,IF(AND(Y4&gt;0,X14=Y14),IF(AE3&gt;(Y4/2),(Y4/2),(AE3)),IF(AND(Y4&gt;0,Y4/2-AE3&lt;0),IF(AND(AE3&gt;(Y4/2),(Y4/2)+X14-Y14)&gt;0,(Y4/2)+X14-Y14),AE3)),IF((AE3)-((Y4/2)+(X14-Y14))&lt;0,((Y4/2)+X14-Y14)+(AE3)-((Y4/2)+(X14-Y14)),(Y4/2)+(X14-Y14)))</f>
        <v>3500000</v>
      </c>
      <c r="AM8" s="1" t="s">
        <v>46</v>
      </c>
    </row>
    <row r="9" spans="3:39" x14ac:dyDescent="0.25">
      <c r="C9" s="3"/>
      <c r="D9" s="2"/>
      <c r="E9" s="2"/>
      <c r="F9" s="2"/>
      <c r="AF9" s="1" t="s">
        <v>3</v>
      </c>
      <c r="AG9" s="1">
        <f>IF(X14=Y14,IF(AND(Y4&gt;0,X14=Y14),IF(AD3&gt;(Y4/2),(Y4/2),(AD3)),IF(AND(Y4&gt;0,Y4/2-AD3&lt;0),IF(AD3&gt;(Y4/2),(Y4/2)-X14+Y14),AD3)),IF((AE3)-((Y4/2)+(Y14-X14))&lt;0,((Y4/2)+Y14-X14)+(AE3)-((Y4/2)+(Y14-X14)),(Y4/2)+(Y14-X14))-((AE3)-((Y4/2)+(X14-Y14))))</f>
        <v>3500000</v>
      </c>
      <c r="AH9" s="1">
        <f>((AE3)-((Y4/2)+(Y14-X14)))</f>
        <v>700000</v>
      </c>
      <c r="AI9" s="1" t="s">
        <v>40</v>
      </c>
    </row>
    <row r="10" spans="3:39" x14ac:dyDescent="0.25">
      <c r="C10" s="3" t="s">
        <v>5</v>
      </c>
      <c r="D10" s="2">
        <v>5335497.0100000016</v>
      </c>
      <c r="E10" s="2">
        <v>840151.42999999993</v>
      </c>
      <c r="F10" s="2">
        <v>840151.42999999993</v>
      </c>
      <c r="H10" s="2">
        <v>5335497.0100000016</v>
      </c>
      <c r="I10" s="2">
        <v>840151.42999999993</v>
      </c>
      <c r="J10" s="2">
        <v>840151.42999999993</v>
      </c>
      <c r="M10" s="2">
        <v>5335497.0100000016</v>
      </c>
      <c r="N10" s="2">
        <v>840151.42999999993</v>
      </c>
      <c r="O10" s="2">
        <v>840151.42999999993</v>
      </c>
      <c r="Q10" s="1">
        <v>5335497.0100000016</v>
      </c>
      <c r="R10" s="1">
        <v>840151.42999999993</v>
      </c>
      <c r="S10" s="1">
        <v>840151.42999999993</v>
      </c>
      <c r="AD10" s="1">
        <v>3800000</v>
      </c>
      <c r="AE10" s="1">
        <v>4200000</v>
      </c>
      <c r="AH10" s="1">
        <f>((Y4/2)+Y14-X14)+(AE3)-((Y4/2)+(Y14-X14))</f>
        <v>4200000</v>
      </c>
      <c r="AI10" s="1" t="s">
        <v>41</v>
      </c>
    </row>
    <row r="11" spans="3:39" x14ac:dyDescent="0.25">
      <c r="C11" s="1" t="s">
        <v>4</v>
      </c>
      <c r="D11" s="2">
        <f>D6</f>
        <v>1532192.4137016949</v>
      </c>
      <c r="E11" s="2">
        <f>E6</f>
        <v>840151.42999999993</v>
      </c>
      <c r="F11" s="2">
        <f>F6</f>
        <v>840151.42999999993</v>
      </c>
      <c r="H11" s="2">
        <f>H6</f>
        <v>1532192.4137016949</v>
      </c>
      <c r="I11" s="2">
        <f>I6</f>
        <v>840151.42999999993</v>
      </c>
      <c r="J11" s="2">
        <f>J6</f>
        <v>50311.447801693808</v>
      </c>
      <c r="M11" s="2">
        <f>M6</f>
        <v>1532192.4137016949</v>
      </c>
      <c r="N11" s="2">
        <f>N6</f>
        <v>840151.42999999993</v>
      </c>
      <c r="O11" s="2">
        <f>O6</f>
        <v>840151.42999999993</v>
      </c>
      <c r="Q11" s="2">
        <f>Q6</f>
        <v>1532192.4137016949</v>
      </c>
      <c r="R11" s="2">
        <f>R6</f>
        <v>840151.42999999993</v>
      </c>
      <c r="S11" s="2">
        <f>S6</f>
        <v>840151.42999999993</v>
      </c>
      <c r="AH11" s="1">
        <f>(Y4/2)+(Y14-X14)</f>
        <v>3500000</v>
      </c>
      <c r="AI11" s="1" t="s">
        <v>42</v>
      </c>
    </row>
    <row r="12" spans="3:39" x14ac:dyDescent="0.25">
      <c r="C12" s="3" t="s">
        <v>15</v>
      </c>
      <c r="D12" s="2"/>
      <c r="E12" s="2"/>
      <c r="F12" s="2"/>
      <c r="H12" s="2"/>
      <c r="AG12" s="2"/>
      <c r="AL12" s="1">
        <f>IF(OR(IF(AND(Y4&gt;0,Y4/2-AE3&lt;0),IF(AND(AE3&gt;(Y4/2),(Y4/2)+X14-Y14)&gt;0,(Y4/2)+(X14-Y14)/2,AE3))-AE3&gt;0,IF(AND(Y4&gt;0,Y4/2-AE3&lt;0),IF(AND(AE3&gt;(Y4/2),(Y4/2)+X14-Y14)&gt;0,(Y4/2)+(X14-Y14)/2,AE3))-AD3&gt;0),0,0)</f>
        <v>0</v>
      </c>
    </row>
    <row r="13" spans="3:39" x14ac:dyDescent="0.25">
      <c r="C13" s="1" t="s">
        <v>12</v>
      </c>
      <c r="D13" s="2">
        <f>F18</f>
        <v>3013464.6141000008</v>
      </c>
      <c r="E13" s="2"/>
      <c r="F13" s="2"/>
      <c r="H13" s="2">
        <v>3803304.5962983067</v>
      </c>
      <c r="M13" s="5">
        <v>0</v>
      </c>
      <c r="Q13" s="1">
        <v>0</v>
      </c>
      <c r="X13" s="2" t="s">
        <v>3</v>
      </c>
      <c r="Y13" s="2" t="s">
        <v>2</v>
      </c>
      <c r="AD13" s="1">
        <v>3750000</v>
      </c>
      <c r="AE13" s="1">
        <v>3250000</v>
      </c>
      <c r="AF13" s="1">
        <f>AD13-AE13</f>
        <v>500000</v>
      </c>
    </row>
    <row r="14" spans="3:39" x14ac:dyDescent="0.25">
      <c r="C14" s="1" t="s">
        <v>13</v>
      </c>
      <c r="D14" s="2">
        <f>E18</f>
        <v>789839.98219830589</v>
      </c>
      <c r="E14" s="2"/>
      <c r="F14" s="2"/>
      <c r="H14" s="5">
        <v>0</v>
      </c>
      <c r="M14" s="5">
        <v>0</v>
      </c>
      <c r="Q14" s="1">
        <v>0</v>
      </c>
      <c r="W14" s="1" t="s">
        <v>21</v>
      </c>
      <c r="X14" s="2">
        <v>2000000</v>
      </c>
      <c r="Y14" s="2">
        <v>2000000</v>
      </c>
      <c r="AA14" s="2"/>
      <c r="AB14" s="2"/>
      <c r="AC14" s="18">
        <f>IF(AND(Y4&gt;0,X12=Y12),IF(AE3&gt;Y4,(Y4/2),(AE3/2)),0)</f>
        <v>2100000</v>
      </c>
      <c r="AD14" s="21">
        <f>IF(AND(Y4&gt;0,X12=Y12),IF(AE3&gt;(Y4/2),(Y4/2),(AE3)),0)</f>
        <v>3500000</v>
      </c>
      <c r="AG14" s="2"/>
      <c r="AH14" s="2"/>
      <c r="AL14" s="1" t="s">
        <v>48</v>
      </c>
    </row>
    <row r="15" spans="3:39" x14ac:dyDescent="0.25">
      <c r="D15" s="2"/>
      <c r="E15" s="2"/>
      <c r="F15" s="2"/>
      <c r="W15" s="1" t="s">
        <v>25</v>
      </c>
      <c r="AA15" s="2"/>
      <c r="AB15" s="2"/>
      <c r="AC15" s="18">
        <f>IF(AND(Y4&gt;0,X12=Y12),IF(AD3&gt;Y4,(Y4/2),(AD3/2)),0)</f>
        <v>2100000</v>
      </c>
      <c r="AD15" s="21">
        <f>AD3-AD13</f>
        <v>450000</v>
      </c>
      <c r="AE15" s="21">
        <f>AE3-AE13</f>
        <v>950000</v>
      </c>
    </row>
    <row r="16" spans="3:39" x14ac:dyDescent="0.25">
      <c r="C16" s="3" t="s">
        <v>7</v>
      </c>
      <c r="D16" s="2">
        <f>D10-D11</f>
        <v>3803304.5962983067</v>
      </c>
      <c r="E16" s="5">
        <f t="shared" ref="E16:F16" si="2">E10-E11</f>
        <v>0</v>
      </c>
      <c r="F16" s="5">
        <f t="shared" si="2"/>
        <v>0</v>
      </c>
      <c r="H16" s="2">
        <f>H10-H11</f>
        <v>3803304.5962983067</v>
      </c>
      <c r="M16" s="2">
        <f>M10-M11</f>
        <v>3803304.5962983067</v>
      </c>
      <c r="Q16" s="2">
        <f>Q10-Q11</f>
        <v>3803304.5962983067</v>
      </c>
      <c r="W16" s="1" t="s">
        <v>26</v>
      </c>
      <c r="AG16" s="1">
        <v>4200000</v>
      </c>
      <c r="AH16" s="1">
        <v>3800000</v>
      </c>
      <c r="AK16" s="1">
        <v>4500000</v>
      </c>
      <c r="AL16" s="1" t="s">
        <v>45</v>
      </c>
    </row>
    <row r="17" spans="3:38" x14ac:dyDescent="0.25">
      <c r="D17" s="2"/>
      <c r="E17" s="2"/>
      <c r="F17" s="2"/>
    </row>
    <row r="18" spans="3:38" x14ac:dyDescent="0.25">
      <c r="C18" s="1" t="s">
        <v>8</v>
      </c>
      <c r="D18" s="5">
        <v>0</v>
      </c>
      <c r="E18" s="2">
        <f>D16-F18</f>
        <v>789839.98219830589</v>
      </c>
      <c r="F18" s="2">
        <f>F8</f>
        <v>3013464.6141000008</v>
      </c>
      <c r="M18" s="5">
        <v>0</v>
      </c>
      <c r="N18" s="15">
        <f>N4</f>
        <v>1901652.2981491534</v>
      </c>
      <c r="O18" s="15">
        <f>O4</f>
        <v>1901652.2981491534</v>
      </c>
      <c r="Q18" s="5">
        <v>0</v>
      </c>
      <c r="R18" s="15">
        <f>R4</f>
        <v>1901652.2981491534</v>
      </c>
      <c r="S18" s="15">
        <f>S4</f>
        <v>1901652.2981491534</v>
      </c>
      <c r="AD18" s="2" t="s">
        <v>3</v>
      </c>
      <c r="AE18" s="2" t="s">
        <v>2</v>
      </c>
      <c r="AH18" s="2"/>
      <c r="AI18" s="2"/>
      <c r="AL18" s="1" t="b">
        <f>IF(OR(IF(AND(Y4&gt;0,Y4/2-AE3&lt;0),IF(AND(AE3&gt;(Y4/2),(Y4/2)+X14-Y14)&gt;0,(Y4/2)+(X14-Y14)/2,AE3))-AE3&gt;0,IF(AND(Y4&gt;0,Y4/2-AE3&lt;0),IF(AND(AE3&gt;(Y4/2),(Y4/2)+X14-Y14)&gt;0,(Y4/2)+(X14-Y14)/2,AE3))-AD3&gt;0),IF(AND(Y4&gt;0,Y4/2-AE3&lt;0),IF(AND(AE3&gt;(Y4/2),(Y4/2)+X14-Y14)&gt;0,(Y4/2)+(X14-Y14)/2,AE3))+IF(AND(Y4&gt;0,X14=Y14),IF(AD3&gt;(Y4/2),(Y4/2),(AD3)),IF(AND(Y4&gt;0,Y4/2-AD3&lt;0),IF(AD3&gt;(Y4/2),(Y4/2)-(X14-Y14)/2,AD3)))-AD3)</f>
        <v>0</v>
      </c>
    </row>
    <row r="19" spans="3:38" x14ac:dyDescent="0.25">
      <c r="D19" s="2"/>
      <c r="E19" s="2"/>
      <c r="F19" s="2"/>
      <c r="X19" s="2" t="s">
        <v>3</v>
      </c>
      <c r="Y19" s="2" t="s">
        <v>2</v>
      </c>
      <c r="AC19" s="1" t="s">
        <v>0</v>
      </c>
      <c r="AD19" s="2">
        <f>AD3</f>
        <v>4200000</v>
      </c>
      <c r="AE19" s="2">
        <f>AE3</f>
        <v>4200000</v>
      </c>
      <c r="AH19" s="2">
        <v>3750000</v>
      </c>
      <c r="AI19" s="2"/>
    </row>
    <row r="20" spans="3:38" x14ac:dyDescent="0.25">
      <c r="C20" s="3" t="s">
        <v>9</v>
      </c>
      <c r="D20" s="6">
        <f>D16-D13-D14</f>
        <v>0</v>
      </c>
      <c r="E20" s="6">
        <f>E16</f>
        <v>0</v>
      </c>
      <c r="F20" s="6">
        <f>F16</f>
        <v>0</v>
      </c>
      <c r="H20" s="5">
        <f>H10-H11-H16</f>
        <v>0</v>
      </c>
      <c r="I20" s="5">
        <f>I10-I11</f>
        <v>0</v>
      </c>
      <c r="J20" s="10">
        <f>J10-J11</f>
        <v>789839.98219830613</v>
      </c>
      <c r="L20" s="3" t="s">
        <v>18</v>
      </c>
      <c r="M20" s="12">
        <f>M16-M13-M14</f>
        <v>3803304.5962983067</v>
      </c>
      <c r="N20" s="12">
        <f>N16</f>
        <v>0</v>
      </c>
      <c r="O20" s="12">
        <f>O16</f>
        <v>0</v>
      </c>
      <c r="Q20" s="12">
        <f>Q16-Q13-Q14</f>
        <v>3803304.5962983067</v>
      </c>
      <c r="R20" s="12">
        <f>R16</f>
        <v>0</v>
      </c>
      <c r="S20" s="12">
        <f>S16</f>
        <v>0</v>
      </c>
      <c r="W20" s="1" t="s">
        <v>21</v>
      </c>
      <c r="X20" s="2">
        <v>500000</v>
      </c>
      <c r="Y20" s="2">
        <v>2000000</v>
      </c>
      <c r="AC20" s="1" t="s">
        <v>29</v>
      </c>
      <c r="AD20" s="2">
        <f>AD6</f>
        <v>3500000</v>
      </c>
      <c r="AE20" s="2">
        <f>AE5</f>
        <v>3500000</v>
      </c>
      <c r="AL20" s="2">
        <f>IF(OR(IF(AND(Y4&gt;0,Y4/2-AE3&lt;0),IF(AND(AE3&gt;(Y4/2),(Y4/2)+X14-Y14)&gt;0,(Y4/2)+(X14-Y14)/2,AE3))-AE3&gt;0,IF(AND(Y4&gt;0,Y4/2-AE3&lt;0),IF(AND(AE3&gt;(Y4/2),(Y4/2)+X14-Y14)&gt;0,(Y4/2)+(X14-Y14)/2,AE3))-AD3&gt;0),IF(AND(Y4&gt;0,Y4/2-AE3&lt;0),IF(AND(AE3&gt;(Y4/2),(Y4/2)+X14-Y14)&gt;0,(Y4/2)+(X14-Y14)/2,AE3))+IF(AND(Y4&gt;0,X14=Y14),IF(AD3&gt;(Y4/2),(Y4/2),(AD3)),IF(AND(Y4&gt;0,Y4/2-AD3&lt;0),IF(AD3&gt;(Y4/2),(Y4/2)-(X14-Y14)/2,AD3))))-AD3</f>
        <v>-4200000</v>
      </c>
    </row>
    <row r="21" spans="3:38" x14ac:dyDescent="0.25">
      <c r="D21" s="2"/>
      <c r="E21" s="2"/>
      <c r="F21" s="2"/>
      <c r="W21" s="1" t="s">
        <v>43</v>
      </c>
      <c r="X21" s="2">
        <f>AD21</f>
        <v>700000</v>
      </c>
      <c r="Y21" s="2">
        <f>AE21</f>
        <v>700000</v>
      </c>
      <c r="AC21" s="1" t="s">
        <v>30</v>
      </c>
      <c r="AD21" s="2">
        <f>IF(AND((AD19-AD20)&gt;0,X14&gt;0),IF(AD19-AD20&gt;X14,X14,AD19-AD20),0)</f>
        <v>700000</v>
      </c>
      <c r="AE21" s="2">
        <f>IF(AND((AE19-AE20)&gt;0,Y14&gt;0),IF(AE19-AE20&gt;Y14,Y14,AE19-AE20),0)</f>
        <v>700000</v>
      </c>
      <c r="AH21" s="2"/>
      <c r="AI21" s="2"/>
    </row>
    <row r="22" spans="3:38" x14ac:dyDescent="0.25">
      <c r="D22" s="2"/>
      <c r="E22" s="2"/>
      <c r="F22" s="2"/>
      <c r="AC22" s="1" t="s">
        <v>31</v>
      </c>
      <c r="AD22" s="2">
        <f>IF(AD19-AD20-AD21&gt;0,AD19-AD20-AD21,0)</f>
        <v>0</v>
      </c>
      <c r="AE22" s="2">
        <f>IF(AE19-AE20-AE21&gt;0,AE19-AE20-AE21,0)</f>
        <v>0</v>
      </c>
      <c r="AH22" s="2"/>
      <c r="AI22" s="2"/>
      <c r="AK22" s="1">
        <v>2500000</v>
      </c>
      <c r="AL22" s="1" t="s">
        <v>47</v>
      </c>
    </row>
    <row r="23" spans="3:38" x14ac:dyDescent="0.25">
      <c r="C23" s="1" t="s">
        <v>16</v>
      </c>
      <c r="D23" s="2">
        <f>D8-D18</f>
        <v>0</v>
      </c>
      <c r="E23" s="7">
        <f>E8-E18</f>
        <v>2223624.6319016949</v>
      </c>
      <c r="F23" s="2">
        <f>F8-F18</f>
        <v>0</v>
      </c>
      <c r="H23" s="2">
        <f>H8-H18</f>
        <v>0</v>
      </c>
      <c r="I23" s="9">
        <f>I8-I20</f>
        <v>3013464.6141000008</v>
      </c>
      <c r="J23" s="8">
        <f>J8</f>
        <v>0</v>
      </c>
      <c r="L23" s="3" t="s">
        <v>19</v>
      </c>
      <c r="M23" s="5">
        <f>M8-M18</f>
        <v>0</v>
      </c>
      <c r="N23" s="13">
        <f>N8-N20</f>
        <v>1111812.3159508472</v>
      </c>
      <c r="O23" s="15">
        <f>O8</f>
        <v>1111812.3159508472</v>
      </c>
      <c r="Q23" s="5">
        <f>Q8-Q18</f>
        <v>0</v>
      </c>
      <c r="R23" s="13">
        <f>R8-R20</f>
        <v>1111812.3159508472</v>
      </c>
      <c r="S23" s="15">
        <f>S8</f>
        <v>1111812.3159508472</v>
      </c>
      <c r="X23" s="2">
        <f>X20-X21</f>
        <v>-200000</v>
      </c>
      <c r="Y23" s="2">
        <f>Y20-Y21</f>
        <v>1300000</v>
      </c>
      <c r="AK23" s="1">
        <v>4500000</v>
      </c>
      <c r="AL23" s="1" t="s">
        <v>45</v>
      </c>
    </row>
    <row r="24" spans="3:38" x14ac:dyDescent="0.25">
      <c r="D24" s="2"/>
      <c r="E24" s="2"/>
      <c r="F24" s="2"/>
      <c r="AC24" s="1" t="s">
        <v>34</v>
      </c>
      <c r="AD24" s="2">
        <v>500000</v>
      </c>
      <c r="AE24" s="2">
        <f>AD24</f>
        <v>500000</v>
      </c>
      <c r="AH24" s="2"/>
      <c r="AI24" s="2"/>
    </row>
    <row r="25" spans="3:38" x14ac:dyDescent="0.25">
      <c r="D25" s="2"/>
      <c r="E25" s="2"/>
      <c r="F25" s="2"/>
      <c r="Y25" s="2">
        <f>X23-Y23</f>
        <v>-1500000</v>
      </c>
      <c r="AC25" s="1" t="s">
        <v>35</v>
      </c>
      <c r="AD25" s="2">
        <f>AD21</f>
        <v>700000</v>
      </c>
      <c r="AE25" s="2">
        <f>AE21</f>
        <v>700000</v>
      </c>
      <c r="AH25" s="2"/>
      <c r="AI25" s="2"/>
      <c r="AJ25" s="1">
        <v>4200000</v>
      </c>
      <c r="AK25" s="1">
        <v>4200000</v>
      </c>
    </row>
    <row r="26" spans="3:38" x14ac:dyDescent="0.25">
      <c r="D26" s="2"/>
      <c r="E26" s="2"/>
      <c r="F26" s="2"/>
      <c r="AC26" s="1" t="s">
        <v>36</v>
      </c>
      <c r="AD26" s="2">
        <f>AD24-AD25</f>
        <v>-200000</v>
      </c>
      <c r="AE26" s="2">
        <f>AE24-AE25</f>
        <v>-200000</v>
      </c>
      <c r="AH26" s="2"/>
      <c r="AI26" s="2"/>
    </row>
    <row r="27" spans="3:38" x14ac:dyDescent="0.25">
      <c r="D27" s="2"/>
      <c r="E27" s="2"/>
      <c r="F27" s="2"/>
      <c r="AJ27" s="1">
        <v>4200000</v>
      </c>
      <c r="AK27" s="1">
        <v>2500000</v>
      </c>
      <c r="AL27" s="1" t="b">
        <f>IF(OR(AK22-AK23&gt;0,AJ27-AJ25&gt;0),AK22+IF(AK25-AK22&gt;0,AJ27-AJ25,IF(AJ25-AJ27&gt;0,AK25-AK22,AK22)))</f>
        <v>0</v>
      </c>
    </row>
    <row r="28" spans="3:38" x14ac:dyDescent="0.25">
      <c r="D28" s="2"/>
      <c r="E28" s="2"/>
      <c r="F28" s="2"/>
    </row>
    <row r="29" spans="3:38" x14ac:dyDescent="0.25">
      <c r="D29" s="2"/>
      <c r="E29" s="2"/>
      <c r="F29" s="2"/>
      <c r="AL29" s="1">
        <f>IF(OR(AK27-AK25&gt;0,AJ27-AJ25&gt;0),AK27+IF(AK27-AK25&gt;0,AK25-AK27,AJ27-AJ25),AK27)</f>
        <v>2500000</v>
      </c>
    </row>
    <row r="30" spans="3:38" x14ac:dyDescent="0.25">
      <c r="D30" s="2"/>
      <c r="E30" s="2"/>
      <c r="F30" s="2"/>
    </row>
    <row r="31" spans="3:38" x14ac:dyDescent="0.25">
      <c r="D31" s="2"/>
      <c r="E31" s="2"/>
      <c r="F31" s="2"/>
    </row>
    <row r="32" spans="3:38" x14ac:dyDescent="0.25">
      <c r="D32" s="2"/>
      <c r="E32" s="2"/>
      <c r="F32" s="2"/>
    </row>
    <row r="33" spans="4:6" x14ac:dyDescent="0.25">
      <c r="D33" s="2"/>
      <c r="E33" s="2"/>
      <c r="F33" s="2"/>
    </row>
    <row r="34" spans="4:6" x14ac:dyDescent="0.25">
      <c r="D34" s="2"/>
      <c r="E34" s="2"/>
      <c r="F34" s="2"/>
    </row>
    <row r="35" spans="4:6" x14ac:dyDescent="0.25">
      <c r="D35" s="2"/>
      <c r="E35" s="2"/>
      <c r="F35" s="2"/>
    </row>
    <row r="36" spans="4:6" x14ac:dyDescent="0.25">
      <c r="D36" s="2"/>
      <c r="E36" s="2"/>
      <c r="F36" s="2"/>
    </row>
    <row r="37" spans="4:6" x14ac:dyDescent="0.25">
      <c r="D37" s="2"/>
      <c r="E37" s="2"/>
      <c r="F37" s="2"/>
    </row>
    <row r="38" spans="4:6" x14ac:dyDescent="0.25">
      <c r="D38" s="2"/>
      <c r="E38" s="2"/>
      <c r="F38" s="2"/>
    </row>
    <row r="39" spans="4:6" x14ac:dyDescent="0.25">
      <c r="D39" s="2"/>
      <c r="E39" s="2"/>
      <c r="F39" s="2"/>
    </row>
    <row r="40" spans="4:6" x14ac:dyDescent="0.25">
      <c r="D40" s="2"/>
      <c r="E40" s="2"/>
      <c r="F40" s="2"/>
    </row>
    <row r="41" spans="4:6" x14ac:dyDescent="0.25">
      <c r="D41" s="2"/>
      <c r="E41" s="2"/>
      <c r="F41" s="2"/>
    </row>
    <row r="42" spans="4:6" x14ac:dyDescent="0.25">
      <c r="D42" s="2"/>
      <c r="E42" s="2"/>
      <c r="F42" s="2"/>
    </row>
    <row r="43" spans="4:6" x14ac:dyDescent="0.25">
      <c r="D43" s="2"/>
      <c r="E43" s="2"/>
      <c r="F43" s="2"/>
    </row>
    <row r="44" spans="4:6" x14ac:dyDescent="0.25">
      <c r="D44" s="2"/>
      <c r="E44" s="2"/>
      <c r="F44" s="2"/>
    </row>
    <row r="45" spans="4:6" x14ac:dyDescent="0.25">
      <c r="D45" s="2"/>
      <c r="E45" s="2"/>
      <c r="F45" s="2"/>
    </row>
    <row r="46" spans="4:6" x14ac:dyDescent="0.25">
      <c r="D46" s="2"/>
      <c r="E46" s="2"/>
      <c r="F46" s="2"/>
    </row>
    <row r="47" spans="4:6" x14ac:dyDescent="0.25">
      <c r="D47" s="2"/>
      <c r="E47" s="2"/>
      <c r="F47" s="2"/>
    </row>
    <row r="48" spans="4:6" x14ac:dyDescent="0.25">
      <c r="D48" s="2"/>
      <c r="E48" s="2"/>
      <c r="F48" s="2"/>
    </row>
    <row r="49" spans="4:6" x14ac:dyDescent="0.25">
      <c r="D49" s="2"/>
      <c r="E49" s="2"/>
      <c r="F49" s="2"/>
    </row>
    <row r="50" spans="4:6" x14ac:dyDescent="0.25">
      <c r="D50" s="2"/>
      <c r="E50" s="2"/>
      <c r="F50" s="2"/>
    </row>
    <row r="51" spans="4:6" x14ac:dyDescent="0.25">
      <c r="D51" s="2"/>
      <c r="E51" s="2"/>
      <c r="F51" s="2"/>
    </row>
    <row r="52" spans="4:6" x14ac:dyDescent="0.25">
      <c r="D52" s="2"/>
      <c r="E52" s="2"/>
      <c r="F52" s="2"/>
    </row>
    <row r="53" spans="4:6" x14ac:dyDescent="0.25">
      <c r="D53" s="2"/>
      <c r="E53" s="2"/>
      <c r="F53" s="2"/>
    </row>
    <row r="54" spans="4:6" x14ac:dyDescent="0.25">
      <c r="D54" s="2"/>
      <c r="E54" s="2"/>
      <c r="F54" s="2"/>
    </row>
    <row r="55" spans="4:6" x14ac:dyDescent="0.25">
      <c r="D55" s="2"/>
      <c r="E55" s="2"/>
      <c r="F55" s="2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70335-858B-4EA8-A593-41125BFC5936}">
  <dimension ref="C1:AM55"/>
  <sheetViews>
    <sheetView topLeftCell="V1" workbookViewId="0">
      <selection activeCell="G8" sqref="A1:XFD1048576"/>
    </sheetView>
  </sheetViews>
  <sheetFormatPr defaultColWidth="9.140625" defaultRowHeight="15" x14ac:dyDescent="0.25"/>
  <cols>
    <col min="1" max="2" width="9.140625" style="1"/>
    <col min="3" max="3" width="41.5703125" style="1" hidden="1" customWidth="1"/>
    <col min="4" max="4" width="9.85546875" style="1" hidden="1" customWidth="1"/>
    <col min="5" max="5" width="10.140625" style="1" hidden="1" customWidth="1"/>
    <col min="6" max="6" width="9.85546875" style="1" hidden="1" customWidth="1"/>
    <col min="7" max="7" width="0" style="1" hidden="1" customWidth="1"/>
    <col min="8" max="8" width="9.85546875" style="1" hidden="1" customWidth="1"/>
    <col min="9" max="9" width="10.140625" style="2" hidden="1" customWidth="1"/>
    <col min="10" max="10" width="9.85546875" style="1" hidden="1" customWidth="1"/>
    <col min="11" max="12" width="0" style="1" hidden="1" customWidth="1"/>
    <col min="13" max="13" width="12.42578125" style="1" hidden="1" customWidth="1"/>
    <col min="14" max="14" width="12.28515625" style="1" hidden="1" customWidth="1"/>
    <col min="15" max="15" width="14" style="1" hidden="1" customWidth="1"/>
    <col min="16" max="16" width="0" style="1" hidden="1" customWidth="1"/>
    <col min="17" max="17" width="11.5703125" style="1" hidden="1" customWidth="1"/>
    <col min="18" max="19" width="11.28515625" style="1" hidden="1" customWidth="1"/>
    <col min="20" max="21" width="0" style="1" hidden="1" customWidth="1"/>
    <col min="22" max="22" width="9.140625" style="1"/>
    <col min="23" max="23" width="29.7109375" style="1" bestFit="1" customWidth="1"/>
    <col min="24" max="25" width="9.85546875" style="2" bestFit="1" customWidth="1"/>
    <col min="26" max="26" width="2.140625" style="1" customWidth="1"/>
    <col min="27" max="28" width="9.140625" style="1"/>
    <col min="29" max="29" width="26.42578125" style="1" bestFit="1" customWidth="1"/>
    <col min="30" max="31" width="8.85546875" style="1" bestFit="1" customWidth="1"/>
    <col min="32" max="37" width="9.140625" style="1"/>
    <col min="38" max="38" width="9.5703125" style="1" bestFit="1" customWidth="1"/>
    <col min="39" max="16384" width="9.140625" style="1"/>
  </cols>
  <sheetData>
    <row r="1" spans="3:39" x14ac:dyDescent="0.25">
      <c r="C1" s="11" t="s">
        <v>11</v>
      </c>
      <c r="H1" s="11" t="s">
        <v>10</v>
      </c>
      <c r="M1" s="11" t="s">
        <v>20</v>
      </c>
      <c r="Q1" s="16" t="s">
        <v>20</v>
      </c>
    </row>
    <row r="2" spans="3:39" x14ac:dyDescent="0.25">
      <c r="D2" s="3" t="s">
        <v>1</v>
      </c>
      <c r="E2" s="3" t="s">
        <v>3</v>
      </c>
      <c r="F2" s="3" t="s">
        <v>2</v>
      </c>
      <c r="H2" s="3" t="s">
        <v>1</v>
      </c>
      <c r="I2" s="4" t="s">
        <v>3</v>
      </c>
      <c r="J2" s="3" t="s">
        <v>2</v>
      </c>
      <c r="M2" s="3" t="s">
        <v>1</v>
      </c>
      <c r="N2" s="4" t="s">
        <v>3</v>
      </c>
      <c r="O2" s="3" t="s">
        <v>2</v>
      </c>
      <c r="Q2" s="1" t="s">
        <v>1</v>
      </c>
      <c r="R2" s="1" t="s">
        <v>3</v>
      </c>
      <c r="S2" s="1" t="s">
        <v>2</v>
      </c>
      <c r="W2" s="20" t="s">
        <v>23</v>
      </c>
      <c r="AD2" s="4" t="s">
        <v>3</v>
      </c>
      <c r="AE2" s="4" t="s">
        <v>2</v>
      </c>
      <c r="AJ2" s="1">
        <f>IF(AND(Y4&gt;0,X14=Y14),IF(AD3&gt;(Y4/2),(Y4/2),(AD3)),IF(AND(Y4&gt;0,Y4/2-AD3&lt;0),IF(AD3&gt;(Y4/2),(Y4/2)-(X14-Y14)/2,AD3)))</f>
        <v>3500000</v>
      </c>
    </row>
    <row r="3" spans="3:39" x14ac:dyDescent="0.25">
      <c r="C3" s="3" t="s">
        <v>0</v>
      </c>
      <c r="D3" s="2">
        <v>1532192.4137016949</v>
      </c>
      <c r="E3" s="2">
        <v>3853616.0441000005</v>
      </c>
      <c r="F3" s="2">
        <v>3853616.0441000005</v>
      </c>
      <c r="H3" s="2">
        <v>1532192.4137016949</v>
      </c>
      <c r="I3" s="2">
        <v>3853616.0441000005</v>
      </c>
      <c r="J3" s="2">
        <v>3853616.0441000005</v>
      </c>
      <c r="M3" s="2">
        <v>1532192.4137016949</v>
      </c>
      <c r="N3" s="2">
        <v>3853616.0441000005</v>
      </c>
      <c r="O3" s="2">
        <v>3853616.0441000005</v>
      </c>
      <c r="Q3" s="2">
        <v>1532192.4137016949</v>
      </c>
      <c r="R3" s="2">
        <v>3853616.0441000005</v>
      </c>
      <c r="S3" s="2">
        <v>3853616.0441000005</v>
      </c>
      <c r="AC3" s="1" t="s">
        <v>0</v>
      </c>
      <c r="AD3" s="2">
        <v>4200000</v>
      </c>
      <c r="AE3" s="2">
        <v>4200000</v>
      </c>
      <c r="AH3" s="1">
        <f>IF(IF(AND(Y4&gt;0,X14=Y14),IF(AD3&gt;(Y4/2),(Y4/2),(AD3)),IF(AND(Y4&gt;0,Y4/2-AD3&lt;0),IF(AD3&gt;(Y4/2),(Y4/2)-(X14-Y14)/2,AD3)))-AD3&gt;0,IF(IF(AND(Y4&gt;0,Y4/2-AD3&lt;0),IF(AD3&gt;(Y4/2),(Y4/2)-(X14-Y14)/2,AD3))-AD3&gt;0,AD3,IF(AND(Y4&gt;0,Y4/2-AD3&lt;0),IF(AD3&gt;(Y4/2),(Y4/2)-(X14-Y14)/2,AD3))),IF(AND(Y4&gt;0,X14=Y14),IF(AD3&gt;(Y4/2),(Y4/2),(AD3)),IF(AND(Y4&gt;0,Y4/2-AD3&lt;0),IF(AD3&gt;(Y4/2),(Y4/2)-(X14-Y14)/2,AD3))))</f>
        <v>3500000</v>
      </c>
      <c r="AJ3" s="1">
        <f>IF(IF(AND(Y4&gt;0,Y4/2-AD3&lt;0),IF(AD3&gt;(Y4/2),(Y4/2)-(X14-Y14)/2,AD3))-AD3&gt;0,AD3,IF(AND(Y4&gt;0,Y4/2-AD3&lt;0),IF(AD3&gt;(Y4/2),(Y4/2)-(X14-Y14)/2,AD3)))</f>
        <v>3500000</v>
      </c>
    </row>
    <row r="4" spans="3:39" x14ac:dyDescent="0.25">
      <c r="C4" s="3" t="s">
        <v>14</v>
      </c>
      <c r="D4" s="2">
        <v>0</v>
      </c>
      <c r="E4" s="2">
        <v>0</v>
      </c>
      <c r="F4" s="2">
        <v>0</v>
      </c>
      <c r="H4" s="2"/>
      <c r="J4" s="2">
        <f>H16</f>
        <v>3803304.5962983067</v>
      </c>
      <c r="N4" s="14">
        <f>M16/2</f>
        <v>1901652.2981491534</v>
      </c>
      <c r="O4" s="14">
        <f>N4</f>
        <v>1901652.2981491534</v>
      </c>
      <c r="R4" s="14">
        <f>Q16/2</f>
        <v>1901652.2981491534</v>
      </c>
      <c r="S4" s="14">
        <f>R4</f>
        <v>1901652.2981491534</v>
      </c>
      <c r="W4" s="1" t="s">
        <v>25</v>
      </c>
      <c r="Y4" s="2">
        <v>7000000</v>
      </c>
      <c r="AD4" s="2"/>
      <c r="AE4" s="2"/>
      <c r="AF4" s="1" t="s">
        <v>2</v>
      </c>
      <c r="AG4" s="1" t="s">
        <v>2</v>
      </c>
      <c r="AH4" s="1">
        <f>IF(IF(AND(Y4&gt;0,X14=Y14),IF(AD3&gt;(Y4/2),(Y4/2),(AD3)),IF(AND(Y4&gt;0,Y4/2-AD3&lt;0),IF(AD3&gt;(Y4/2),(Y4/2)-(X14-Y14)/2,AD3)))-AE3&gt;0,IF(OR(AK27-AK25&gt;0,AJ27-AJ25&gt;0),AK27+IF(AK27-AK25&gt;0,AK25-AK27,AJ27-AJ25),AK27),IF(AND(Y4&gt;0,X14=Y14),IF(AD3&gt;(Y4/2),(Y4/2),(AD3)),IF(AND(Y4&gt;0,Y4/2-AD3&lt;0),IF(AD3&gt;(Y4/2),(Y4/2)-(X14-Y14)/2,AD3))))</f>
        <v>3500000</v>
      </c>
      <c r="AJ4" s="1" t="s">
        <v>49</v>
      </c>
    </row>
    <row r="5" spans="3:39" x14ac:dyDescent="0.25">
      <c r="C5" s="3" t="s">
        <v>17</v>
      </c>
      <c r="D5" s="2"/>
      <c r="E5" s="2"/>
      <c r="F5" s="2"/>
      <c r="H5" s="2"/>
      <c r="J5" s="2">
        <f>J3-J4</f>
        <v>50311.447801693808</v>
      </c>
      <c r="N5" s="2">
        <f t="shared" ref="N5:O5" si="0">N3-N4</f>
        <v>1951963.7459508472</v>
      </c>
      <c r="O5" s="2">
        <f t="shared" si="0"/>
        <v>1951963.7459508472</v>
      </c>
      <c r="R5" s="2">
        <f t="shared" ref="R5:S5" si="1">R3-R4</f>
        <v>1951963.7459508472</v>
      </c>
      <c r="S5" s="2">
        <f t="shared" si="1"/>
        <v>1951963.7459508472</v>
      </c>
      <c r="AC5" s="1" t="s">
        <v>22</v>
      </c>
      <c r="AD5" s="2"/>
      <c r="AE5" s="19">
        <f>IF(AND(Y4&gt;0,X14=Y14),IF(AE3&gt;(Y4/2),(Y4/2),(AE3)),0)</f>
        <v>3500000</v>
      </c>
      <c r="AF5" s="1" t="s">
        <v>3</v>
      </c>
      <c r="AG5" s="1" t="s">
        <v>3</v>
      </c>
      <c r="AH5" s="1" t="s">
        <v>45</v>
      </c>
    </row>
    <row r="6" spans="3:39" x14ac:dyDescent="0.25">
      <c r="C6" s="1" t="s">
        <v>4</v>
      </c>
      <c r="D6" s="2">
        <f>D3</f>
        <v>1532192.4137016949</v>
      </c>
      <c r="E6" s="2">
        <v>840151.42999999993</v>
      </c>
      <c r="F6" s="2">
        <v>840151.42999999993</v>
      </c>
      <c r="H6" s="2">
        <v>1532192.4137016949</v>
      </c>
      <c r="I6" s="2">
        <f>I10</f>
        <v>840151.42999999993</v>
      </c>
      <c r="J6" s="2">
        <f>J5</f>
        <v>50311.447801693808</v>
      </c>
      <c r="M6" s="2">
        <v>1532192.4137016949</v>
      </c>
      <c r="N6" s="2">
        <f>N10</f>
        <v>840151.42999999993</v>
      </c>
      <c r="O6" s="2">
        <f>O10</f>
        <v>840151.42999999993</v>
      </c>
      <c r="Q6" s="1">
        <v>1532192.4137016949</v>
      </c>
      <c r="R6" s="2">
        <f>R10</f>
        <v>840151.42999999993</v>
      </c>
      <c r="S6" s="2">
        <f>S10</f>
        <v>840151.42999999993</v>
      </c>
      <c r="X6" s="17"/>
      <c r="Y6" s="17"/>
      <c r="AC6" s="1" t="s">
        <v>24</v>
      </c>
      <c r="AD6" s="19">
        <f>IF(AND(Y4&gt;0,X14=Y14),IF(AD3&gt;(Y4/2),(Y4/2),(AD3)),0)</f>
        <v>3500000</v>
      </c>
      <c r="AE6" s="2"/>
      <c r="AI6" s="1">
        <f>IF(AND(Y4&gt;0,X14=Y14),IF(AD3&gt;(Y4/2),(Y4/2),(AD3)),IF(AND(Y4&gt;0,Y4/2-AD3&lt;0),IF(AD3&gt;(Y4/2),(Y4/2)-(X14-Y14)/2,AD3)))</f>
        <v>3500000</v>
      </c>
      <c r="AK6" s="1">
        <f>IF(AND(Y4&gt;0,X14=Y14),IF(AE3&gt;(Y4/2),(Y4/2),(AE3)),IF(AND(Y4&gt;0,Y4/2-AE3&lt;0),IF(AND(AE3&gt;(Y4/2),(Y4/2)+X14-Y14)&gt;0,(Y4/2)+(X14-Y14)/2,AE3)))</f>
        <v>3500000</v>
      </c>
      <c r="AL6" s="1">
        <f>IF(AND(Y4&gt;0,Y4/2-AE3&lt;0),IF(AND(AE3&gt;(Y4/2),(Y4/2)+X14-Y14)&gt;0,(Y4/2)+(X14-Y14)/2,AE3))</f>
        <v>3500000</v>
      </c>
      <c r="AM6" s="1">
        <f>IF(AND(Y4&gt;0,X14=Y14),IF(AE3&gt;(Y4/2),(Y4/2),(AE3)),IF(AND(Y4&gt;0,Y4/2-AE3&lt;0),IF(AND(AE3&gt;(Y4/2),(Y4/2)+X14-Y14)&gt;0,(Y4/2)+(X14-Y14)/2,AE3)))</f>
        <v>3500000</v>
      </c>
    </row>
    <row r="7" spans="3:39" x14ac:dyDescent="0.25">
      <c r="C7" s="3"/>
      <c r="D7" s="2"/>
      <c r="E7" s="2"/>
      <c r="F7" s="2"/>
      <c r="AC7" s="1" t="s">
        <v>6</v>
      </c>
      <c r="AD7" s="2">
        <f>AD3-AD6</f>
        <v>700000</v>
      </c>
      <c r="AE7" s="2">
        <f>AE3-AE5</f>
        <v>700000</v>
      </c>
      <c r="AI7" s="22">
        <f>IF(IF(AND(Y4&gt;0,Y4/2-AD3&lt;0),IF(AD3&gt;(Y4/2),(Y4/2)-(X14-Y14)/2,AD3))-AD3&gt;0,AD3,IF(AND(Y4&gt;0,Y4/2-AD3&lt;0),IF(AD3&gt;(Y4/2),(Y4/2)-(X14-Y14)/2,AD3)))</f>
        <v>3500000</v>
      </c>
    </row>
    <row r="8" spans="3:39" x14ac:dyDescent="0.25">
      <c r="C8" s="3" t="s">
        <v>6</v>
      </c>
      <c r="D8" s="5">
        <f>D3-D6</f>
        <v>0</v>
      </c>
      <c r="E8" s="2">
        <f>E3-E6</f>
        <v>3013464.6141000008</v>
      </c>
      <c r="F8" s="2">
        <f>F3-F6</f>
        <v>3013464.6141000008</v>
      </c>
      <c r="H8" s="5">
        <f>H3-H6</f>
        <v>0</v>
      </c>
      <c r="I8" s="2">
        <f>I3-I6</f>
        <v>3013464.6141000008</v>
      </c>
      <c r="J8" s="5">
        <f>J3-J4-J6</f>
        <v>0</v>
      </c>
      <c r="M8" s="5">
        <f>M3-M6</f>
        <v>0</v>
      </c>
      <c r="N8" s="2">
        <f>N5-N6</f>
        <v>1111812.3159508472</v>
      </c>
      <c r="O8" s="2">
        <f>O5-O6</f>
        <v>1111812.3159508472</v>
      </c>
      <c r="Q8" s="5">
        <f>Q3-Q6</f>
        <v>0</v>
      </c>
      <c r="R8" s="2">
        <f>R5-R6</f>
        <v>1111812.3159508472</v>
      </c>
      <c r="S8" s="2">
        <f>S5-S6</f>
        <v>1111812.3159508472</v>
      </c>
      <c r="AF8" s="1" t="s">
        <v>2</v>
      </c>
      <c r="AG8" s="1">
        <f>IF(X14=Y14,IF(AND(Y4&gt;0,X14=Y14),IF(AE3&gt;(Y4/2),(Y4/2),(AE3)),IF(AND(Y4&gt;0,Y4/2-AE3&lt;0),IF(AND(AE3&gt;(Y4/2),(Y4/2)+X14-Y14)&gt;0,(Y4/2)+X14-Y14),AE3)),IF((AE3)-((Y4/2)+(X14-Y14))&lt;0,((Y4/2)+X14-Y14)+(AE3)-((Y4/2)+(X14-Y14)),(Y4/2)+(X14-Y14)))</f>
        <v>3500000</v>
      </c>
    </row>
    <row r="9" spans="3:39" x14ac:dyDescent="0.25">
      <c r="C9" s="3"/>
      <c r="D9" s="2"/>
      <c r="E9" s="2"/>
      <c r="F9" s="2"/>
      <c r="AF9" s="1" t="s">
        <v>3</v>
      </c>
      <c r="AG9" s="1">
        <f>IF(X14=Y14,IF(AND(Y4&gt;0,X14=Y14),IF(AD3&gt;(Y4/2),(Y4/2),(AD3)),IF(AND(Y4&gt;0,Y4/2-AD3&lt;0),IF(AD3&gt;(Y4/2),(Y4/2)-X14+Y14),AD3)),IF((AE3)-((Y4/2)+(Y14-X14))&lt;0,((Y4/2)+Y14-X14)+(AE3)-((Y4/2)+(Y14-X14)),(Y4/2)+(Y14-X14))-((AE3)-((Y4/2)+(X14-Y14))))</f>
        <v>3500000</v>
      </c>
      <c r="AI9" s="1">
        <v>4500000</v>
      </c>
      <c r="AJ9" s="1" t="s">
        <v>45</v>
      </c>
    </row>
    <row r="10" spans="3:39" x14ac:dyDescent="0.25">
      <c r="C10" s="3" t="s">
        <v>5</v>
      </c>
      <c r="D10" s="2">
        <v>5335497.0100000016</v>
      </c>
      <c r="E10" s="2">
        <v>840151.42999999993</v>
      </c>
      <c r="F10" s="2">
        <v>840151.42999999993</v>
      </c>
      <c r="H10" s="2">
        <v>5335497.0100000016</v>
      </c>
      <c r="I10" s="2">
        <v>840151.42999999993</v>
      </c>
      <c r="J10" s="2">
        <v>840151.42999999993</v>
      </c>
      <c r="M10" s="2">
        <v>5335497.0100000016</v>
      </c>
      <c r="N10" s="2">
        <v>840151.42999999993</v>
      </c>
      <c r="O10" s="2">
        <v>840151.42999999993</v>
      </c>
      <c r="Q10" s="1">
        <v>5335497.0100000016</v>
      </c>
      <c r="R10" s="1">
        <v>840151.42999999993</v>
      </c>
      <c r="S10" s="1">
        <v>840151.42999999993</v>
      </c>
    </row>
    <row r="11" spans="3:39" x14ac:dyDescent="0.25">
      <c r="C11" s="1" t="s">
        <v>4</v>
      </c>
      <c r="D11" s="2">
        <f>D6</f>
        <v>1532192.4137016949</v>
      </c>
      <c r="E11" s="2">
        <f>E6</f>
        <v>840151.42999999993</v>
      </c>
      <c r="F11" s="2">
        <f>F6</f>
        <v>840151.42999999993</v>
      </c>
      <c r="H11" s="2">
        <f>H6</f>
        <v>1532192.4137016949</v>
      </c>
      <c r="I11" s="2">
        <f>I6</f>
        <v>840151.42999999993</v>
      </c>
      <c r="J11" s="2">
        <f>J6</f>
        <v>50311.447801693808</v>
      </c>
      <c r="M11" s="2">
        <f>M6</f>
        <v>1532192.4137016949</v>
      </c>
      <c r="N11" s="2">
        <f>N6</f>
        <v>840151.42999999993</v>
      </c>
      <c r="O11" s="2">
        <f>O6</f>
        <v>840151.42999999993</v>
      </c>
      <c r="Q11" s="2">
        <f>Q6</f>
        <v>1532192.4137016949</v>
      </c>
      <c r="R11" s="2">
        <f>R6</f>
        <v>840151.42999999993</v>
      </c>
      <c r="S11" s="2">
        <f>S6</f>
        <v>840151.42999999993</v>
      </c>
    </row>
    <row r="12" spans="3:39" x14ac:dyDescent="0.25">
      <c r="C12" s="3" t="s">
        <v>15</v>
      </c>
      <c r="D12" s="2"/>
      <c r="E12" s="2"/>
      <c r="F12" s="2"/>
      <c r="H12" s="2"/>
      <c r="AG12" s="2"/>
    </row>
    <row r="13" spans="3:39" x14ac:dyDescent="0.25">
      <c r="C13" s="1" t="s">
        <v>12</v>
      </c>
      <c r="D13" s="2">
        <f>F18</f>
        <v>3013464.6141000008</v>
      </c>
      <c r="E13" s="2"/>
      <c r="F13" s="2"/>
      <c r="H13" s="2">
        <v>3803304.5962983067</v>
      </c>
      <c r="M13" s="5">
        <v>0</v>
      </c>
      <c r="Q13" s="1">
        <v>0</v>
      </c>
      <c r="X13" s="2" t="s">
        <v>3</v>
      </c>
      <c r="Y13" s="2" t="s">
        <v>2</v>
      </c>
      <c r="AD13" s="1">
        <v>3750000</v>
      </c>
      <c r="AE13" s="1">
        <v>3250000</v>
      </c>
      <c r="AF13" s="1">
        <f>AD13-AE13</f>
        <v>500000</v>
      </c>
    </row>
    <row r="14" spans="3:39" x14ac:dyDescent="0.25">
      <c r="C14" s="1" t="s">
        <v>13</v>
      </c>
      <c r="D14" s="2">
        <f>E18</f>
        <v>789839.98219830589</v>
      </c>
      <c r="E14" s="2"/>
      <c r="F14" s="2"/>
      <c r="H14" s="5">
        <v>0</v>
      </c>
      <c r="M14" s="5">
        <v>0</v>
      </c>
      <c r="Q14" s="1">
        <v>0</v>
      </c>
      <c r="W14" s="1" t="s">
        <v>21</v>
      </c>
      <c r="X14" s="2">
        <v>2000000</v>
      </c>
      <c r="Y14" s="2">
        <v>2000000</v>
      </c>
      <c r="AA14" s="2"/>
      <c r="AB14" s="2"/>
      <c r="AC14" s="18">
        <f>IF(AND(Y4&gt;0,X12=Y12),IF(AE3&gt;Y4,(Y4/2),(AE3/2)),0)</f>
        <v>2100000</v>
      </c>
      <c r="AD14" s="21">
        <f>IF(AND(Y4&gt;0,X12=Y12),IF(AE3&gt;(Y4/2),(Y4/2),(AE3)),0)</f>
        <v>3500000</v>
      </c>
      <c r="AG14" s="2"/>
      <c r="AH14" s="2"/>
    </row>
    <row r="15" spans="3:39" x14ac:dyDescent="0.25">
      <c r="D15" s="2"/>
      <c r="E15" s="2"/>
      <c r="F15" s="2"/>
      <c r="W15" s="1" t="s">
        <v>25</v>
      </c>
      <c r="AA15" s="2"/>
      <c r="AB15" s="2"/>
      <c r="AC15" s="18">
        <f>IF(AND(Y4&gt;0,X12=Y12),IF(AD3&gt;Y4,(Y4/2),(AD3/2)),0)</f>
        <v>2100000</v>
      </c>
      <c r="AD15" s="21">
        <f>AD3-AD13</f>
        <v>450000</v>
      </c>
      <c r="AE15" s="21">
        <f>AE3-AE13</f>
        <v>950000</v>
      </c>
    </row>
    <row r="16" spans="3:39" x14ac:dyDescent="0.25">
      <c r="C16" s="3" t="s">
        <v>7</v>
      </c>
      <c r="D16" s="2">
        <f>D10-D11</f>
        <v>3803304.5962983067</v>
      </c>
      <c r="E16" s="5">
        <f t="shared" ref="E16:F16" si="2">E10-E11</f>
        <v>0</v>
      </c>
      <c r="F16" s="5">
        <f t="shared" si="2"/>
        <v>0</v>
      </c>
      <c r="H16" s="2">
        <f>H10-H11</f>
        <v>3803304.5962983067</v>
      </c>
      <c r="M16" s="2">
        <f>M10-M11</f>
        <v>3803304.5962983067</v>
      </c>
      <c r="Q16" s="2">
        <f>Q10-Q11</f>
        <v>3803304.5962983067</v>
      </c>
      <c r="W16" s="1" t="s">
        <v>26</v>
      </c>
    </row>
    <row r="17" spans="3:38" x14ac:dyDescent="0.25">
      <c r="D17" s="2"/>
      <c r="E17" s="2"/>
      <c r="F17" s="2"/>
    </row>
    <row r="18" spans="3:38" x14ac:dyDescent="0.25">
      <c r="C18" s="1" t="s">
        <v>8</v>
      </c>
      <c r="D18" s="5">
        <v>0</v>
      </c>
      <c r="E18" s="2">
        <f>D16-F18</f>
        <v>789839.98219830589</v>
      </c>
      <c r="F18" s="2">
        <f>F8</f>
        <v>3013464.6141000008</v>
      </c>
      <c r="M18" s="5">
        <v>0</v>
      </c>
      <c r="N18" s="15">
        <f>N4</f>
        <v>1901652.2981491534</v>
      </c>
      <c r="O18" s="15">
        <f>O4</f>
        <v>1901652.2981491534</v>
      </c>
      <c r="Q18" s="5">
        <v>0</v>
      </c>
      <c r="R18" s="15">
        <f>R4</f>
        <v>1901652.2981491534</v>
      </c>
      <c r="S18" s="15">
        <f>S4</f>
        <v>1901652.2981491534</v>
      </c>
      <c r="AD18" s="2" t="s">
        <v>3</v>
      </c>
      <c r="AE18" s="2" t="s">
        <v>2</v>
      </c>
      <c r="AH18" s="2"/>
      <c r="AI18" s="2"/>
    </row>
    <row r="19" spans="3:38" x14ac:dyDescent="0.25">
      <c r="D19" s="2"/>
      <c r="E19" s="2"/>
      <c r="F19" s="2"/>
      <c r="X19" s="2" t="s">
        <v>3</v>
      </c>
      <c r="Y19" s="2" t="s">
        <v>2</v>
      </c>
      <c r="AC19" s="1" t="s">
        <v>0</v>
      </c>
      <c r="AD19" s="2">
        <f>AD3</f>
        <v>4200000</v>
      </c>
      <c r="AE19" s="2">
        <f>AE3</f>
        <v>4200000</v>
      </c>
      <c r="AH19" s="2"/>
      <c r="AI19" s="2"/>
    </row>
    <row r="20" spans="3:38" x14ac:dyDescent="0.25">
      <c r="C20" s="3" t="s">
        <v>9</v>
      </c>
      <c r="D20" s="6">
        <f>D16-D13-D14</f>
        <v>0</v>
      </c>
      <c r="E20" s="6">
        <f>E16</f>
        <v>0</v>
      </c>
      <c r="F20" s="6">
        <f>F16</f>
        <v>0</v>
      </c>
      <c r="H20" s="5">
        <f>H10-H11-H16</f>
        <v>0</v>
      </c>
      <c r="I20" s="5">
        <f>I10-I11</f>
        <v>0</v>
      </c>
      <c r="J20" s="10">
        <f>J10-J11</f>
        <v>789839.98219830613</v>
      </c>
      <c r="L20" s="3" t="s">
        <v>18</v>
      </c>
      <c r="M20" s="12">
        <f>M16-M13-M14</f>
        <v>3803304.5962983067</v>
      </c>
      <c r="N20" s="12">
        <f>N16</f>
        <v>0</v>
      </c>
      <c r="O20" s="12">
        <f>O16</f>
        <v>0</v>
      </c>
      <c r="Q20" s="12">
        <f>Q16-Q13-Q14</f>
        <v>3803304.5962983067</v>
      </c>
      <c r="R20" s="12">
        <f>R16</f>
        <v>0</v>
      </c>
      <c r="S20" s="12">
        <f>S16</f>
        <v>0</v>
      </c>
      <c r="W20" s="1" t="s">
        <v>21</v>
      </c>
      <c r="X20" s="2">
        <v>500000</v>
      </c>
      <c r="Y20" s="2">
        <v>2000000</v>
      </c>
      <c r="AC20" s="1" t="s">
        <v>29</v>
      </c>
      <c r="AD20" s="2">
        <f>AD6</f>
        <v>3500000</v>
      </c>
      <c r="AE20" s="2">
        <f>AE5</f>
        <v>3500000</v>
      </c>
      <c r="AL20" s="2"/>
    </row>
    <row r="21" spans="3:38" x14ac:dyDescent="0.25">
      <c r="D21" s="2"/>
      <c r="E21" s="2"/>
      <c r="F21" s="2"/>
      <c r="W21" s="1" t="s">
        <v>43</v>
      </c>
      <c r="X21" s="2">
        <f>AD21</f>
        <v>700000</v>
      </c>
      <c r="Y21" s="2">
        <f>AE21</f>
        <v>700000</v>
      </c>
      <c r="AC21" s="1" t="s">
        <v>30</v>
      </c>
      <c r="AD21" s="2">
        <f>IF(AND((AD19-AD20)&gt;0,X14&gt;0),IF(AD19-AD20&gt;X14,X14,AD19-AD20),0)</f>
        <v>700000</v>
      </c>
      <c r="AE21" s="2">
        <f>IF(AND((AE19-AE20)&gt;0,Y14&gt;0),IF(AE19-AE20&gt;Y14,Y14,AE19-AE20),0)</f>
        <v>700000</v>
      </c>
      <c r="AH21" s="2"/>
      <c r="AI21" s="2"/>
    </row>
    <row r="22" spans="3:38" x14ac:dyDescent="0.25">
      <c r="D22" s="2"/>
      <c r="E22" s="2"/>
      <c r="F22" s="2"/>
      <c r="AC22" s="1" t="s">
        <v>31</v>
      </c>
      <c r="AD22" s="2">
        <f>IF(AD19-AD20-AD21&gt;0,AD19-AD20-AD21,0)</f>
        <v>0</v>
      </c>
      <c r="AE22" s="2">
        <f>IF(AE19-AE20-AE21&gt;0,AE19-AE20-AE21,0)</f>
        <v>0</v>
      </c>
      <c r="AH22" s="2"/>
      <c r="AI22" s="2"/>
      <c r="AK22" s="1">
        <v>2500000</v>
      </c>
      <c r="AL22" s="1" t="s">
        <v>47</v>
      </c>
    </row>
    <row r="23" spans="3:38" x14ac:dyDescent="0.25">
      <c r="C23" s="1" t="s">
        <v>16</v>
      </c>
      <c r="D23" s="2">
        <f>D8-D18</f>
        <v>0</v>
      </c>
      <c r="E23" s="7">
        <f>E8-E18</f>
        <v>2223624.6319016949</v>
      </c>
      <c r="F23" s="2">
        <f>F8-F18</f>
        <v>0</v>
      </c>
      <c r="H23" s="2">
        <f>H8-H18</f>
        <v>0</v>
      </c>
      <c r="I23" s="9">
        <f>I8-I20</f>
        <v>3013464.6141000008</v>
      </c>
      <c r="J23" s="8">
        <f>J8</f>
        <v>0</v>
      </c>
      <c r="L23" s="3" t="s">
        <v>19</v>
      </c>
      <c r="M23" s="5">
        <f>M8-M18</f>
        <v>0</v>
      </c>
      <c r="N23" s="13">
        <f>N8-N20</f>
        <v>1111812.3159508472</v>
      </c>
      <c r="O23" s="15">
        <f>O8</f>
        <v>1111812.3159508472</v>
      </c>
      <c r="Q23" s="5">
        <f>Q8-Q18</f>
        <v>0</v>
      </c>
      <c r="R23" s="13">
        <f>R8-R20</f>
        <v>1111812.3159508472</v>
      </c>
      <c r="S23" s="15">
        <f>S8</f>
        <v>1111812.3159508472</v>
      </c>
      <c r="X23" s="2">
        <f>X20-X21</f>
        <v>-200000</v>
      </c>
      <c r="Y23" s="2">
        <f>Y20-Y21</f>
        <v>1300000</v>
      </c>
      <c r="AK23" s="1">
        <v>4500000</v>
      </c>
      <c r="AL23" s="1" t="s">
        <v>45</v>
      </c>
    </row>
    <row r="24" spans="3:38" x14ac:dyDescent="0.25">
      <c r="D24" s="2"/>
      <c r="E24" s="2"/>
      <c r="F24" s="2"/>
      <c r="AC24" s="1" t="s">
        <v>34</v>
      </c>
      <c r="AD24" s="2">
        <f>X14</f>
        <v>2000000</v>
      </c>
      <c r="AE24" s="2">
        <f>Y14</f>
        <v>2000000</v>
      </c>
      <c r="AH24" s="2"/>
      <c r="AI24" s="2"/>
    </row>
    <row r="25" spans="3:38" x14ac:dyDescent="0.25">
      <c r="D25" s="2"/>
      <c r="E25" s="2"/>
      <c r="F25" s="2"/>
      <c r="Y25" s="2">
        <f>X23-Y23</f>
        <v>-1500000</v>
      </c>
      <c r="AC25" s="1" t="s">
        <v>35</v>
      </c>
      <c r="AD25" s="2">
        <f>AD21</f>
        <v>700000</v>
      </c>
      <c r="AE25" s="2">
        <f>AE21</f>
        <v>700000</v>
      </c>
      <c r="AH25" s="2"/>
      <c r="AI25" s="2"/>
      <c r="AJ25" s="2">
        <f>AD3</f>
        <v>4200000</v>
      </c>
      <c r="AK25" s="2">
        <f>AE3</f>
        <v>4200000</v>
      </c>
    </row>
    <row r="26" spans="3:38" x14ac:dyDescent="0.25">
      <c r="D26" s="2"/>
      <c r="E26" s="2"/>
      <c r="F26" s="2"/>
      <c r="AC26" s="1" t="s">
        <v>36</v>
      </c>
      <c r="AD26" s="2">
        <f>AD24-AD25</f>
        <v>1300000</v>
      </c>
      <c r="AE26" s="2">
        <f>AE24-AE25</f>
        <v>1300000</v>
      </c>
      <c r="AH26" s="2"/>
      <c r="AI26" s="2"/>
    </row>
    <row r="27" spans="3:38" x14ac:dyDescent="0.25">
      <c r="D27" s="2"/>
      <c r="E27" s="2"/>
      <c r="F27" s="2"/>
      <c r="AJ27" s="1">
        <v>4500000</v>
      </c>
      <c r="AK27" s="1">
        <v>2500000</v>
      </c>
      <c r="AL27" s="1">
        <f>IF(OR(AK22-AK23&gt;0,AJ27-AJ25&gt;0),AK22+IF(AK25-AK22&gt;0,AJ27-AJ25,IF(AJ25-AJ27&gt;0,AK25-AK22,AK22)))</f>
        <v>2800000</v>
      </c>
    </row>
    <row r="28" spans="3:38" x14ac:dyDescent="0.25">
      <c r="D28" s="2"/>
      <c r="E28" s="2"/>
      <c r="F28" s="2"/>
    </row>
    <row r="29" spans="3:38" x14ac:dyDescent="0.25">
      <c r="D29" s="2"/>
      <c r="E29" s="2"/>
      <c r="F29" s="2"/>
      <c r="AL29" s="1">
        <f>IF(OR(AK27-AK25&gt;0,AJ27-AJ25&gt;0),AK27+IF(AK27-AK25&gt;0,AK25-AK27,AJ27-AJ25),AK27)</f>
        <v>2800000</v>
      </c>
    </row>
    <row r="30" spans="3:38" x14ac:dyDescent="0.25">
      <c r="D30" s="2"/>
      <c r="E30" s="2"/>
      <c r="F30" s="2"/>
    </row>
    <row r="31" spans="3:38" x14ac:dyDescent="0.25">
      <c r="D31" s="2"/>
      <c r="E31" s="2"/>
      <c r="F31" s="2"/>
    </row>
    <row r="32" spans="3:38" x14ac:dyDescent="0.25">
      <c r="D32" s="2"/>
      <c r="E32" s="2"/>
      <c r="F32" s="2"/>
    </row>
    <row r="33" spans="4:6" x14ac:dyDescent="0.25">
      <c r="D33" s="2"/>
      <c r="E33" s="2"/>
      <c r="F33" s="2"/>
    </row>
    <row r="34" spans="4:6" x14ac:dyDescent="0.25">
      <c r="D34" s="2"/>
      <c r="E34" s="2"/>
      <c r="F34" s="2"/>
    </row>
    <row r="35" spans="4:6" x14ac:dyDescent="0.25">
      <c r="D35" s="2"/>
      <c r="E35" s="2"/>
      <c r="F35" s="2"/>
    </row>
    <row r="36" spans="4:6" x14ac:dyDescent="0.25">
      <c r="D36" s="2"/>
      <c r="E36" s="2"/>
      <c r="F36" s="2"/>
    </row>
    <row r="37" spans="4:6" x14ac:dyDescent="0.25">
      <c r="D37" s="2"/>
      <c r="E37" s="2"/>
      <c r="F37" s="2"/>
    </row>
    <row r="38" spans="4:6" x14ac:dyDescent="0.25">
      <c r="D38" s="2"/>
      <c r="E38" s="2"/>
      <c r="F38" s="2"/>
    </row>
    <row r="39" spans="4:6" x14ac:dyDescent="0.25">
      <c r="D39" s="2"/>
      <c r="E39" s="2"/>
      <c r="F39" s="2"/>
    </row>
    <row r="40" spans="4:6" x14ac:dyDescent="0.25">
      <c r="D40" s="2"/>
      <c r="E40" s="2"/>
      <c r="F40" s="2"/>
    </row>
    <row r="41" spans="4:6" x14ac:dyDescent="0.25">
      <c r="D41" s="2"/>
      <c r="E41" s="2"/>
      <c r="F41" s="2"/>
    </row>
    <row r="42" spans="4:6" x14ac:dyDescent="0.25">
      <c r="D42" s="2"/>
      <c r="E42" s="2"/>
      <c r="F42" s="2"/>
    </row>
    <row r="43" spans="4:6" x14ac:dyDescent="0.25">
      <c r="D43" s="2"/>
      <c r="E43" s="2"/>
      <c r="F43" s="2"/>
    </row>
    <row r="44" spans="4:6" x14ac:dyDescent="0.25">
      <c r="D44" s="2"/>
      <c r="E44" s="2"/>
      <c r="F44" s="2"/>
    </row>
    <row r="45" spans="4:6" x14ac:dyDescent="0.25">
      <c r="D45" s="2"/>
      <c r="E45" s="2"/>
      <c r="F45" s="2"/>
    </row>
    <row r="46" spans="4:6" x14ac:dyDescent="0.25">
      <c r="D46" s="2"/>
      <c r="E46" s="2"/>
      <c r="F46" s="2"/>
    </row>
    <row r="47" spans="4:6" x14ac:dyDescent="0.25">
      <c r="D47" s="2"/>
      <c r="E47" s="2"/>
      <c r="F47" s="2"/>
    </row>
    <row r="48" spans="4:6" x14ac:dyDescent="0.25">
      <c r="D48" s="2"/>
      <c r="E48" s="2"/>
      <c r="F48" s="2"/>
    </row>
    <row r="49" spans="4:6" x14ac:dyDescent="0.25">
      <c r="D49" s="2"/>
      <c r="E49" s="2"/>
      <c r="F49" s="2"/>
    </row>
    <row r="50" spans="4:6" x14ac:dyDescent="0.25">
      <c r="D50" s="2"/>
      <c r="E50" s="2"/>
      <c r="F50" s="2"/>
    </row>
    <row r="51" spans="4:6" x14ac:dyDescent="0.25">
      <c r="D51" s="2"/>
      <c r="E51" s="2"/>
      <c r="F51" s="2"/>
    </row>
    <row r="52" spans="4:6" x14ac:dyDescent="0.25">
      <c r="D52" s="2"/>
      <c r="E52" s="2"/>
      <c r="F52" s="2"/>
    </row>
    <row r="53" spans="4:6" x14ac:dyDescent="0.25">
      <c r="D53" s="2"/>
      <c r="E53" s="2"/>
      <c r="F53" s="2"/>
    </row>
    <row r="54" spans="4:6" x14ac:dyDescent="0.25">
      <c r="D54" s="2"/>
      <c r="E54" s="2"/>
      <c r="F54" s="2"/>
    </row>
    <row r="55" spans="4:6" x14ac:dyDescent="0.25">
      <c r="D55" s="2"/>
      <c r="E55" s="2"/>
      <c r="F55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30B8D-0051-4807-997D-D26AB5F57BA5}">
  <dimension ref="C1:AM55"/>
  <sheetViews>
    <sheetView workbookViewId="0">
      <selection activeCell="G8" sqref="A1:XFD1048576"/>
    </sheetView>
  </sheetViews>
  <sheetFormatPr defaultColWidth="9.140625" defaultRowHeight="15" x14ac:dyDescent="0.25"/>
  <cols>
    <col min="1" max="2" width="9.140625" style="1"/>
    <col min="3" max="3" width="41.5703125" style="1" hidden="1" customWidth="1"/>
    <col min="4" max="4" width="9.85546875" style="1" hidden="1" customWidth="1"/>
    <col min="5" max="5" width="10.140625" style="1" hidden="1" customWidth="1"/>
    <col min="6" max="6" width="9.85546875" style="1" hidden="1" customWidth="1"/>
    <col min="7" max="7" width="0" style="1" hidden="1" customWidth="1"/>
    <col min="8" max="8" width="9.85546875" style="1" hidden="1" customWidth="1"/>
    <col min="9" max="9" width="10.140625" style="2" hidden="1" customWidth="1"/>
    <col min="10" max="10" width="9.85546875" style="1" hidden="1" customWidth="1"/>
    <col min="11" max="12" width="0" style="1" hidden="1" customWidth="1"/>
    <col min="13" max="13" width="12.42578125" style="1" hidden="1" customWidth="1"/>
    <col min="14" max="14" width="12.28515625" style="1" hidden="1" customWidth="1"/>
    <col min="15" max="15" width="14" style="1" hidden="1" customWidth="1"/>
    <col min="16" max="16" width="0" style="1" hidden="1" customWidth="1"/>
    <col min="17" max="17" width="11.5703125" style="1" hidden="1" customWidth="1"/>
    <col min="18" max="19" width="11.28515625" style="1" hidden="1" customWidth="1"/>
    <col min="20" max="21" width="0" style="1" hidden="1" customWidth="1"/>
    <col min="22" max="22" width="9.140625" style="1"/>
    <col min="23" max="23" width="29.7109375" style="1" bestFit="1" customWidth="1"/>
    <col min="24" max="25" width="9.85546875" style="2" bestFit="1" customWidth="1"/>
    <col min="26" max="26" width="2.140625" style="1" customWidth="1"/>
    <col min="27" max="28" width="9.140625" style="1"/>
    <col min="29" max="29" width="26.42578125" style="1" bestFit="1" customWidth="1"/>
    <col min="30" max="31" width="8.85546875" style="1" bestFit="1" customWidth="1"/>
    <col min="32" max="37" width="9.140625" style="1"/>
    <col min="38" max="38" width="9.5703125" style="1" bestFit="1" customWidth="1"/>
    <col min="39" max="16384" width="9.140625" style="1"/>
  </cols>
  <sheetData>
    <row r="1" spans="3:39" x14ac:dyDescent="0.25">
      <c r="C1" s="11" t="s">
        <v>11</v>
      </c>
      <c r="H1" s="11" t="s">
        <v>10</v>
      </c>
      <c r="M1" s="11" t="s">
        <v>20</v>
      </c>
      <c r="Q1" s="16" t="s">
        <v>20</v>
      </c>
    </row>
    <row r="2" spans="3:39" x14ac:dyDescent="0.25">
      <c r="D2" s="3" t="s">
        <v>1</v>
      </c>
      <c r="E2" s="3" t="s">
        <v>3</v>
      </c>
      <c r="F2" s="3" t="s">
        <v>2</v>
      </c>
      <c r="H2" s="3" t="s">
        <v>1</v>
      </c>
      <c r="I2" s="4" t="s">
        <v>3</v>
      </c>
      <c r="J2" s="3" t="s">
        <v>2</v>
      </c>
      <c r="M2" s="3" t="s">
        <v>1</v>
      </c>
      <c r="N2" s="4" t="s">
        <v>3</v>
      </c>
      <c r="O2" s="3" t="s">
        <v>2</v>
      </c>
      <c r="Q2" s="1" t="s">
        <v>1</v>
      </c>
      <c r="R2" s="1" t="s">
        <v>3</v>
      </c>
      <c r="S2" s="1" t="s">
        <v>2</v>
      </c>
      <c r="W2" s="20" t="s">
        <v>23</v>
      </c>
      <c r="AD2" s="4" t="s">
        <v>3</v>
      </c>
      <c r="AE2" s="4" t="s">
        <v>2</v>
      </c>
      <c r="AJ2" s="1">
        <f>IF(AND(Y4&gt;0,X14=Y14),IF(AD3&gt;(Y4/2),(Y4/2),(AD3)),IF(AND(Y4&gt;0,Y4/2-AD3&lt;0),IF(AD3&gt;(Y4/2),(Y4/2)-(X14-Y14)/2,AD3)))</f>
        <v>5150000</v>
      </c>
    </row>
    <row r="3" spans="3:39" x14ac:dyDescent="0.25">
      <c r="C3" s="3" t="s">
        <v>0</v>
      </c>
      <c r="D3" s="2">
        <v>1532192.4137016949</v>
      </c>
      <c r="E3" s="2">
        <v>3853616.0441000005</v>
      </c>
      <c r="F3" s="2">
        <v>3853616.0441000005</v>
      </c>
      <c r="H3" s="2">
        <v>1532192.4137016949</v>
      </c>
      <c r="I3" s="2">
        <v>3853616.0441000005</v>
      </c>
      <c r="J3" s="2">
        <v>3853616.0441000005</v>
      </c>
      <c r="M3" s="2">
        <v>1532192.4137016949</v>
      </c>
      <c r="N3" s="2">
        <v>3853616.0441000005</v>
      </c>
      <c r="O3" s="2">
        <v>3853616.0441000005</v>
      </c>
      <c r="Q3" s="2">
        <v>1532192.4137016949</v>
      </c>
      <c r="R3" s="2">
        <v>3853616.0441000005</v>
      </c>
      <c r="S3" s="2">
        <v>3853616.0441000005</v>
      </c>
      <c r="AC3" s="1" t="s">
        <v>0</v>
      </c>
      <c r="AD3" s="2">
        <v>4200000</v>
      </c>
      <c r="AE3" s="2">
        <v>4200000</v>
      </c>
      <c r="AH3" s="1">
        <f>IF(IF(AND(Y4&gt;0,X14=Y14),IF(AD3&gt;(Y4/2),(Y4/2),(AD3)),IF(AND(Y4&gt;0,Y4/2-AD3&lt;0),IF(AD3&gt;(Y4/2),(Y4/2)-(X14-Y14)/2,AD3)))-AD3&gt;0,IF(IF(AND(Y4&gt;0,Y4/2-AD3&lt;0),IF(AD3&gt;(Y4/2),(Y4/2)-(X14-Y14)/2,AD3))-AD3&gt;0,AD3,IF(AND(Y4&gt;0,Y4/2-AD3&lt;0),IF(AD3&gt;(Y4/2),(Y4/2)-(X14-Y14)/2,AD3))),IF(AND(Y4&gt;0,X14=Y14),IF(AD3&gt;(Y4/2),(Y4/2),(AD3)),IF(AND(Y4&gt;0,Y4/2-AD3&lt;0),IF(AD3&gt;(Y4/2),(Y4/2)-(X14-Y14)/2,AD3))))</f>
        <v>4200000</v>
      </c>
      <c r="AJ3" s="1">
        <f>IF(IF(AND(Y4&gt;0,Y4/2-AD3&lt;0),IF(AD3&gt;(Y4/2),(Y4/2)-(X14-Y14)/2,AD3))-AD3&gt;0,AD3,IF(AND(Y4&gt;0,Y4/2-AD3&lt;0),IF(AD3&gt;(Y4/2),(Y4/2)-(X14-Y14)/2,AD3)))</f>
        <v>4200000</v>
      </c>
    </row>
    <row r="4" spans="3:39" x14ac:dyDescent="0.25">
      <c r="C4" s="3" t="s">
        <v>14</v>
      </c>
      <c r="D4" s="2">
        <v>0</v>
      </c>
      <c r="E4" s="2">
        <v>0</v>
      </c>
      <c r="F4" s="2">
        <v>0</v>
      </c>
      <c r="H4" s="2"/>
      <c r="J4" s="2">
        <f>H16</f>
        <v>3803304.5962983067</v>
      </c>
      <c r="N4" s="14">
        <f>M16/2</f>
        <v>1901652.2981491534</v>
      </c>
      <c r="O4" s="14">
        <f>N4</f>
        <v>1901652.2981491534</v>
      </c>
      <c r="R4" s="14">
        <f>Q16/2</f>
        <v>1901652.2981491534</v>
      </c>
      <c r="S4" s="14">
        <f>R4</f>
        <v>1901652.2981491534</v>
      </c>
      <c r="W4" s="1" t="s">
        <v>25</v>
      </c>
      <c r="Y4" s="2">
        <v>8300000</v>
      </c>
      <c r="AD4" s="2"/>
      <c r="AE4" s="2"/>
      <c r="AF4" s="1" t="s">
        <v>2</v>
      </c>
      <c r="AG4" s="1" t="s">
        <v>2</v>
      </c>
      <c r="AH4" s="1">
        <f>IF(IF(AND(Y4&gt;0,X14=Y14),IF(AD3&gt;(Y4/2),(Y4/2),(AD3)),IF(AND(Y4&gt;0,Y4/2-AD3&lt;0),IF(AD3&gt;(Y4/2),(Y4/2)-(X14-Y14)/2,AD3)))-AE3&gt;0,IF(OR(AK27-AK25&gt;0,AJ27-AJ25&gt;0),AK27+IF(AK27-AK25&gt;0,AK25-AK27,AJ27-AJ25),AK27),IF(AND(Y4&gt;0,X14=Y14),IF(AD3&gt;(Y4/2),(Y4/2),(AD3)),IF(AND(Y4&gt;0,Y4/2-AD3&lt;0),IF(AD3&gt;(Y4/2),(Y4/2)-(X14-Y14)/2,AD3))))</f>
        <v>2800000</v>
      </c>
      <c r="AJ4" s="1" t="s">
        <v>49</v>
      </c>
    </row>
    <row r="5" spans="3:39" x14ac:dyDescent="0.25">
      <c r="C5" s="3" t="s">
        <v>17</v>
      </c>
      <c r="D5" s="2"/>
      <c r="E5" s="2"/>
      <c r="F5" s="2"/>
      <c r="H5" s="2"/>
      <c r="J5" s="2">
        <f>J3-J4</f>
        <v>50311.447801693808</v>
      </c>
      <c r="N5" s="2">
        <f t="shared" ref="N5:O5" si="0">N3-N4</f>
        <v>1951963.7459508472</v>
      </c>
      <c r="O5" s="2">
        <f t="shared" si="0"/>
        <v>1951963.7459508472</v>
      </c>
      <c r="R5" s="2">
        <f t="shared" ref="R5:S5" si="1">R3-R4</f>
        <v>1951963.7459508472</v>
      </c>
      <c r="S5" s="2">
        <f t="shared" si="1"/>
        <v>1951963.7459508472</v>
      </c>
      <c r="AC5" s="1" t="s">
        <v>22</v>
      </c>
      <c r="AD5" s="2"/>
      <c r="AE5" s="19">
        <f>IF(AND(Y4&gt;0,X14=Y14),IF(AE3&gt;(Y4/2),(Y4/2),(AE3)),IF(AND(Y4&gt;0,Y4/2-AE3&lt;0),IF(AND(AE3&gt;(Y4/2),(Y4/2)+X14-Y14)&gt;0,(Y4/2)+(X14-Y14)/2,AE3)))</f>
        <v>3150000</v>
      </c>
      <c r="AF5" s="1" t="s">
        <v>3</v>
      </c>
      <c r="AG5" s="1" t="s">
        <v>3</v>
      </c>
      <c r="AH5" s="1" t="s">
        <v>45</v>
      </c>
    </row>
    <row r="6" spans="3:39" x14ac:dyDescent="0.25">
      <c r="C6" s="1" t="s">
        <v>4</v>
      </c>
      <c r="D6" s="2">
        <f>D3</f>
        <v>1532192.4137016949</v>
      </c>
      <c r="E6" s="2">
        <v>840151.42999999993</v>
      </c>
      <c r="F6" s="2">
        <v>840151.42999999993</v>
      </c>
      <c r="H6" s="2">
        <v>1532192.4137016949</v>
      </c>
      <c r="I6" s="2">
        <f>I10</f>
        <v>840151.42999999993</v>
      </c>
      <c r="J6" s="2">
        <f>J5</f>
        <v>50311.447801693808</v>
      </c>
      <c r="M6" s="2">
        <v>1532192.4137016949</v>
      </c>
      <c r="N6" s="2">
        <f>N10</f>
        <v>840151.42999999993</v>
      </c>
      <c r="O6" s="2">
        <f>O10</f>
        <v>840151.42999999993</v>
      </c>
      <c r="Q6" s="1">
        <v>1532192.4137016949</v>
      </c>
      <c r="R6" s="2">
        <f>R10</f>
        <v>840151.42999999993</v>
      </c>
      <c r="S6" s="2">
        <f>S10</f>
        <v>840151.42999999993</v>
      </c>
      <c r="X6" s="17"/>
      <c r="Y6" s="17"/>
      <c r="AC6" s="1" t="s">
        <v>24</v>
      </c>
      <c r="AD6" s="19">
        <f>IF(IF(AND(Y4&gt;0,X14=Y14),IF(AD3&gt;(Y4/2),(Y4/2),(AD3)),IF(AND(Y4&gt;0,Y4/2-AD3&lt;0),IF(AD3&gt;(Y4/2),(Y4/2)-(X14-Y14)/2,AD3)))-AD3&gt;0,IF(IF(AND(Y4&gt;0,Y4/2-AD3&lt;0),IF(AD3&gt;(Y4/2),(Y4/2)-(X14-Y14)/2,AD3))-AD3&gt;0,AD3,IF(AND(Y4&gt;0,Y4/2-AD3&lt;0),IF(AD3&gt;(Y4/2),(Y4/2)-(X14-Y14)/2,AD3))),IF(AND(Y4&gt;0,X14=Y14),IF(AD3&gt;(Y4/2),(Y4/2),(AD3)),IF(AND(Y4&gt;0,Y4/2-AD3&lt;0),IF(AD3&gt;(Y4/2),(Y4/2)-(X14-Y14)/2,AD3))))</f>
        <v>4200000</v>
      </c>
      <c r="AE6" s="2"/>
      <c r="AI6" s="1">
        <f>IF(AND(Y4&gt;0,X14=Y14),IF(AD3&gt;(Y4/2),(Y4/2),(AD3)),IF(AND(Y4&gt;0,Y4/2-AD3&lt;0),IF(AD3&gt;(Y4/2),(Y4/2)-(X14-Y14)/2,AD3)))</f>
        <v>5150000</v>
      </c>
      <c r="AK6" s="1">
        <f>IF(AND(Y4&gt;0,X14=Y14),IF(AE3&gt;(Y4/2),(Y4/2),(AE3)),IF(AND(Y4&gt;0,Y4/2-AE3&lt;0),IF(AND(AE3&gt;(Y4/2),(Y4/2)+X14-Y14)&gt;0,(Y4/2)+(X14-Y14)/2,AE3)))</f>
        <v>3150000</v>
      </c>
      <c r="AL6" s="1">
        <f>IF(AND(Y4&gt;0,Y4/2-AE3&lt;0),IF(AND(AE3&gt;(Y4/2),(Y4/2)+X14-Y14)&gt;0,(Y4/2)+(X14-Y14)/2,AE3))</f>
        <v>3150000</v>
      </c>
      <c r="AM6" s="1">
        <f>IF(AND(Y4&gt;0,X14=Y14),IF(AE3&gt;(Y4/2),(Y4/2),(AE3)),IF(AND(Y4&gt;0,Y4/2-AE3&lt;0),IF(AND(AE3&gt;(Y4/2),(Y4/2)+X14-Y14)&gt;0,(Y4/2)+(X14-Y14)/2,AE3)))</f>
        <v>3150000</v>
      </c>
    </row>
    <row r="7" spans="3:39" x14ac:dyDescent="0.25">
      <c r="C7" s="3"/>
      <c r="D7" s="2"/>
      <c r="E7" s="2"/>
      <c r="F7" s="2"/>
      <c r="AC7" s="1" t="s">
        <v>6</v>
      </c>
      <c r="AD7" s="2">
        <f>AD3-AD6</f>
        <v>0</v>
      </c>
      <c r="AE7" s="2">
        <f>AE3-AE5</f>
        <v>1050000</v>
      </c>
      <c r="AI7" s="22">
        <f>IF(IF(AND(Y4&gt;0,Y4/2-AD3&lt;0),IF(AD3&gt;(Y4/2),(Y4/2)-(X14-Y14)/2,AD3))-AD3&gt;0,AD3,IF(AND(Y4&gt;0,Y4/2-AD3&lt;0),IF(AD3&gt;(Y4/2),(Y4/2)-(X14-Y14)/2,AD3)))</f>
        <v>4200000</v>
      </c>
    </row>
    <row r="8" spans="3:39" x14ac:dyDescent="0.25">
      <c r="C8" s="3" t="s">
        <v>6</v>
      </c>
      <c r="D8" s="5">
        <f>D3-D6</f>
        <v>0</v>
      </c>
      <c r="E8" s="2">
        <f>E3-E6</f>
        <v>3013464.6141000008</v>
      </c>
      <c r="F8" s="2">
        <f>F3-F6</f>
        <v>3013464.6141000008</v>
      </c>
      <c r="H8" s="5">
        <f>H3-H6</f>
        <v>0</v>
      </c>
      <c r="I8" s="2">
        <f>I3-I6</f>
        <v>3013464.6141000008</v>
      </c>
      <c r="J8" s="5">
        <f>J3-J4-J6</f>
        <v>0</v>
      </c>
      <c r="M8" s="5">
        <f>M3-M6</f>
        <v>0</v>
      </c>
      <c r="N8" s="2">
        <f>N5-N6</f>
        <v>1111812.3159508472</v>
      </c>
      <c r="O8" s="2">
        <f>O5-O6</f>
        <v>1111812.3159508472</v>
      </c>
      <c r="Q8" s="5">
        <f>Q3-Q6</f>
        <v>0</v>
      </c>
      <c r="R8" s="2">
        <f>R5-R6</f>
        <v>1111812.3159508472</v>
      </c>
      <c r="S8" s="2">
        <f>S5-S6</f>
        <v>1111812.3159508472</v>
      </c>
      <c r="AF8" s="1" t="s">
        <v>2</v>
      </c>
      <c r="AG8" s="1">
        <f>IF(X14=Y14,IF(AND(Y4&gt;0,X14=Y14),IF(AE3&gt;(Y4/2),(Y4/2),(AE3)),IF(AND(Y4&gt;0,Y4/2-AE3&lt;0),IF(AND(AE3&gt;(Y4/2),(Y4/2)+X14-Y14)&gt;0,(Y4/2)+X14-Y14),AE3)),IF((AE3)-((Y4/2)+(X14-Y14))&lt;0,((Y4/2)+X14-Y14)+(AE3)-((Y4/2)+(X14-Y14)),(Y4/2)+(X14-Y14)))</f>
        <v>2150000</v>
      </c>
    </row>
    <row r="9" spans="3:39" x14ac:dyDescent="0.25">
      <c r="C9" s="3"/>
      <c r="D9" s="2"/>
      <c r="E9" s="2"/>
      <c r="F9" s="2"/>
      <c r="AF9" s="1" t="s">
        <v>3</v>
      </c>
      <c r="AG9" s="1">
        <f>IF(X14=Y14,IF(AND(Y4&gt;0,X14=Y14),IF(AD3&gt;(Y4/2),(Y4/2),(AD3)),IF(AND(Y4&gt;0,Y4/2-AD3&lt;0),IF(AD3&gt;(Y4/2),(Y4/2)-X14+Y14),AD3)),IF((AE3)-((Y4/2)+(Y14-X14))&lt;0,((Y4/2)+Y14-X14)+(AE3)-((Y4/2)+(Y14-X14)),(Y4/2)+(Y14-X14))-((AE3)-((Y4/2)+(X14-Y14))))</f>
        <v>2150000</v>
      </c>
      <c r="AI9" s="1">
        <v>4500000</v>
      </c>
      <c r="AJ9" s="1" t="s">
        <v>45</v>
      </c>
    </row>
    <row r="10" spans="3:39" x14ac:dyDescent="0.25">
      <c r="C10" s="3" t="s">
        <v>5</v>
      </c>
      <c r="D10" s="2">
        <v>5335497.0100000016</v>
      </c>
      <c r="E10" s="2">
        <v>840151.42999999993</v>
      </c>
      <c r="F10" s="2">
        <v>840151.42999999993</v>
      </c>
      <c r="H10" s="2">
        <v>5335497.0100000016</v>
      </c>
      <c r="I10" s="2">
        <v>840151.42999999993</v>
      </c>
      <c r="J10" s="2">
        <v>840151.42999999993</v>
      </c>
      <c r="M10" s="2">
        <v>5335497.0100000016</v>
      </c>
      <c r="N10" s="2">
        <v>840151.42999999993</v>
      </c>
      <c r="O10" s="2">
        <v>840151.42999999993</v>
      </c>
      <c r="Q10" s="1">
        <v>5335497.0100000016</v>
      </c>
      <c r="R10" s="1">
        <v>840151.42999999993</v>
      </c>
      <c r="S10" s="1">
        <v>840151.42999999993</v>
      </c>
    </row>
    <row r="11" spans="3:39" x14ac:dyDescent="0.25">
      <c r="C11" s="1" t="s">
        <v>4</v>
      </c>
      <c r="D11" s="2">
        <f>D6</f>
        <v>1532192.4137016949</v>
      </c>
      <c r="E11" s="2">
        <f>E6</f>
        <v>840151.42999999993</v>
      </c>
      <c r="F11" s="2">
        <f>F6</f>
        <v>840151.42999999993</v>
      </c>
      <c r="H11" s="2">
        <f>H6</f>
        <v>1532192.4137016949</v>
      </c>
      <c r="I11" s="2">
        <f>I6</f>
        <v>840151.42999999993</v>
      </c>
      <c r="J11" s="2">
        <f>J6</f>
        <v>50311.447801693808</v>
      </c>
      <c r="M11" s="2">
        <f>M6</f>
        <v>1532192.4137016949</v>
      </c>
      <c r="N11" s="2">
        <f>N6</f>
        <v>840151.42999999993</v>
      </c>
      <c r="O11" s="2">
        <f>O6</f>
        <v>840151.42999999993</v>
      </c>
      <c r="Q11" s="2">
        <f>Q6</f>
        <v>1532192.4137016949</v>
      </c>
      <c r="R11" s="2">
        <f>R6</f>
        <v>840151.42999999993</v>
      </c>
      <c r="S11" s="2">
        <f>S6</f>
        <v>840151.42999999993</v>
      </c>
    </row>
    <row r="12" spans="3:39" x14ac:dyDescent="0.25">
      <c r="C12" s="3" t="s">
        <v>15</v>
      </c>
      <c r="D12" s="2"/>
      <c r="E12" s="2"/>
      <c r="F12" s="2"/>
      <c r="H12" s="2"/>
      <c r="AG12" s="2"/>
    </row>
    <row r="13" spans="3:39" x14ac:dyDescent="0.25">
      <c r="C13" s="1" t="s">
        <v>12</v>
      </c>
      <c r="D13" s="2">
        <f>F18</f>
        <v>3013464.6141000008</v>
      </c>
      <c r="E13" s="2"/>
      <c r="F13" s="2"/>
      <c r="H13" s="2">
        <v>3803304.5962983067</v>
      </c>
      <c r="M13" s="5">
        <v>0</v>
      </c>
      <c r="Q13" s="1">
        <v>0</v>
      </c>
      <c r="X13" s="2" t="s">
        <v>3</v>
      </c>
      <c r="Y13" s="2" t="s">
        <v>2</v>
      </c>
      <c r="AD13" s="1">
        <v>3750000</v>
      </c>
      <c r="AE13" s="1">
        <v>3250000</v>
      </c>
      <c r="AF13" s="1">
        <f>AD13-AE13</f>
        <v>500000</v>
      </c>
    </row>
    <row r="14" spans="3:39" x14ac:dyDescent="0.25">
      <c r="C14" s="1" t="s">
        <v>13</v>
      </c>
      <c r="D14" s="2">
        <f>E18</f>
        <v>789839.98219830589</v>
      </c>
      <c r="E14" s="2"/>
      <c r="F14" s="2"/>
      <c r="H14" s="5">
        <v>0</v>
      </c>
      <c r="M14" s="5">
        <v>0</v>
      </c>
      <c r="Q14" s="1">
        <v>0</v>
      </c>
      <c r="W14" s="1" t="s">
        <v>21</v>
      </c>
      <c r="X14" s="2">
        <v>0</v>
      </c>
      <c r="Y14" s="2">
        <v>2000000</v>
      </c>
      <c r="AA14" s="2"/>
      <c r="AB14" s="2"/>
      <c r="AC14" s="18">
        <f>IF(AND(Y4&gt;0,X12=Y12),IF(AE3&gt;Y4,(Y4/2),(AE3/2)),0)</f>
        <v>2100000</v>
      </c>
      <c r="AD14" s="21">
        <f>IF(AND(Y4&gt;0,X12=Y12),IF(AE3&gt;(Y4/2),(Y4/2),(AE3)),0)</f>
        <v>4150000</v>
      </c>
      <c r="AG14" s="2"/>
      <c r="AH14" s="2"/>
    </row>
    <row r="15" spans="3:39" x14ac:dyDescent="0.25">
      <c r="D15" s="2"/>
      <c r="E15" s="2"/>
      <c r="F15" s="2"/>
      <c r="W15" s="1" t="s">
        <v>25</v>
      </c>
      <c r="AA15" s="2"/>
      <c r="AB15" s="2"/>
      <c r="AC15" s="18">
        <f>IF(AND(Y4&gt;0,X12=Y12),IF(AD3&gt;Y4,(Y4/2),(AD3/2)),0)</f>
        <v>2100000</v>
      </c>
      <c r="AD15" s="21">
        <f>AD3-AD13</f>
        <v>450000</v>
      </c>
      <c r="AE15" s="21">
        <f>AE3-AE13</f>
        <v>950000</v>
      </c>
    </row>
    <row r="16" spans="3:39" x14ac:dyDescent="0.25">
      <c r="C16" s="3" t="s">
        <v>7</v>
      </c>
      <c r="D16" s="2">
        <f>D10-D11</f>
        <v>3803304.5962983067</v>
      </c>
      <c r="E16" s="5">
        <f t="shared" ref="E16:F16" si="2">E10-E11</f>
        <v>0</v>
      </c>
      <c r="F16" s="5">
        <f t="shared" si="2"/>
        <v>0</v>
      </c>
      <c r="H16" s="2">
        <f>H10-H11</f>
        <v>3803304.5962983067</v>
      </c>
      <c r="M16" s="2">
        <f>M10-M11</f>
        <v>3803304.5962983067</v>
      </c>
      <c r="Q16" s="2">
        <f>Q10-Q11</f>
        <v>3803304.5962983067</v>
      </c>
      <c r="W16" s="1" t="s">
        <v>26</v>
      </c>
    </row>
    <row r="17" spans="3:38" x14ac:dyDescent="0.25">
      <c r="D17" s="2"/>
      <c r="E17" s="2"/>
      <c r="F17" s="2"/>
    </row>
    <row r="18" spans="3:38" x14ac:dyDescent="0.25">
      <c r="C18" s="1" t="s">
        <v>8</v>
      </c>
      <c r="D18" s="5">
        <v>0</v>
      </c>
      <c r="E18" s="2">
        <f>D16-F18</f>
        <v>789839.98219830589</v>
      </c>
      <c r="F18" s="2">
        <f>F8</f>
        <v>3013464.6141000008</v>
      </c>
      <c r="M18" s="5">
        <v>0</v>
      </c>
      <c r="N18" s="15">
        <f>N4</f>
        <v>1901652.2981491534</v>
      </c>
      <c r="O18" s="15">
        <f>O4</f>
        <v>1901652.2981491534</v>
      </c>
      <c r="Q18" s="5">
        <v>0</v>
      </c>
      <c r="R18" s="15">
        <f>R4</f>
        <v>1901652.2981491534</v>
      </c>
      <c r="S18" s="15">
        <f>S4</f>
        <v>1901652.2981491534</v>
      </c>
      <c r="AD18" s="2" t="s">
        <v>3</v>
      </c>
      <c r="AE18" s="2" t="s">
        <v>2</v>
      </c>
      <c r="AH18" s="2"/>
      <c r="AI18" s="2"/>
    </row>
    <row r="19" spans="3:38" x14ac:dyDescent="0.25">
      <c r="D19" s="2"/>
      <c r="E19" s="2"/>
      <c r="F19" s="2"/>
      <c r="X19" s="2" t="s">
        <v>3</v>
      </c>
      <c r="Y19" s="2" t="s">
        <v>2</v>
      </c>
      <c r="AC19" s="1" t="s">
        <v>0</v>
      </c>
      <c r="AD19" s="2">
        <f>AD3</f>
        <v>4200000</v>
      </c>
      <c r="AE19" s="2">
        <f>AE3</f>
        <v>4200000</v>
      </c>
      <c r="AH19" s="2"/>
      <c r="AI19" s="2"/>
    </row>
    <row r="20" spans="3:38" x14ac:dyDescent="0.25">
      <c r="C20" s="3" t="s">
        <v>9</v>
      </c>
      <c r="D20" s="6">
        <f>D16-D13-D14</f>
        <v>0</v>
      </c>
      <c r="E20" s="6">
        <f>E16</f>
        <v>0</v>
      </c>
      <c r="F20" s="6">
        <f>F16</f>
        <v>0</v>
      </c>
      <c r="H20" s="5">
        <f>H10-H11-H16</f>
        <v>0</v>
      </c>
      <c r="I20" s="5">
        <f>I10-I11</f>
        <v>0</v>
      </c>
      <c r="J20" s="10">
        <f>J10-J11</f>
        <v>789839.98219830613</v>
      </c>
      <c r="L20" s="3" t="s">
        <v>18</v>
      </c>
      <c r="M20" s="12">
        <f>M16-M13-M14</f>
        <v>3803304.5962983067</v>
      </c>
      <c r="N20" s="12">
        <f>N16</f>
        <v>0</v>
      </c>
      <c r="O20" s="12">
        <f>O16</f>
        <v>0</v>
      </c>
      <c r="Q20" s="12">
        <f>Q16-Q13-Q14</f>
        <v>3803304.5962983067</v>
      </c>
      <c r="R20" s="12">
        <f>R16</f>
        <v>0</v>
      </c>
      <c r="S20" s="12">
        <f>S16</f>
        <v>0</v>
      </c>
      <c r="W20" s="1" t="s">
        <v>21</v>
      </c>
      <c r="X20" s="2">
        <v>500000</v>
      </c>
      <c r="Y20" s="2">
        <v>2000000</v>
      </c>
      <c r="AC20" s="1" t="s">
        <v>29</v>
      </c>
      <c r="AD20" s="2">
        <f>AD6</f>
        <v>4200000</v>
      </c>
      <c r="AE20" s="2">
        <f>AE5</f>
        <v>3150000</v>
      </c>
      <c r="AL20" s="2"/>
    </row>
    <row r="21" spans="3:38" x14ac:dyDescent="0.25">
      <c r="D21" s="2"/>
      <c r="E21" s="2"/>
      <c r="F21" s="2"/>
      <c r="W21" s="1" t="s">
        <v>43</v>
      </c>
      <c r="X21" s="2">
        <f>AD21</f>
        <v>0</v>
      </c>
      <c r="Y21" s="2">
        <f>AE21</f>
        <v>1050000</v>
      </c>
      <c r="AC21" s="1" t="s">
        <v>30</v>
      </c>
      <c r="AD21" s="2">
        <f>IF(AND((AD19-AD20)&gt;0,X14&gt;0),IF(AD19-AD20&gt;X14,X14,AD19-AD20),0)</f>
        <v>0</v>
      </c>
      <c r="AE21" s="2">
        <f>IF(AND((AE19-AE20)&gt;0,Y14&gt;0),IF(AE19-AE20&gt;Y14,Y14,AE19-AE20),0)</f>
        <v>1050000</v>
      </c>
      <c r="AH21" s="2"/>
      <c r="AI21" s="2"/>
    </row>
    <row r="22" spans="3:38" x14ac:dyDescent="0.25">
      <c r="D22" s="2"/>
      <c r="E22" s="2"/>
      <c r="F22" s="2"/>
      <c r="AC22" s="1" t="s">
        <v>31</v>
      </c>
      <c r="AD22" s="2">
        <f>IF(AD19-AD20-AD21&gt;0,AD19-AD20-AD21,0)</f>
        <v>0</v>
      </c>
      <c r="AE22" s="2">
        <f>IF(AE19-AE20-AE21&gt;0,AE19-AE20-AE21,0)</f>
        <v>0</v>
      </c>
      <c r="AH22" s="2"/>
      <c r="AI22" s="2"/>
      <c r="AK22" s="1">
        <v>2500000</v>
      </c>
      <c r="AL22" s="1" t="s">
        <v>47</v>
      </c>
    </row>
    <row r="23" spans="3:38" x14ac:dyDescent="0.25">
      <c r="C23" s="1" t="s">
        <v>16</v>
      </c>
      <c r="D23" s="2">
        <f>D8-D18</f>
        <v>0</v>
      </c>
      <c r="E23" s="7">
        <f>E8-E18</f>
        <v>2223624.6319016949</v>
      </c>
      <c r="F23" s="2">
        <f>F8-F18</f>
        <v>0</v>
      </c>
      <c r="H23" s="2">
        <f>H8-H18</f>
        <v>0</v>
      </c>
      <c r="I23" s="9">
        <f>I8-I20</f>
        <v>3013464.6141000008</v>
      </c>
      <c r="J23" s="8">
        <f>J8</f>
        <v>0</v>
      </c>
      <c r="L23" s="3" t="s">
        <v>19</v>
      </c>
      <c r="M23" s="5">
        <f>M8-M18</f>
        <v>0</v>
      </c>
      <c r="N23" s="13">
        <f>N8-N20</f>
        <v>1111812.3159508472</v>
      </c>
      <c r="O23" s="15">
        <f>O8</f>
        <v>1111812.3159508472</v>
      </c>
      <c r="Q23" s="5">
        <f>Q8-Q18</f>
        <v>0</v>
      </c>
      <c r="R23" s="13">
        <f>R8-R20</f>
        <v>1111812.3159508472</v>
      </c>
      <c r="S23" s="15">
        <f>S8</f>
        <v>1111812.3159508472</v>
      </c>
      <c r="X23" s="2">
        <f>X20-X21</f>
        <v>500000</v>
      </c>
      <c r="Y23" s="2">
        <f>Y20-Y21</f>
        <v>950000</v>
      </c>
      <c r="AK23" s="1">
        <v>4500000</v>
      </c>
      <c r="AL23" s="1" t="s">
        <v>45</v>
      </c>
    </row>
    <row r="24" spans="3:38" x14ac:dyDescent="0.25">
      <c r="D24" s="2"/>
      <c r="E24" s="2"/>
      <c r="F24" s="2"/>
      <c r="AC24" s="1" t="s">
        <v>34</v>
      </c>
      <c r="AD24" s="2">
        <f>X14</f>
        <v>0</v>
      </c>
      <c r="AE24" s="2">
        <f>Y14</f>
        <v>2000000</v>
      </c>
      <c r="AH24" s="2"/>
      <c r="AI24" s="2"/>
    </row>
    <row r="25" spans="3:38" x14ac:dyDescent="0.25">
      <c r="D25" s="2"/>
      <c r="E25" s="2"/>
      <c r="F25" s="2"/>
      <c r="Y25" s="2">
        <f>X23-Y23</f>
        <v>-450000</v>
      </c>
      <c r="AC25" s="1" t="s">
        <v>35</v>
      </c>
      <c r="AD25" s="2">
        <f>AD21</f>
        <v>0</v>
      </c>
      <c r="AE25" s="2">
        <f>AE21</f>
        <v>1050000</v>
      </c>
      <c r="AH25" s="2"/>
      <c r="AI25" s="2"/>
      <c r="AJ25" s="2">
        <f>AD3</f>
        <v>4200000</v>
      </c>
      <c r="AK25" s="2">
        <f>AE3</f>
        <v>4200000</v>
      </c>
    </row>
    <row r="26" spans="3:38" x14ac:dyDescent="0.25">
      <c r="D26" s="2"/>
      <c r="E26" s="2"/>
      <c r="F26" s="2"/>
      <c r="AC26" s="1" t="s">
        <v>36</v>
      </c>
      <c r="AD26" s="2">
        <f>AD24-AD25</f>
        <v>0</v>
      </c>
      <c r="AE26" s="2">
        <f>AE24-AE25</f>
        <v>950000</v>
      </c>
      <c r="AH26" s="2"/>
      <c r="AI26" s="2"/>
    </row>
    <row r="27" spans="3:38" x14ac:dyDescent="0.25">
      <c r="D27" s="2"/>
      <c r="E27" s="2"/>
      <c r="F27" s="2"/>
      <c r="AJ27" s="1">
        <v>4500000</v>
      </c>
      <c r="AK27" s="1">
        <v>2500000</v>
      </c>
      <c r="AL27" s="1">
        <f>IF(OR(AK22-AK23&gt;0,AJ27-AJ25&gt;0),AK22+IF(AK25-AK22&gt;0,AJ27-AJ25,IF(AJ25-AJ27&gt;0,AK25-AK22,AK22)))</f>
        <v>2800000</v>
      </c>
    </row>
    <row r="28" spans="3:38" x14ac:dyDescent="0.25">
      <c r="D28" s="2"/>
      <c r="E28" s="2"/>
      <c r="F28" s="2"/>
    </row>
    <row r="29" spans="3:38" x14ac:dyDescent="0.25">
      <c r="D29" s="2"/>
      <c r="E29" s="2"/>
      <c r="F29" s="2"/>
      <c r="AL29" s="1">
        <f>IF(OR(AK27-AK25&gt;0,AJ27-AJ25&gt;0),AK27+IF(AK27-AK25&gt;0,AK25-AK27,AJ27-AJ25),AK27)</f>
        <v>2800000</v>
      </c>
    </row>
    <row r="30" spans="3:38" x14ac:dyDescent="0.25">
      <c r="D30" s="2"/>
      <c r="E30" s="2"/>
      <c r="F30" s="2"/>
    </row>
    <row r="31" spans="3:38" x14ac:dyDescent="0.25">
      <c r="D31" s="2"/>
      <c r="E31" s="2"/>
      <c r="F31" s="2"/>
    </row>
    <row r="32" spans="3:38" x14ac:dyDescent="0.25">
      <c r="D32" s="2"/>
      <c r="E32" s="2"/>
      <c r="F32" s="2"/>
    </row>
    <row r="33" spans="4:6" x14ac:dyDescent="0.25">
      <c r="D33" s="2"/>
      <c r="E33" s="2"/>
      <c r="F33" s="2"/>
    </row>
    <row r="34" spans="4:6" x14ac:dyDescent="0.25">
      <c r="D34" s="2"/>
      <c r="E34" s="2"/>
      <c r="F34" s="2"/>
    </row>
    <row r="35" spans="4:6" x14ac:dyDescent="0.25">
      <c r="D35" s="2"/>
      <c r="E35" s="2"/>
      <c r="F35" s="2"/>
    </row>
    <row r="36" spans="4:6" x14ac:dyDescent="0.25">
      <c r="D36" s="2"/>
      <c r="E36" s="2"/>
      <c r="F36" s="2"/>
    </row>
    <row r="37" spans="4:6" x14ac:dyDescent="0.25">
      <c r="D37" s="2"/>
      <c r="E37" s="2"/>
      <c r="F37" s="2"/>
    </row>
    <row r="38" spans="4:6" x14ac:dyDescent="0.25">
      <c r="D38" s="2"/>
      <c r="E38" s="2"/>
      <c r="F38" s="2"/>
    </row>
    <row r="39" spans="4:6" x14ac:dyDescent="0.25">
      <c r="D39" s="2"/>
      <c r="E39" s="2"/>
      <c r="F39" s="2"/>
    </row>
    <row r="40" spans="4:6" x14ac:dyDescent="0.25">
      <c r="D40" s="2"/>
      <c r="E40" s="2"/>
      <c r="F40" s="2"/>
    </row>
    <row r="41" spans="4:6" x14ac:dyDescent="0.25">
      <c r="D41" s="2"/>
      <c r="E41" s="2"/>
      <c r="F41" s="2"/>
    </row>
    <row r="42" spans="4:6" x14ac:dyDescent="0.25">
      <c r="D42" s="2"/>
      <c r="E42" s="2"/>
      <c r="F42" s="2"/>
    </row>
    <row r="43" spans="4:6" x14ac:dyDescent="0.25">
      <c r="D43" s="2"/>
      <c r="E43" s="2"/>
      <c r="F43" s="2"/>
    </row>
    <row r="44" spans="4:6" x14ac:dyDescent="0.25">
      <c r="D44" s="2"/>
      <c r="E44" s="2"/>
      <c r="F44" s="2"/>
    </row>
    <row r="45" spans="4:6" x14ac:dyDescent="0.25">
      <c r="D45" s="2"/>
      <c r="E45" s="2"/>
      <c r="F45" s="2"/>
    </row>
    <row r="46" spans="4:6" x14ac:dyDescent="0.25">
      <c r="D46" s="2"/>
      <c r="E46" s="2"/>
      <c r="F46" s="2"/>
    </row>
    <row r="47" spans="4:6" x14ac:dyDescent="0.25">
      <c r="D47" s="2"/>
      <c r="E47" s="2"/>
      <c r="F47" s="2"/>
    </row>
    <row r="48" spans="4:6" x14ac:dyDescent="0.25">
      <c r="D48" s="2"/>
      <c r="E48" s="2"/>
      <c r="F48" s="2"/>
    </row>
    <row r="49" spans="4:6" x14ac:dyDescent="0.25">
      <c r="D49" s="2"/>
      <c r="E49" s="2"/>
      <c r="F49" s="2"/>
    </row>
    <row r="50" spans="4:6" x14ac:dyDescent="0.25">
      <c r="D50" s="2"/>
      <c r="E50" s="2"/>
      <c r="F50" s="2"/>
    </row>
    <row r="51" spans="4:6" x14ac:dyDescent="0.25">
      <c r="D51" s="2"/>
      <c r="E51" s="2"/>
      <c r="F51" s="2"/>
    </row>
    <row r="52" spans="4:6" x14ac:dyDescent="0.25">
      <c r="D52" s="2"/>
      <c r="E52" s="2"/>
      <c r="F52" s="2"/>
    </row>
    <row r="53" spans="4:6" x14ac:dyDescent="0.25">
      <c r="D53" s="2"/>
      <c r="E53" s="2"/>
      <c r="F53" s="2"/>
    </row>
    <row r="54" spans="4:6" x14ac:dyDescent="0.25">
      <c r="D54" s="2"/>
      <c r="E54" s="2"/>
      <c r="F54" s="2"/>
    </row>
    <row r="55" spans="4:6" x14ac:dyDescent="0.25">
      <c r="D55" s="2"/>
      <c r="E55" s="2"/>
      <c r="F5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Sheet1</vt:lpstr>
      <vt:lpstr>Sheet2</vt:lpstr>
      <vt:lpstr>Sheet3</vt:lpstr>
      <vt:lpstr>Sheet4</vt:lpstr>
      <vt:lpstr>Sheet5</vt:lpstr>
      <vt:lpstr>Sheet6</vt:lpstr>
      <vt:lpstr>Sheet7</vt:lpstr>
      <vt:lpstr>Final</vt:lpstr>
      <vt:lpstr>Final 2</vt:lpstr>
      <vt:lpstr>Sheet8</vt:lpstr>
      <vt:lpstr>FF</vt:lpstr>
      <vt:lpstr>Best</vt:lpstr>
      <vt:lpstr>Final test</vt:lpstr>
      <vt:lpstr>Sheet9</vt:lpstr>
      <vt:lpstr>Sheet10</vt:lpstr>
      <vt:lpstr>rework</vt:lpstr>
      <vt:lpstr>23 Aug</vt:lpstr>
      <vt:lpstr>24 Aug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Aditya Sapre</dc:creator>
  <cp:lastModifiedBy>Aditya Sapre</cp:lastModifiedBy>
  <cp:lastPrinted>2019-08-14T12:45:47Z</cp:lastPrinted>
  <dcterms:created xsi:type="dcterms:W3CDTF">2019-02-15T12:54:35Z</dcterms:created>
  <dcterms:modified xsi:type="dcterms:W3CDTF">2019-09-20T10:39:54Z</dcterms:modified>
</cp:coreProperties>
</file>