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m\Desktop\"/>
    </mc:Choice>
  </mc:AlternateContent>
  <bookViews>
    <workbookView xWindow="0" yWindow="0" windowWidth="20490" windowHeight="753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8" i="1" l="1"/>
  <c r="U20" i="1"/>
  <c r="T18" i="1"/>
  <c r="T20" i="1" s="1"/>
  <c r="S18" i="1"/>
  <c r="S20" i="1" s="1"/>
  <c r="U9" i="1"/>
  <c r="U11" i="1" s="1"/>
  <c r="T9" i="1"/>
  <c r="T11" i="1" s="1"/>
  <c r="S9" i="1"/>
  <c r="S11" i="1" s="1"/>
  <c r="R8" i="1"/>
  <c r="R11" i="1"/>
  <c r="R20" i="1"/>
  <c r="D67" i="1"/>
  <c r="U22" i="1" l="1"/>
  <c r="U24" i="1" s="1"/>
  <c r="S22" i="1"/>
  <c r="S24" i="1" s="1"/>
  <c r="T22" i="1"/>
  <c r="T24" i="1" s="1"/>
  <c r="H16" i="1"/>
  <c r="F16" i="1"/>
  <c r="F21" i="1" s="1"/>
  <c r="K78" i="1"/>
  <c r="K77" i="1"/>
  <c r="J80" i="1"/>
  <c r="J57" i="1" s="1"/>
  <c r="I80" i="1"/>
  <c r="I57" i="1" s="1"/>
  <c r="H80" i="1"/>
  <c r="F80" i="1"/>
  <c r="F57" i="1" s="1"/>
  <c r="D80" i="1"/>
  <c r="B80" i="1"/>
  <c r="B57" i="1" s="1"/>
  <c r="H57" i="1"/>
  <c r="D57" i="1"/>
  <c r="G56" i="1"/>
  <c r="G58" i="1" s="1"/>
  <c r="K50" i="1"/>
  <c r="J50" i="1"/>
  <c r="I50" i="1"/>
  <c r="H50" i="1"/>
  <c r="F50" i="1"/>
  <c r="E50" i="1"/>
  <c r="C50" i="1"/>
  <c r="B50" i="1"/>
  <c r="D50" i="1"/>
  <c r="K41" i="1"/>
  <c r="J41" i="1"/>
  <c r="J18" i="1" s="1"/>
  <c r="G41" i="1"/>
  <c r="G18" i="1" s="1"/>
  <c r="F41" i="1"/>
  <c r="F18" i="1" s="1"/>
  <c r="E41" i="1"/>
  <c r="E18" i="1" s="1"/>
  <c r="E21" i="1" s="1"/>
  <c r="D41" i="1"/>
  <c r="D18" i="1" s="1"/>
  <c r="B41" i="1"/>
  <c r="B18" i="1" s="1"/>
  <c r="K35" i="1"/>
  <c r="J35" i="1"/>
  <c r="J17" i="1" s="1"/>
  <c r="J20" i="1" s="1"/>
  <c r="H35" i="1"/>
  <c r="H17" i="1" s="1"/>
  <c r="F35" i="1"/>
  <c r="F17" i="1" s="1"/>
  <c r="F20" i="1" s="1"/>
  <c r="D35" i="1"/>
  <c r="D17" i="1" s="1"/>
  <c r="B35" i="1"/>
  <c r="B17" i="1" s="1"/>
  <c r="L26" i="1"/>
  <c r="K29" i="1"/>
  <c r="I29" i="1"/>
  <c r="I16" i="1" s="1"/>
  <c r="H29" i="1"/>
  <c r="F29" i="1"/>
  <c r="E29" i="1"/>
  <c r="E16" i="1" s="1"/>
  <c r="C29" i="1"/>
  <c r="C16" i="1" s="1"/>
  <c r="C21" i="1"/>
  <c r="C20" i="1"/>
  <c r="K11" i="1"/>
  <c r="J11" i="1"/>
  <c r="I11" i="1"/>
  <c r="H11" i="1"/>
  <c r="G11" i="1"/>
  <c r="F11" i="1"/>
  <c r="E11" i="1"/>
  <c r="D11" i="1"/>
  <c r="C11" i="1"/>
  <c r="K10" i="1"/>
  <c r="J10" i="1"/>
  <c r="I10" i="1"/>
  <c r="H10" i="1"/>
  <c r="G10" i="1"/>
  <c r="F10" i="1"/>
  <c r="E10" i="1"/>
  <c r="D10" i="1"/>
  <c r="C10" i="1"/>
  <c r="K9" i="1"/>
  <c r="J9" i="1"/>
  <c r="I9" i="1"/>
  <c r="H9" i="1"/>
  <c r="G9" i="1"/>
  <c r="F9" i="1"/>
  <c r="E9" i="1"/>
  <c r="D9" i="1"/>
  <c r="C9" i="1"/>
  <c r="B10" i="1"/>
  <c r="B9" i="1"/>
  <c r="B11" i="1"/>
  <c r="G79" i="1"/>
  <c r="G80" i="1" s="1"/>
  <c r="G57" i="1" s="1"/>
  <c r="F79" i="1"/>
  <c r="E79" i="1"/>
  <c r="E80" i="1" s="1"/>
  <c r="E57" i="1" s="1"/>
  <c r="D79" i="1"/>
  <c r="C79" i="1"/>
  <c r="B79" i="1"/>
  <c r="J72" i="1"/>
  <c r="I72" i="1"/>
  <c r="I73" i="1" s="1"/>
  <c r="H72" i="1"/>
  <c r="G72" i="1"/>
  <c r="G73" i="1" s="1"/>
  <c r="F72" i="1"/>
  <c r="E72" i="1"/>
  <c r="E73" i="1" s="1"/>
  <c r="D72" i="1"/>
  <c r="C72" i="1"/>
  <c r="C73" i="1" s="1"/>
  <c r="B72" i="1"/>
  <c r="J71" i="1"/>
  <c r="I71" i="1"/>
  <c r="I74" i="1" s="1"/>
  <c r="I56" i="1" s="1"/>
  <c r="H71" i="1"/>
  <c r="G71" i="1"/>
  <c r="G74" i="1" s="1"/>
  <c r="F71" i="1"/>
  <c r="E71" i="1"/>
  <c r="E74" i="1" s="1"/>
  <c r="E56" i="1" s="1"/>
  <c r="D71" i="1"/>
  <c r="C71" i="1"/>
  <c r="C67" i="1"/>
  <c r="J66" i="1"/>
  <c r="I66" i="1"/>
  <c r="I67" i="1" s="1"/>
  <c r="H66" i="1"/>
  <c r="G66" i="1"/>
  <c r="G67" i="1" s="1"/>
  <c r="F66" i="1"/>
  <c r="E66" i="1"/>
  <c r="E67" i="1" s="1"/>
  <c r="D66" i="1"/>
  <c r="J65" i="1"/>
  <c r="I65" i="1"/>
  <c r="I68" i="1" s="1"/>
  <c r="I55" i="1" s="1"/>
  <c r="H65" i="1"/>
  <c r="G65" i="1"/>
  <c r="G68" i="1" s="1"/>
  <c r="G55" i="1" s="1"/>
  <c r="F65" i="1"/>
  <c r="E65" i="1"/>
  <c r="E68" i="1" s="1"/>
  <c r="E55" i="1" s="1"/>
  <c r="D65" i="1"/>
  <c r="B65" i="1"/>
  <c r="K65" i="1" s="1"/>
  <c r="M49" i="1"/>
  <c r="M48" i="1"/>
  <c r="G48" i="1"/>
  <c r="G50" i="1" s="1"/>
  <c r="D48" i="1"/>
  <c r="I40" i="1"/>
  <c r="I41" i="1" s="1"/>
  <c r="I18" i="1" s="1"/>
  <c r="H40" i="1"/>
  <c r="H41" i="1" s="1"/>
  <c r="H18" i="1" s="1"/>
  <c r="H21" i="1" s="1"/>
  <c r="D40" i="1"/>
  <c r="C40" i="1"/>
  <c r="C41" i="1" s="1"/>
  <c r="C18" i="1" s="1"/>
  <c r="B40" i="1"/>
  <c r="J34" i="1"/>
  <c r="I34" i="1"/>
  <c r="I35" i="1" s="1"/>
  <c r="I17" i="1" s="1"/>
  <c r="G34" i="1"/>
  <c r="G35" i="1" s="1"/>
  <c r="G17" i="1" s="1"/>
  <c r="G20" i="1" s="1"/>
  <c r="F34" i="1"/>
  <c r="E34" i="1"/>
  <c r="E35" i="1" s="1"/>
  <c r="E17" i="1" s="1"/>
  <c r="D34" i="1"/>
  <c r="C34" i="1"/>
  <c r="C35" i="1" s="1"/>
  <c r="C17" i="1" s="1"/>
  <c r="B34" i="1"/>
  <c r="J28" i="1"/>
  <c r="J29" i="1" s="1"/>
  <c r="J16" i="1" s="1"/>
  <c r="I28" i="1"/>
  <c r="G28" i="1"/>
  <c r="G29" i="1" s="1"/>
  <c r="G16" i="1" s="1"/>
  <c r="G21" i="1" s="1"/>
  <c r="D28" i="1"/>
  <c r="D29" i="1" s="1"/>
  <c r="D16" i="1" s="1"/>
  <c r="D21" i="1" s="1"/>
  <c r="C28" i="1"/>
  <c r="B28" i="1"/>
  <c r="B29" i="1" s="1"/>
  <c r="B16" i="1" s="1"/>
  <c r="M9" i="1"/>
  <c r="N8" i="1"/>
  <c r="N7" i="1"/>
  <c r="N11" i="1" s="1"/>
  <c r="N6" i="1"/>
  <c r="K16" i="1" l="1"/>
  <c r="I20" i="1"/>
  <c r="I19" i="1"/>
  <c r="B21" i="1"/>
  <c r="B19" i="1"/>
  <c r="K17" i="1"/>
  <c r="B20" i="1"/>
  <c r="K18" i="1"/>
  <c r="J21" i="1"/>
  <c r="C19" i="1"/>
  <c r="E20" i="1"/>
  <c r="E19" i="1"/>
  <c r="K66" i="1"/>
  <c r="D68" i="1"/>
  <c r="D55" i="1" s="1"/>
  <c r="F67" i="1"/>
  <c r="F68" i="1" s="1"/>
  <c r="F55" i="1" s="1"/>
  <c r="H67" i="1"/>
  <c r="H68" i="1" s="1"/>
  <c r="H55" i="1" s="1"/>
  <c r="H58" i="1" s="1"/>
  <c r="J67" i="1"/>
  <c r="J68" i="1" s="1"/>
  <c r="J55" i="1" s="1"/>
  <c r="K71" i="1"/>
  <c r="C74" i="1"/>
  <c r="C56" i="1" s="1"/>
  <c r="B73" i="1"/>
  <c r="K73" i="1" s="1"/>
  <c r="K72" i="1"/>
  <c r="B74" i="1"/>
  <c r="B56" i="1" s="1"/>
  <c r="B60" i="1" s="1"/>
  <c r="D73" i="1"/>
  <c r="D74" i="1"/>
  <c r="D56" i="1" s="1"/>
  <c r="F73" i="1"/>
  <c r="F74" i="1"/>
  <c r="F56" i="1" s="1"/>
  <c r="F60" i="1" s="1"/>
  <c r="H73" i="1"/>
  <c r="H74" i="1"/>
  <c r="H56" i="1" s="1"/>
  <c r="J73" i="1"/>
  <c r="J74" i="1"/>
  <c r="J56" i="1" s="1"/>
  <c r="J60" i="1" s="1"/>
  <c r="C80" i="1"/>
  <c r="C57" i="1" s="1"/>
  <c r="K79" i="1"/>
  <c r="K80" i="1" s="1"/>
  <c r="G60" i="1"/>
  <c r="G19" i="1"/>
  <c r="I21" i="1"/>
  <c r="D19" i="1"/>
  <c r="D20" i="1"/>
  <c r="H20" i="1"/>
  <c r="B68" i="1"/>
  <c r="B55" i="1" s="1"/>
  <c r="C68" i="1"/>
  <c r="C55" i="1" s="1"/>
  <c r="K19" i="1"/>
  <c r="F19" i="1"/>
  <c r="H19" i="1"/>
  <c r="J19" i="1"/>
  <c r="N9" i="1"/>
  <c r="K57" i="1"/>
  <c r="C60" i="1"/>
  <c r="E60" i="1"/>
  <c r="I60" i="1"/>
  <c r="D60" i="1"/>
  <c r="H60" i="1"/>
  <c r="K56" i="1"/>
  <c r="K60" i="1" s="1"/>
  <c r="E58" i="1"/>
  <c r="I58" i="1"/>
  <c r="D58" i="1"/>
  <c r="C58" i="1"/>
  <c r="B58" i="1"/>
  <c r="K55" i="1" l="1"/>
  <c r="K58" i="1" s="1"/>
  <c r="K74" i="1"/>
  <c r="K67" i="1"/>
  <c r="K68" i="1" s="1"/>
  <c r="J58" i="1"/>
  <c r="F58" i="1"/>
  <c r="K20" i="1"/>
  <c r="K21" i="1"/>
</calcChain>
</file>

<file path=xl/sharedStrings.xml><?xml version="1.0" encoding="utf-8"?>
<sst xmlns="http://schemas.openxmlformats.org/spreadsheetml/2006/main" count="210" uniqueCount="83">
  <si>
    <t>Summary of Sales Reconciliation</t>
  </si>
  <si>
    <t>Month</t>
  </si>
  <si>
    <t>July'17</t>
  </si>
  <si>
    <t>August'17</t>
  </si>
  <si>
    <t>September'17</t>
  </si>
  <si>
    <t>October'17</t>
  </si>
  <si>
    <t>November'17</t>
  </si>
  <si>
    <t>December'17</t>
  </si>
  <si>
    <t>January'18</t>
  </si>
  <si>
    <t>February'18</t>
  </si>
  <si>
    <t>March'18</t>
  </si>
  <si>
    <t>Total Turnover As per GST Returns</t>
  </si>
  <si>
    <t>Remarks for Adjustment to be done in GST Returns</t>
  </si>
  <si>
    <t>Turnover as per Service Tax/Vat</t>
  </si>
  <si>
    <t>Total Turnover</t>
  </si>
  <si>
    <t>Sales as per  GSTR 3B</t>
  </si>
  <si>
    <t>Sales as per Tally  Books</t>
  </si>
  <si>
    <t>Sales as per  GSTR 1</t>
  </si>
  <si>
    <t>Diff b/w GSTR 3B and Tally {(excess)/short in 3B}</t>
  </si>
  <si>
    <t>*If Excess then Subtract / if Short then Add in 3B</t>
  </si>
  <si>
    <t>Diff b/w GSTR-1 and Tally {(excess)/short in GSTR-1}</t>
  </si>
  <si>
    <t>*If Excess then Subtract / if Short then Add in GSTR-1</t>
  </si>
  <si>
    <t>Other Incomes</t>
  </si>
  <si>
    <t>Difference b/w GSTR-3B and GSTR-1</t>
  </si>
  <si>
    <t>*Nothing to do in this matter</t>
  </si>
  <si>
    <t>Total for ITR</t>
  </si>
  <si>
    <t>Summary of GST Output Reconciliation</t>
  </si>
  <si>
    <t>Total</t>
  </si>
  <si>
    <t>IGST Output</t>
  </si>
  <si>
    <t>CGST Output</t>
  </si>
  <si>
    <t>SGST Output</t>
  </si>
  <si>
    <t>Summary of Purchase Reconciliation</t>
  </si>
  <si>
    <t>Service Tax/Vat</t>
  </si>
  <si>
    <t>Purchase as per GSTR 2A</t>
  </si>
  <si>
    <t>Purchase as per Tally</t>
  </si>
  <si>
    <t>Difference</t>
  </si>
  <si>
    <t>Changes at the end of seller (if positive impact)</t>
  </si>
  <si>
    <t>Summary of GST Input Reconciliation</t>
  </si>
  <si>
    <t>Diff b/w GSTR-2A and Tally {(excess)/short in GSTR-2A}</t>
  </si>
  <si>
    <t>*If Excess then do as per the situation(like book the invoice and make the relevant enteries etc. / if Short then Add in GSTR-2A</t>
  </si>
  <si>
    <t>(Have to be added in 2A through seller only)</t>
  </si>
  <si>
    <t>IGST Input</t>
  </si>
  <si>
    <t>CGST Input</t>
  </si>
  <si>
    <t>SGST Input</t>
  </si>
  <si>
    <t>Working Note for  Summary of GST Input Reconciliation</t>
  </si>
  <si>
    <t>As per 3B W/N 1</t>
  </si>
  <si>
    <t>As per Tally W/N 2</t>
  </si>
  <si>
    <t>As per GSTR-2A W/N 3</t>
  </si>
  <si>
    <t>Purchase Input as per 3B  (W/N1)</t>
  </si>
  <si>
    <t>Purchase Input as per Tally (W/N 2)</t>
  </si>
  <si>
    <t>Purchase Input as per GSTR-2A ( W/N 3)</t>
  </si>
  <si>
    <t>As per 3B ( WORKING NOTE "A")</t>
  </si>
  <si>
    <t>Sales Output as per 3B ( WORKING NOTE "A")</t>
  </si>
  <si>
    <t>As per Tally ( WORKING NOTE "B")</t>
  </si>
  <si>
    <t>As per GSTR-1 ( WORKING NOTE "C")</t>
  </si>
  <si>
    <t>Sales Output as per Tally ( WORKING NOTE "B")</t>
  </si>
  <si>
    <t>Sales Output as per GSTR-1 ( WORKING NOTE "C")</t>
  </si>
  <si>
    <t>WORKING NOTES</t>
  </si>
  <si>
    <t>Adjustment in 3B in the month of September 2018 related to FY 17-18</t>
  </si>
  <si>
    <t>1. Sales &amp; Output</t>
  </si>
  <si>
    <t>Tax</t>
  </si>
  <si>
    <t>Particulars</t>
  </si>
  <si>
    <t>Turnover</t>
  </si>
  <si>
    <t>IGST</t>
  </si>
  <si>
    <t>CGST</t>
  </si>
  <si>
    <t>SGST</t>
  </si>
  <si>
    <t>Net decrease in turnover</t>
  </si>
  <si>
    <t>Net (decrease)/increase  in GST liability</t>
  </si>
  <si>
    <t>Total Rs. (-)/+ (A)</t>
  </si>
  <si>
    <t>Required Adjustment to be done</t>
  </si>
  <si>
    <t>Remarks: Effect is to be given in 3B Only as payment is already made and these balances are appearing in electronic cash ledger as on 30/04/2018</t>
  </si>
  <si>
    <t>2. Purchase &amp; Input</t>
  </si>
  <si>
    <t>Purchases</t>
  </si>
  <si>
    <t>Increase in the ITC</t>
  </si>
  <si>
    <t>Total Rs. (-)/+ (B)</t>
  </si>
  <si>
    <t>Net Changes (B-A) {ITC Available/(Liability payable)}</t>
  </si>
  <si>
    <t>Add :  Interest @ 18% p.a (If liabilit arise)</t>
  </si>
  <si>
    <t>Total : - {ITC available/ (Liability payable)}</t>
  </si>
  <si>
    <t>Net impact on ITC/Liability</t>
  </si>
  <si>
    <t>Summary of GST Reconciliation for ''RAM PRAKASH GAUTAM  PVT LTD'' as on 31-03-2018</t>
  </si>
  <si>
    <t>DON’T FILL RED CELLS</t>
  </si>
  <si>
    <t>CLICK here for Subscribe me on YouTube for detail EXPLANATION on this Reconciliation</t>
  </si>
  <si>
    <t>Send your feedback / Advice / Suggestion :- ram83prakash@gmail.com  
Whatsapp  :- 84 48 61 09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</si>
</sst>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5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sz val="1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184">
    <xf numFmtId="0" fontId="0" fillId="0" borderId="0" xfId="0"/>
    <xf numFmtId="0" fontId="4" fillId="0" borderId="0" xfId="0" applyFont="1" applyBorder="1" applyAlignment="1" applyProtection="1">
      <alignment horizontal="center"/>
      <protection locked="0"/>
    </xf>
    <xf numFmtId="0" fontId="0" fillId="0" borderId="4" xfId="0" applyBorder="1"/>
    <xf numFmtId="0" fontId="0" fillId="0" borderId="0" xfId="0" applyBorder="1"/>
    <xf numFmtId="0" fontId="0" fillId="0" borderId="0" xfId="0" applyFill="1" applyBorder="1"/>
    <xf numFmtId="0" fontId="0" fillId="0" borderId="5" xfId="0" applyBorder="1"/>
    <xf numFmtId="0" fontId="6" fillId="2" borderId="6" xfId="0" applyFont="1" applyFill="1" applyBorder="1" applyAlignment="1">
      <alignment horizontal="center"/>
    </xf>
    <xf numFmtId="0" fontId="7" fillId="2" borderId="7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center"/>
      <protection locked="0"/>
    </xf>
    <xf numFmtId="0" fontId="6" fillId="2" borderId="9" xfId="0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 applyProtection="1">
      <alignment horizontal="center" vertical="justify"/>
      <protection locked="0"/>
    </xf>
    <xf numFmtId="0" fontId="6" fillId="0" borderId="6" xfId="0" applyFont="1" applyFill="1" applyBorder="1" applyAlignment="1" applyProtection="1">
      <alignment horizontal="center" vertical="justify"/>
      <protection locked="0"/>
    </xf>
    <xf numFmtId="0" fontId="6" fillId="2" borderId="6" xfId="0" applyFont="1" applyFill="1" applyBorder="1" applyAlignment="1">
      <alignment horizontal="center" vertical="justify"/>
    </xf>
    <xf numFmtId="0" fontId="3" fillId="0" borderId="10" xfId="0" applyFont="1" applyBorder="1"/>
    <xf numFmtId="165" fontId="0" fillId="3" borderId="11" xfId="1" applyNumberFormat="1" applyFont="1" applyFill="1" applyBorder="1" applyProtection="1">
      <protection locked="0"/>
    </xf>
    <xf numFmtId="165" fontId="0" fillId="0" borderId="12" xfId="1" applyNumberFormat="1" applyFont="1" applyFill="1" applyBorder="1" applyProtection="1">
      <protection locked="0"/>
    </xf>
    <xf numFmtId="165" fontId="0" fillId="0" borderId="13" xfId="1" applyNumberFormat="1" applyFont="1" applyFill="1" applyBorder="1" applyProtection="1">
      <protection locked="0"/>
    </xf>
    <xf numFmtId="165" fontId="3" fillId="0" borderId="14" xfId="1" applyNumberFormat="1" applyFont="1" applyFill="1" applyBorder="1" applyProtection="1">
      <protection hidden="1"/>
    </xf>
    <xf numFmtId="0" fontId="0" fillId="0" borderId="0" xfId="0" applyProtection="1">
      <protection locked="0"/>
    </xf>
    <xf numFmtId="165" fontId="3" fillId="0" borderId="15" xfId="1" applyNumberFormat="1" applyFont="1" applyBorder="1" applyProtection="1">
      <protection locked="0"/>
    </xf>
    <xf numFmtId="165" fontId="3" fillId="0" borderId="10" xfId="1" applyNumberFormat="1" applyFont="1" applyBorder="1"/>
    <xf numFmtId="0" fontId="3" fillId="0" borderId="15" xfId="0" applyFont="1" applyBorder="1" applyProtection="1">
      <protection locked="0"/>
    </xf>
    <xf numFmtId="165" fontId="0" fillId="3" borderId="17" xfId="1" applyNumberFormat="1" applyFont="1" applyFill="1" applyBorder="1" applyProtection="1">
      <protection locked="0"/>
    </xf>
    <xf numFmtId="165" fontId="0" fillId="3" borderId="18" xfId="1" applyNumberFormat="1" applyFont="1" applyFill="1" applyBorder="1" applyProtection="1">
      <protection locked="0"/>
    </xf>
    <xf numFmtId="165" fontId="0" fillId="3" borderId="19" xfId="1" applyNumberFormat="1" applyFont="1" applyFill="1" applyBorder="1" applyProtection="1">
      <protection locked="0"/>
    </xf>
    <xf numFmtId="165" fontId="0" fillId="0" borderId="20" xfId="1" applyNumberFormat="1" applyFont="1" applyFill="1" applyBorder="1" applyProtection="1">
      <protection locked="0"/>
    </xf>
    <xf numFmtId="165" fontId="3" fillId="0" borderId="21" xfId="1" applyNumberFormat="1" applyFont="1" applyFill="1" applyBorder="1" applyProtection="1">
      <protection hidden="1"/>
    </xf>
    <xf numFmtId="165" fontId="3" fillId="0" borderId="15" xfId="1" applyNumberFormat="1" applyFont="1" applyFill="1" applyBorder="1" applyProtection="1">
      <protection locked="0"/>
    </xf>
    <xf numFmtId="0" fontId="3" fillId="0" borderId="22" xfId="0" applyFont="1" applyBorder="1"/>
    <xf numFmtId="165" fontId="0" fillId="0" borderId="17" xfId="1" applyNumberFormat="1" applyFont="1" applyFill="1" applyBorder="1" applyProtection="1">
      <protection locked="0"/>
    </xf>
    <xf numFmtId="165" fontId="3" fillId="0" borderId="15" xfId="1" applyNumberFormat="1" applyFont="1" applyBorder="1"/>
    <xf numFmtId="0" fontId="3" fillId="2" borderId="6" xfId="0" applyFont="1" applyFill="1" applyBorder="1" applyAlignment="1">
      <alignment horizontal="center"/>
    </xf>
    <xf numFmtId="165" fontId="3" fillId="2" borderId="7" xfId="1" applyNumberFormat="1" applyFont="1" applyFill="1" applyBorder="1" applyProtection="1">
      <protection hidden="1"/>
    </xf>
    <xf numFmtId="165" fontId="3" fillId="2" borderId="23" xfId="1" applyNumberFormat="1" applyFont="1" applyFill="1" applyBorder="1"/>
    <xf numFmtId="165" fontId="3" fillId="2" borderId="3" xfId="1" applyNumberFormat="1" applyFont="1" applyFill="1" applyBorder="1"/>
    <xf numFmtId="165" fontId="3" fillId="2" borderId="24" xfId="1" applyNumberFormat="1" applyFont="1" applyFill="1" applyBorder="1" applyProtection="1">
      <protection locked="0"/>
    </xf>
    <xf numFmtId="0" fontId="0" fillId="0" borderId="25" xfId="0" applyBorder="1"/>
    <xf numFmtId="165" fontId="3" fillId="2" borderId="24" xfId="1" applyNumberFormat="1" applyFont="1" applyFill="1" applyBorder="1"/>
    <xf numFmtId="0" fontId="3" fillId="0" borderId="4" xfId="0" applyFont="1" applyBorder="1" applyAlignment="1">
      <alignment horizontal="center"/>
    </xf>
    <xf numFmtId="165" fontId="3" fillId="0" borderId="0" xfId="1" applyNumberFormat="1" applyFont="1" applyBorder="1"/>
    <xf numFmtId="165" fontId="3" fillId="0" borderId="0" xfId="1" applyNumberFormat="1" applyFont="1" applyFill="1" applyBorder="1"/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0" borderId="0" xfId="0" applyFont="1" applyFill="1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0" fillId="0" borderId="5" xfId="0" applyBorder="1" applyProtection="1">
      <protection locked="0"/>
    </xf>
    <xf numFmtId="165" fontId="3" fillId="0" borderId="0" xfId="1" applyNumberFormat="1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center"/>
      <protection locked="0"/>
    </xf>
    <xf numFmtId="165" fontId="3" fillId="0" borderId="0" xfId="1" applyNumberFormat="1" applyFont="1" applyFill="1" applyBorder="1" applyAlignment="1" applyProtection="1">
      <alignment horizontal="center"/>
      <protection locked="0"/>
    </xf>
    <xf numFmtId="165" fontId="0" fillId="0" borderId="0" xfId="1" applyNumberFormat="1" applyFont="1" applyBorder="1"/>
    <xf numFmtId="165" fontId="0" fillId="0" borderId="0" xfId="1" applyNumberFormat="1" applyFont="1" applyFill="1" applyBorder="1"/>
    <xf numFmtId="0" fontId="3" fillId="4" borderId="6" xfId="0" applyFont="1" applyFill="1" applyBorder="1"/>
    <xf numFmtId="0" fontId="3" fillId="0" borderId="14" xfId="0" applyFont="1" applyBorder="1"/>
    <xf numFmtId="165" fontId="0" fillId="6" borderId="26" xfId="1" applyNumberFormat="1" applyFont="1" applyFill="1" applyBorder="1" applyProtection="1">
      <protection locked="0"/>
    </xf>
    <xf numFmtId="165" fontId="0" fillId="6" borderId="18" xfId="1" applyNumberFormat="1" applyFont="1" applyFill="1" applyBorder="1" applyProtection="1">
      <protection locked="0"/>
    </xf>
    <xf numFmtId="165" fontId="0" fillId="6" borderId="17" xfId="1" applyNumberFormat="1" applyFont="1" applyFill="1" applyBorder="1" applyProtection="1">
      <protection locked="0"/>
    </xf>
    <xf numFmtId="165" fontId="0" fillId="6" borderId="27" xfId="1" applyNumberFormat="1" applyFont="1" applyFill="1" applyBorder="1" applyProtection="1">
      <protection locked="0"/>
    </xf>
    <xf numFmtId="0" fontId="0" fillId="0" borderId="0" xfId="0" applyFill="1" applyProtection="1">
      <protection locked="0"/>
    </xf>
    <xf numFmtId="165" fontId="0" fillId="0" borderId="0" xfId="0" applyNumberFormat="1" applyBorder="1" applyProtection="1">
      <protection locked="0"/>
    </xf>
    <xf numFmtId="0" fontId="3" fillId="0" borderId="21" xfId="0" applyFont="1" applyBorder="1"/>
    <xf numFmtId="0" fontId="3" fillId="0" borderId="15" xfId="0" applyFont="1" applyBorder="1"/>
    <xf numFmtId="165" fontId="0" fillId="6" borderId="16" xfId="1" applyNumberFormat="1" applyFont="1" applyFill="1" applyBorder="1" applyProtection="1">
      <protection locked="0"/>
    </xf>
    <xf numFmtId="165" fontId="3" fillId="0" borderId="28" xfId="1" applyNumberFormat="1" applyFont="1" applyFill="1" applyBorder="1" applyProtection="1">
      <protection hidden="1"/>
    </xf>
    <xf numFmtId="165" fontId="3" fillId="6" borderId="7" xfId="1" applyNumberFormat="1" applyFont="1" applyFill="1" applyBorder="1" applyAlignment="1" applyProtection="1">
      <alignment horizontal="center"/>
      <protection hidden="1"/>
    </xf>
    <xf numFmtId="165" fontId="3" fillId="2" borderId="6" xfId="1" applyNumberFormat="1" applyFont="1" applyFill="1" applyBorder="1" applyProtection="1">
      <protection hidden="1"/>
    </xf>
    <xf numFmtId="0" fontId="0" fillId="6" borderId="0" xfId="0" applyFill="1" applyBorder="1"/>
    <xf numFmtId="0" fontId="0" fillId="0" borderId="0" xfId="0" applyFill="1" applyBorder="1" applyProtection="1">
      <protection locked="0"/>
    </xf>
    <xf numFmtId="0" fontId="3" fillId="6" borderId="7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165" fontId="3" fillId="2" borderId="7" xfId="1" applyNumberFormat="1" applyFont="1" applyFill="1" applyBorder="1" applyAlignment="1" applyProtection="1">
      <alignment horizontal="center"/>
      <protection hidden="1"/>
    </xf>
    <xf numFmtId="0" fontId="3" fillId="0" borderId="29" xfId="0" applyFont="1" applyBorder="1" applyAlignment="1">
      <alignment horizontal="center"/>
    </xf>
    <xf numFmtId="165" fontId="3" fillId="0" borderId="25" xfId="1" applyNumberFormat="1" applyFont="1" applyBorder="1"/>
    <xf numFmtId="165" fontId="3" fillId="0" borderId="25" xfId="1" applyNumberFormat="1" applyFont="1" applyFill="1" applyBorder="1"/>
    <xf numFmtId="0" fontId="0" fillId="0" borderId="25" xfId="0" applyBorder="1" applyProtection="1">
      <protection locked="0"/>
    </xf>
    <xf numFmtId="0" fontId="0" fillId="0" borderId="30" xfId="0" applyBorder="1" applyProtection="1">
      <protection locked="0"/>
    </xf>
    <xf numFmtId="0" fontId="3" fillId="0" borderId="0" xfId="0" applyFont="1" applyBorder="1" applyAlignment="1">
      <alignment horizontal="center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31" xfId="0" applyFont="1" applyFill="1" applyBorder="1" applyAlignment="1" applyProtection="1">
      <alignment horizontal="center"/>
      <protection locked="0"/>
    </xf>
    <xf numFmtId="165" fontId="0" fillId="0" borderId="11" xfId="1" applyNumberFormat="1" applyFont="1" applyBorder="1" applyProtection="1">
      <protection locked="0"/>
    </xf>
    <xf numFmtId="165" fontId="0" fillId="0" borderId="12" xfId="1" applyNumberFormat="1" applyFont="1" applyBorder="1" applyProtection="1">
      <protection locked="0"/>
    </xf>
    <xf numFmtId="165" fontId="0" fillId="0" borderId="13" xfId="1" applyNumberFormat="1" applyFont="1" applyBorder="1" applyProtection="1">
      <protection locked="0"/>
    </xf>
    <xf numFmtId="165" fontId="3" fillId="0" borderId="14" xfId="1" applyNumberFormat="1" applyFont="1" applyBorder="1" applyProtection="1">
      <protection hidden="1"/>
    </xf>
    <xf numFmtId="0" fontId="0" fillId="0" borderId="10" xfId="0" applyBorder="1" applyProtection="1">
      <protection locked="0"/>
    </xf>
    <xf numFmtId="165" fontId="3" fillId="0" borderId="32" xfId="0" applyNumberFormat="1" applyFont="1" applyBorder="1" applyProtection="1">
      <protection locked="0"/>
    </xf>
    <xf numFmtId="165" fontId="0" fillId="0" borderId="16" xfId="1" applyNumberFormat="1" applyFont="1" applyBorder="1" applyProtection="1">
      <protection locked="0"/>
    </xf>
    <xf numFmtId="165" fontId="0" fillId="0" borderId="17" xfId="1" applyNumberFormat="1" applyFont="1" applyBorder="1" applyProtection="1">
      <protection locked="0"/>
    </xf>
    <xf numFmtId="165" fontId="0" fillId="0" borderId="20" xfId="1" applyNumberFormat="1" applyFont="1" applyBorder="1" applyProtection="1">
      <protection locked="0"/>
    </xf>
    <xf numFmtId="165" fontId="3" fillId="0" borderId="15" xfId="1" applyNumberFormat="1" applyFont="1" applyBorder="1" applyProtection="1">
      <protection hidden="1"/>
    </xf>
    <xf numFmtId="0" fontId="0" fillId="0" borderId="22" xfId="0" applyBorder="1" applyProtection="1">
      <protection locked="0"/>
    </xf>
    <xf numFmtId="165" fontId="3" fillId="0" borderId="6" xfId="0" applyNumberFormat="1" applyFont="1" applyBorder="1" applyProtection="1">
      <protection locked="0"/>
    </xf>
    <xf numFmtId="165" fontId="0" fillId="0" borderId="5" xfId="1" applyNumberFormat="1" applyFont="1" applyBorder="1"/>
    <xf numFmtId="0" fontId="0" fillId="0" borderId="0" xfId="0" applyBorder="1" applyAlignment="1" applyProtection="1">
      <alignment horizontal="left"/>
      <protection locked="0"/>
    </xf>
    <xf numFmtId="0" fontId="0" fillId="0" borderId="0" xfId="0" applyBorder="1" applyProtection="1"/>
    <xf numFmtId="0" fontId="0" fillId="0" borderId="0" xfId="0" applyBorder="1" applyAlignment="1" applyProtection="1">
      <alignment horizontal="center" vertical="justify"/>
    </xf>
    <xf numFmtId="0" fontId="0" fillId="0" borderId="4" xfId="0" applyBorder="1" applyProtection="1">
      <protection locked="0"/>
    </xf>
    <xf numFmtId="165" fontId="0" fillId="0" borderId="0" xfId="1" applyNumberFormat="1" applyFont="1" applyBorder="1" applyAlignment="1" applyProtection="1">
      <alignment horizontal="center"/>
      <protection locked="0"/>
    </xf>
    <xf numFmtId="165" fontId="0" fillId="0" borderId="5" xfId="1" applyNumberFormat="1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165" fontId="3" fillId="0" borderId="5" xfId="1" applyNumberFormat="1" applyFont="1" applyBorder="1"/>
    <xf numFmtId="165" fontId="0" fillId="0" borderId="0" xfId="0" applyNumberFormat="1" applyProtection="1">
      <protection locked="0"/>
    </xf>
    <xf numFmtId="0" fontId="5" fillId="7" borderId="1" xfId="0" applyFont="1" applyFill="1" applyBorder="1" applyAlignment="1" applyProtection="1">
      <alignment horizontal="center"/>
      <protection locked="0"/>
    </xf>
    <xf numFmtId="0" fontId="5" fillId="7" borderId="2" xfId="0" applyFont="1" applyFill="1" applyBorder="1" applyAlignment="1" applyProtection="1">
      <alignment horizontal="center"/>
      <protection locked="0"/>
    </xf>
    <xf numFmtId="0" fontId="5" fillId="7" borderId="3" xfId="0" applyFont="1" applyFill="1" applyBorder="1" applyAlignment="1" applyProtection="1">
      <alignment horizontal="center"/>
      <protection locked="0"/>
    </xf>
    <xf numFmtId="0" fontId="5" fillId="7" borderId="1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165" fontId="3" fillId="6" borderId="0" xfId="1" applyNumberFormat="1" applyFont="1" applyFill="1" applyBorder="1"/>
    <xf numFmtId="0" fontId="5" fillId="6" borderId="1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3" fillId="6" borderId="4" xfId="0" applyFont="1" applyFill="1" applyBorder="1" applyAlignment="1" applyProtection="1">
      <alignment horizontal="center"/>
      <protection locked="0"/>
    </xf>
    <xf numFmtId="0" fontId="3" fillId="6" borderId="0" xfId="0" applyFont="1" applyFill="1" applyBorder="1" applyAlignment="1" applyProtection="1">
      <alignment horizontal="center"/>
      <protection locked="0"/>
    </xf>
    <xf numFmtId="0" fontId="3" fillId="6" borderId="5" xfId="0" applyFont="1" applyFill="1" applyBorder="1" applyAlignment="1" applyProtection="1">
      <alignment horizontal="center"/>
      <protection locked="0"/>
    </xf>
    <xf numFmtId="165" fontId="3" fillId="6" borderId="0" xfId="1" applyNumberFormat="1" applyFont="1" applyFill="1" applyBorder="1" applyAlignment="1">
      <alignment horizontal="center"/>
    </xf>
    <xf numFmtId="0" fontId="9" fillId="9" borderId="6" xfId="0" applyFont="1" applyFill="1" applyBorder="1" applyAlignment="1">
      <alignment horizontal="center"/>
    </xf>
    <xf numFmtId="165" fontId="9" fillId="9" borderId="7" xfId="1" applyNumberFormat="1" applyFont="1" applyFill="1" applyBorder="1" applyProtection="1">
      <protection hidden="1"/>
    </xf>
    <xf numFmtId="165" fontId="9" fillId="9" borderId="8" xfId="1" applyNumberFormat="1" applyFont="1" applyFill="1" applyBorder="1" applyProtection="1">
      <protection hidden="1"/>
    </xf>
    <xf numFmtId="0" fontId="9" fillId="9" borderId="1" xfId="0" applyFont="1" applyFill="1" applyBorder="1" applyAlignment="1">
      <alignment horizontal="center"/>
    </xf>
    <xf numFmtId="0" fontId="9" fillId="4" borderId="10" xfId="0" applyFont="1" applyFill="1" applyBorder="1"/>
    <xf numFmtId="165" fontId="2" fillId="5" borderId="11" xfId="1" applyNumberFormat="1" applyFont="1" applyFill="1" applyBorder="1" applyProtection="1">
      <protection hidden="1"/>
    </xf>
    <xf numFmtId="165" fontId="9" fillId="5" borderId="14" xfId="1" applyNumberFormat="1" applyFont="1" applyFill="1" applyBorder="1" applyProtection="1">
      <protection hidden="1"/>
    </xf>
    <xf numFmtId="0" fontId="9" fillId="4" borderId="15" xfId="0" applyFont="1" applyFill="1" applyBorder="1" applyProtection="1">
      <protection locked="0"/>
    </xf>
    <xf numFmtId="165" fontId="2" fillId="5" borderId="16" xfId="1" applyNumberFormat="1" applyFont="1" applyFill="1" applyBorder="1" applyProtection="1">
      <protection hidden="1"/>
    </xf>
    <xf numFmtId="0" fontId="9" fillId="4" borderId="22" xfId="0" applyFont="1" applyFill="1" applyBorder="1"/>
    <xf numFmtId="0" fontId="9" fillId="2" borderId="6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4" borderId="21" xfId="0" applyFont="1" applyFill="1" applyBorder="1"/>
    <xf numFmtId="165" fontId="2" fillId="5" borderId="26" xfId="1" applyNumberFormat="1" applyFont="1" applyFill="1" applyBorder="1" applyProtection="1">
      <protection hidden="1"/>
    </xf>
    <xf numFmtId="165" fontId="2" fillId="5" borderId="19" xfId="1" applyNumberFormat="1" applyFont="1" applyFill="1" applyBorder="1" applyProtection="1">
      <protection hidden="1"/>
    </xf>
    <xf numFmtId="165" fontId="9" fillId="2" borderId="7" xfId="1" applyNumberFormat="1" applyFont="1" applyFill="1" applyBorder="1" applyProtection="1">
      <protection hidden="1"/>
    </xf>
    <xf numFmtId="0" fontId="9" fillId="2" borderId="6" xfId="0" applyFont="1" applyFill="1" applyBorder="1" applyAlignment="1" applyProtection="1">
      <alignment horizontal="center"/>
      <protection locked="0"/>
    </xf>
    <xf numFmtId="165" fontId="9" fillId="2" borderId="7" xfId="1" applyNumberFormat="1" applyFont="1" applyFill="1" applyBorder="1" applyProtection="1">
      <protection locked="0"/>
    </xf>
    <xf numFmtId="165" fontId="9" fillId="2" borderId="7" xfId="1" applyNumberFormat="1" applyFont="1" applyFill="1" applyBorder="1" applyAlignment="1" applyProtection="1">
      <alignment horizontal="center"/>
      <protection locked="0"/>
    </xf>
    <xf numFmtId="0" fontId="11" fillId="0" borderId="4" xfId="0" applyFont="1" applyBorder="1"/>
    <xf numFmtId="0" fontId="11" fillId="0" borderId="0" xfId="0" applyFont="1" applyBorder="1"/>
    <xf numFmtId="0" fontId="10" fillId="0" borderId="0" xfId="0" applyFont="1" applyBorder="1"/>
    <xf numFmtId="0" fontId="12" fillId="0" borderId="4" xfId="0" applyFont="1" applyBorder="1"/>
    <xf numFmtId="0" fontId="12" fillId="0" borderId="0" xfId="0" applyFont="1" applyBorder="1"/>
    <xf numFmtId="0" fontId="12" fillId="0" borderId="5" xfId="0" applyFont="1" applyBorder="1" applyProtection="1">
      <protection locked="0"/>
    </xf>
    <xf numFmtId="0" fontId="3" fillId="0" borderId="33" xfId="0" applyFont="1" applyBorder="1"/>
    <xf numFmtId="0" fontId="3" fillId="0" borderId="18" xfId="0" applyFont="1" applyBorder="1"/>
    <xf numFmtId="0" fontId="3" fillId="12" borderId="27" xfId="0" applyFont="1" applyFill="1" applyBorder="1" applyAlignment="1">
      <alignment horizontal="center"/>
    </xf>
    <xf numFmtId="0" fontId="3" fillId="12" borderId="34" xfId="0" applyFont="1" applyFill="1" applyBorder="1" applyAlignment="1">
      <alignment horizontal="center"/>
    </xf>
    <xf numFmtId="0" fontId="3" fillId="12" borderId="26" xfId="0" applyFont="1" applyFill="1" applyBorder="1" applyAlignment="1">
      <alignment horizontal="center"/>
    </xf>
    <xf numFmtId="0" fontId="3" fillId="0" borderId="5" xfId="0" applyFont="1" applyBorder="1" applyProtection="1">
      <protection locked="0"/>
    </xf>
    <xf numFmtId="0" fontId="3" fillId="12" borderId="33" xfId="0" applyFont="1" applyFill="1" applyBorder="1"/>
    <xf numFmtId="0" fontId="3" fillId="12" borderId="18" xfId="0" applyFont="1" applyFill="1" applyBorder="1"/>
    <xf numFmtId="0" fontId="3" fillId="12" borderId="18" xfId="0" applyFont="1" applyFill="1" applyBorder="1" applyAlignment="1">
      <alignment horizontal="center"/>
    </xf>
    <xf numFmtId="0" fontId="0" fillId="0" borderId="33" xfId="0" applyBorder="1"/>
    <xf numFmtId="0" fontId="0" fillId="0" borderId="18" xfId="0" applyBorder="1" applyProtection="1">
      <protection locked="0"/>
    </xf>
    <xf numFmtId="165" fontId="0" fillId="0" borderId="18" xfId="1" applyNumberFormat="1" applyFont="1" applyBorder="1"/>
    <xf numFmtId="0" fontId="3" fillId="0" borderId="33" xfId="0" applyFont="1" applyFill="1" applyBorder="1"/>
    <xf numFmtId="0" fontId="3" fillId="0" borderId="18" xfId="0" applyFont="1" applyFill="1" applyBorder="1" applyAlignment="1" applyProtection="1">
      <alignment horizontal="center"/>
      <protection locked="0"/>
    </xf>
    <xf numFmtId="165" fontId="3" fillId="0" borderId="18" xfId="1" applyNumberFormat="1" applyFont="1" applyBorder="1"/>
    <xf numFmtId="0" fontId="3" fillId="0" borderId="5" xfId="0" applyFont="1" applyBorder="1"/>
    <xf numFmtId="0" fontId="3" fillId="0" borderId="4" xfId="0" applyFont="1" applyFill="1" applyBorder="1" applyProtection="1">
      <protection locked="0"/>
    </xf>
    <xf numFmtId="0" fontId="3" fillId="0" borderId="0" xfId="0" applyFont="1" applyFill="1" applyBorder="1" applyProtection="1">
      <protection locked="0"/>
    </xf>
    <xf numFmtId="165" fontId="3" fillId="0" borderId="0" xfId="1" applyNumberFormat="1" applyFont="1" applyBorder="1" applyProtection="1">
      <protection locked="0"/>
    </xf>
    <xf numFmtId="0" fontId="3" fillId="12" borderId="18" xfId="0" applyFont="1" applyFill="1" applyBorder="1" applyAlignment="1">
      <alignment horizontal="center"/>
    </xf>
    <xf numFmtId="165" fontId="0" fillId="0" borderId="18" xfId="1" applyNumberFormat="1" applyFont="1" applyBorder="1" applyProtection="1"/>
    <xf numFmtId="165" fontId="3" fillId="0" borderId="18" xfId="1" applyNumberFormat="1" applyFont="1" applyBorder="1" applyProtection="1"/>
    <xf numFmtId="0" fontId="3" fillId="0" borderId="4" xfId="0" applyFont="1" applyBorder="1" applyProtection="1">
      <protection locked="0"/>
    </xf>
    <xf numFmtId="165" fontId="0" fillId="0" borderId="0" xfId="1" applyNumberFormat="1" applyFont="1" applyBorder="1" applyProtection="1"/>
    <xf numFmtId="43" fontId="0" fillId="0" borderId="0" xfId="1" applyFont="1" applyBorder="1" applyProtection="1"/>
    <xf numFmtId="0" fontId="3" fillId="0" borderId="29" xfId="0" applyFont="1" applyBorder="1" applyProtection="1">
      <protection locked="0"/>
    </xf>
    <xf numFmtId="165" fontId="3" fillId="0" borderId="35" xfId="1" applyNumberFormat="1" applyFont="1" applyBorder="1" applyProtection="1"/>
    <xf numFmtId="0" fontId="3" fillId="0" borderId="30" xfId="0" applyFont="1" applyBorder="1"/>
    <xf numFmtId="0" fontId="0" fillId="11" borderId="0" xfId="0" applyFill="1"/>
    <xf numFmtId="0" fontId="10" fillId="8" borderId="1" xfId="0" applyFont="1" applyFill="1" applyBorder="1" applyAlignment="1" applyProtection="1">
      <alignment horizontal="center"/>
      <protection locked="0"/>
    </xf>
    <xf numFmtId="0" fontId="10" fillId="8" borderId="2" xfId="0" applyFont="1" applyFill="1" applyBorder="1" applyAlignment="1" applyProtection="1">
      <alignment horizontal="center"/>
      <protection locked="0"/>
    </xf>
    <xf numFmtId="0" fontId="10" fillId="8" borderId="3" xfId="0" applyFont="1" applyFill="1" applyBorder="1" applyAlignment="1" applyProtection="1">
      <alignment horizontal="center"/>
      <protection locked="0"/>
    </xf>
    <xf numFmtId="0" fontId="13" fillId="6" borderId="0" xfId="0" applyFont="1" applyFill="1"/>
    <xf numFmtId="0" fontId="5" fillId="13" borderId="4" xfId="0" applyFont="1" applyFill="1" applyBorder="1" applyAlignment="1">
      <alignment horizontal="center"/>
    </xf>
    <xf numFmtId="0" fontId="5" fillId="13" borderId="0" xfId="0" applyFont="1" applyFill="1" applyBorder="1" applyAlignment="1">
      <alignment horizontal="center"/>
    </xf>
    <xf numFmtId="0" fontId="14" fillId="10" borderId="25" xfId="0" applyFont="1" applyFill="1" applyBorder="1" applyAlignment="1">
      <alignment horizontal="center" wrapText="1"/>
    </xf>
    <xf numFmtId="0" fontId="14" fillId="10" borderId="25" xfId="0" applyFont="1" applyFill="1" applyBorder="1" applyAlignment="1">
      <alignment horizontal="center"/>
    </xf>
    <xf numFmtId="0" fontId="15" fillId="0" borderId="0" xfId="2"/>
    <xf numFmtId="0" fontId="16" fillId="6" borderId="0" xfId="2" applyFont="1" applyFill="1" applyAlignment="1">
      <alignment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youtube.com/channel/UChvCHgjynO4gI0negk2RW5g?view_as=subscri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tabSelected="1" workbookViewId="0">
      <selection activeCell="L15" sqref="L15"/>
    </sheetView>
  </sheetViews>
  <sheetFormatPr defaultRowHeight="15" x14ac:dyDescent="0.25"/>
  <cols>
    <col min="1" max="1" width="45.42578125" customWidth="1"/>
    <col min="2" max="2" width="11.28515625" bestFit="1" customWidth="1"/>
    <col min="3" max="3" width="10.5703125" bestFit="1" customWidth="1"/>
    <col min="4" max="4" width="13.5703125" bestFit="1" customWidth="1"/>
    <col min="5" max="5" width="11.5703125" bestFit="1" customWidth="1"/>
    <col min="6" max="6" width="13.140625" bestFit="1" customWidth="1"/>
    <col min="7" max="7" width="12.7109375" bestFit="1" customWidth="1"/>
    <col min="8" max="8" width="10.5703125" bestFit="1" customWidth="1"/>
    <col min="9" max="9" width="11.42578125" bestFit="1" customWidth="1"/>
    <col min="10" max="10" width="10.5703125" bestFit="1" customWidth="1"/>
    <col min="11" max="11" width="12.28515625" bestFit="1" customWidth="1"/>
    <col min="12" max="12" width="47.85546875" customWidth="1"/>
    <col min="13" max="13" width="15.5703125" bestFit="1" customWidth="1"/>
    <col min="14" max="14" width="11.5703125" bestFit="1" customWidth="1"/>
    <col min="15" max="15" width="1.7109375" style="173" customWidth="1"/>
    <col min="16" max="16" width="20.7109375" customWidth="1"/>
    <col min="17" max="17" width="25" customWidth="1"/>
    <col min="18" max="18" width="10" customWidth="1"/>
    <col min="19" max="19" width="10.140625" customWidth="1"/>
    <col min="20" max="20" width="10.28515625" customWidth="1"/>
    <col min="21" max="21" width="15.28515625" customWidth="1"/>
    <col min="22" max="22" width="40.140625" customWidth="1"/>
  </cols>
  <sheetData>
    <row r="1" spans="1:22" ht="21" x14ac:dyDescent="0.35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2" ht="42.75" customHeight="1" thickBot="1" x14ac:dyDescent="0.45">
      <c r="A2" s="177" t="s">
        <v>80</v>
      </c>
      <c r="D2" s="180" t="s">
        <v>82</v>
      </c>
      <c r="E2" s="181"/>
      <c r="F2" s="181"/>
      <c r="G2" s="181"/>
      <c r="H2" s="181"/>
      <c r="I2" s="181"/>
      <c r="J2" s="181"/>
      <c r="K2" s="181"/>
      <c r="L2" s="183" t="s">
        <v>81</v>
      </c>
    </row>
    <row r="3" spans="1:22" ht="24" thickBot="1" x14ac:dyDescent="0.4">
      <c r="A3" s="104" t="s">
        <v>0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6"/>
      <c r="P3" s="174" t="s">
        <v>58</v>
      </c>
      <c r="Q3" s="175"/>
      <c r="R3" s="175"/>
      <c r="S3" s="175"/>
      <c r="T3" s="175"/>
      <c r="U3" s="175"/>
      <c r="V3" s="176"/>
    </row>
    <row r="4" spans="1:22" ht="24" thickBot="1" x14ac:dyDescent="0.4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3"/>
      <c r="N4" s="5"/>
      <c r="P4" s="139" t="s">
        <v>59</v>
      </c>
      <c r="Q4" s="140"/>
      <c r="R4" s="141"/>
      <c r="S4" s="3"/>
      <c r="T4" s="3"/>
      <c r="U4" s="3"/>
      <c r="V4" s="5"/>
    </row>
    <row r="5" spans="1:22" ht="34.5" thickBot="1" x14ac:dyDescent="0.3">
      <c r="A5" s="6" t="s">
        <v>1</v>
      </c>
      <c r="B5" s="7" t="s">
        <v>2</v>
      </c>
      <c r="C5" s="8" t="s">
        <v>3</v>
      </c>
      <c r="D5" s="8" t="s">
        <v>4</v>
      </c>
      <c r="E5" s="8" t="s">
        <v>5</v>
      </c>
      <c r="F5" s="9" t="s">
        <v>6</v>
      </c>
      <c r="G5" s="8" t="s">
        <v>7</v>
      </c>
      <c r="H5" s="8" t="s">
        <v>8</v>
      </c>
      <c r="I5" s="9" t="s">
        <v>9</v>
      </c>
      <c r="J5" s="10" t="s">
        <v>10</v>
      </c>
      <c r="K5" s="11" t="s">
        <v>11</v>
      </c>
      <c r="L5" s="12" t="s">
        <v>12</v>
      </c>
      <c r="M5" s="13" t="s">
        <v>13</v>
      </c>
      <c r="N5" s="6" t="s">
        <v>14</v>
      </c>
      <c r="P5" s="142"/>
      <c r="Q5" s="143"/>
      <c r="R5" s="140"/>
      <c r="S5" s="143"/>
      <c r="T5" s="143"/>
      <c r="U5" s="143"/>
      <c r="V5" s="144"/>
    </row>
    <row r="6" spans="1:22" ht="15.75" thickBot="1" x14ac:dyDescent="0.3">
      <c r="A6" s="14" t="s">
        <v>15</v>
      </c>
      <c r="B6" s="15">
        <v>3186497</v>
      </c>
      <c r="C6" s="16">
        <v>7427474</v>
      </c>
      <c r="D6" s="16">
        <v>20225263.170000002</v>
      </c>
      <c r="E6" s="16">
        <v>21132813</v>
      </c>
      <c r="F6" s="16">
        <v>6413955.79</v>
      </c>
      <c r="G6" s="16">
        <v>4726268</v>
      </c>
      <c r="H6" s="16">
        <v>4855826</v>
      </c>
      <c r="I6" s="16">
        <v>5912744</v>
      </c>
      <c r="J6" s="17">
        <v>7530208.96</v>
      </c>
      <c r="K6" s="18">
        <v>81411049.920000002</v>
      </c>
      <c r="L6" s="19"/>
      <c r="M6" s="20">
        <v>6627736.9800000004</v>
      </c>
      <c r="N6" s="21">
        <f>K6+M6</f>
        <v>88038786.900000006</v>
      </c>
      <c r="P6" s="145"/>
      <c r="Q6" s="146"/>
      <c r="R6" s="146"/>
      <c r="S6" s="147" t="s">
        <v>60</v>
      </c>
      <c r="T6" s="148"/>
      <c r="U6" s="149"/>
      <c r="V6" s="150"/>
    </row>
    <row r="7" spans="1:22" ht="15.75" thickBot="1" x14ac:dyDescent="0.3">
      <c r="A7" s="22" t="s">
        <v>16</v>
      </c>
      <c r="B7" s="15">
        <v>3186497</v>
      </c>
      <c r="C7" s="23">
        <v>7427473.5499999998</v>
      </c>
      <c r="D7" s="24">
        <v>20225262.77</v>
      </c>
      <c r="E7" s="23">
        <v>21132812.940000001</v>
      </c>
      <c r="F7" s="23">
        <v>6413955.2999999998</v>
      </c>
      <c r="G7" s="25">
        <v>4726267.43</v>
      </c>
      <c r="H7" s="23">
        <v>4855825.4400000004</v>
      </c>
      <c r="I7" s="23">
        <v>5912742.8499999996</v>
      </c>
      <c r="J7" s="26">
        <v>7525447</v>
      </c>
      <c r="K7" s="27">
        <v>81406284.280000001</v>
      </c>
      <c r="L7" s="28"/>
      <c r="M7" s="20">
        <v>6627736.9800000004</v>
      </c>
      <c r="N7" s="21">
        <f>K7+M7</f>
        <v>88034021.260000005</v>
      </c>
      <c r="P7" s="151" t="s">
        <v>1</v>
      </c>
      <c r="Q7" s="152" t="s">
        <v>61</v>
      </c>
      <c r="R7" s="153" t="s">
        <v>62</v>
      </c>
      <c r="S7" s="153" t="s">
        <v>63</v>
      </c>
      <c r="T7" s="153" t="s">
        <v>64</v>
      </c>
      <c r="U7" s="153" t="s">
        <v>65</v>
      </c>
      <c r="V7" s="150"/>
    </row>
    <row r="8" spans="1:22" ht="15.75" thickBot="1" x14ac:dyDescent="0.3">
      <c r="A8" s="29" t="s">
        <v>17</v>
      </c>
      <c r="B8" s="15">
        <v>3186497</v>
      </c>
      <c r="C8" s="30">
        <v>7427473.2000000002</v>
      </c>
      <c r="D8" s="16">
        <v>20225263</v>
      </c>
      <c r="E8" s="30">
        <v>21132814</v>
      </c>
      <c r="F8" s="30">
        <v>6413955.1799999997</v>
      </c>
      <c r="G8" s="30">
        <v>4726268</v>
      </c>
      <c r="H8" s="30">
        <v>4855825.46</v>
      </c>
      <c r="I8" s="30">
        <v>5912742.1600000001</v>
      </c>
      <c r="J8" s="26">
        <v>7530208.96</v>
      </c>
      <c r="K8" s="27">
        <v>81411046.959999993</v>
      </c>
      <c r="L8" s="28"/>
      <c r="M8" s="31">
        <v>0</v>
      </c>
      <c r="N8" s="21">
        <f>K8+M8</f>
        <v>81411046.959999993</v>
      </c>
      <c r="P8" s="154"/>
      <c r="Q8" s="155" t="s">
        <v>66</v>
      </c>
      <c r="R8" s="156">
        <f>-N9</f>
        <v>-4766</v>
      </c>
      <c r="S8" s="156">
        <v>0</v>
      </c>
      <c r="T8" s="156">
        <v>0</v>
      </c>
      <c r="U8" s="156">
        <v>0</v>
      </c>
      <c r="V8" s="48"/>
    </row>
    <row r="9" spans="1:22" ht="15.75" thickBot="1" x14ac:dyDescent="0.3">
      <c r="A9" s="118" t="s">
        <v>18</v>
      </c>
      <c r="B9" s="119">
        <f>+B7-B6</f>
        <v>0</v>
      </c>
      <c r="C9" s="119">
        <f t="shared" ref="C9:K9" si="0">+C7-C6</f>
        <v>-0.45000000018626451</v>
      </c>
      <c r="D9" s="119">
        <f t="shared" si="0"/>
        <v>-0.40000000223517418</v>
      </c>
      <c r="E9" s="119">
        <f t="shared" si="0"/>
        <v>-5.9999998658895493E-2</v>
      </c>
      <c r="F9" s="119">
        <f t="shared" si="0"/>
        <v>-0.49000000022351742</v>
      </c>
      <c r="G9" s="119">
        <f t="shared" si="0"/>
        <v>-0.57000000029802322</v>
      </c>
      <c r="H9" s="119">
        <f t="shared" si="0"/>
        <v>-0.55999999959021807</v>
      </c>
      <c r="I9" s="119">
        <f t="shared" si="0"/>
        <v>-1.150000000372529</v>
      </c>
      <c r="J9" s="119">
        <f t="shared" si="0"/>
        <v>-4761.9599999999627</v>
      </c>
      <c r="K9" s="119">
        <f t="shared" si="0"/>
        <v>-4765.640000000596</v>
      </c>
      <c r="L9" s="3" t="s">
        <v>19</v>
      </c>
      <c r="M9" s="34">
        <f t="shared" ref="M9:N9" si="1">ROUND(M6-M7,0)</f>
        <v>0</v>
      </c>
      <c r="N9" s="35">
        <f t="shared" si="1"/>
        <v>4766</v>
      </c>
      <c r="P9" s="154"/>
      <c r="Q9" s="155" t="s">
        <v>67</v>
      </c>
      <c r="R9" s="156"/>
      <c r="S9" s="156">
        <f>+K32-K26</f>
        <v>-489.34500000160187</v>
      </c>
      <c r="T9" s="156">
        <f>+K33-K27</f>
        <v>24.430000000007567</v>
      </c>
      <c r="U9" s="156">
        <f>+K34-K28</f>
        <v>24.430000000007567</v>
      </c>
      <c r="V9" s="48"/>
    </row>
    <row r="10" spans="1:22" ht="15.75" thickBot="1" x14ac:dyDescent="0.3">
      <c r="A10" s="118" t="s">
        <v>20</v>
      </c>
      <c r="B10" s="120">
        <f>+B7-B8</f>
        <v>0</v>
      </c>
      <c r="C10" s="120">
        <f t="shared" ref="C10:K10" si="2">+C7-C8</f>
        <v>0.34999999962747097</v>
      </c>
      <c r="D10" s="120">
        <f t="shared" si="2"/>
        <v>-0.23000000044703484</v>
      </c>
      <c r="E10" s="120">
        <f t="shared" si="2"/>
        <v>-1.0599999986588955</v>
      </c>
      <c r="F10" s="120">
        <f t="shared" si="2"/>
        <v>0.12000000011175871</v>
      </c>
      <c r="G10" s="120">
        <f t="shared" si="2"/>
        <v>-0.57000000029802322</v>
      </c>
      <c r="H10" s="120">
        <f t="shared" si="2"/>
        <v>-1.9999999552965164E-2</v>
      </c>
      <c r="I10" s="120">
        <f t="shared" si="2"/>
        <v>0.68999999947845936</v>
      </c>
      <c r="J10" s="120">
        <f t="shared" si="2"/>
        <v>-4761.9599999999627</v>
      </c>
      <c r="K10" s="120">
        <f t="shared" si="2"/>
        <v>-4762.6799999922514</v>
      </c>
      <c r="L10" s="3" t="s">
        <v>21</v>
      </c>
      <c r="M10" s="34" t="s">
        <v>22</v>
      </c>
      <c r="N10" s="36">
        <v>40086.1</v>
      </c>
      <c r="P10" s="154"/>
      <c r="Q10" s="155"/>
      <c r="R10" s="156"/>
      <c r="S10" s="156"/>
      <c r="T10" s="156"/>
      <c r="U10" s="156"/>
      <c r="V10" s="48"/>
    </row>
    <row r="11" spans="1:22" ht="15.75" thickBot="1" x14ac:dyDescent="0.3">
      <c r="A11" s="121" t="s">
        <v>23</v>
      </c>
      <c r="B11" s="120">
        <f>+B6-B8</f>
        <v>0</v>
      </c>
      <c r="C11" s="120">
        <f t="shared" ref="C11:K11" si="3">+C6-C8</f>
        <v>0.79999999981373549</v>
      </c>
      <c r="D11" s="120">
        <f t="shared" si="3"/>
        <v>0.17000000178813934</v>
      </c>
      <c r="E11" s="120">
        <f t="shared" si="3"/>
        <v>-1</v>
      </c>
      <c r="F11" s="120">
        <f t="shared" si="3"/>
        <v>0.61000000033527613</v>
      </c>
      <c r="G11" s="120">
        <f t="shared" si="3"/>
        <v>0</v>
      </c>
      <c r="H11" s="120">
        <f t="shared" si="3"/>
        <v>0.5400000000372529</v>
      </c>
      <c r="I11" s="120">
        <f t="shared" si="3"/>
        <v>1.8399999998509884</v>
      </c>
      <c r="J11" s="120">
        <f t="shared" si="3"/>
        <v>0</v>
      </c>
      <c r="K11" s="120">
        <f t="shared" si="3"/>
        <v>2.9600000083446503</v>
      </c>
      <c r="L11" s="37" t="s">
        <v>24</v>
      </c>
      <c r="M11" s="34" t="s">
        <v>25</v>
      </c>
      <c r="N11" s="38">
        <f>+N7+N10</f>
        <v>88074107.359999999</v>
      </c>
      <c r="P11" s="157"/>
      <c r="Q11" s="158" t="s">
        <v>68</v>
      </c>
      <c r="R11" s="159">
        <f>SUM(R8:R10)</f>
        <v>-4766</v>
      </c>
      <c r="S11" s="159">
        <f>SUM(S8:S10)</f>
        <v>-489.34500000160187</v>
      </c>
      <c r="T11" s="159">
        <f>SUM(T8:T10)</f>
        <v>24.430000000007567</v>
      </c>
      <c r="U11" s="159">
        <f>SUM(U8:U10)</f>
        <v>24.430000000007567</v>
      </c>
      <c r="V11" s="160" t="s">
        <v>69</v>
      </c>
    </row>
    <row r="12" spans="1:22" ht="15.75" thickBot="1" x14ac:dyDescent="0.3">
      <c r="A12" s="39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1"/>
      <c r="M12" s="3"/>
      <c r="P12" s="161" t="s">
        <v>70</v>
      </c>
      <c r="Q12" s="162"/>
      <c r="R12" s="163"/>
      <c r="S12" s="163"/>
      <c r="T12" s="163"/>
      <c r="U12" s="163"/>
      <c r="V12" s="160"/>
    </row>
    <row r="13" spans="1:22" ht="19.5" thickBot="1" x14ac:dyDescent="0.35">
      <c r="A13" s="107" t="s">
        <v>26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9"/>
      <c r="P13" s="98"/>
      <c r="Q13" s="47"/>
      <c r="R13" s="47"/>
      <c r="S13" s="47"/>
      <c r="T13" s="47"/>
      <c r="U13" s="47"/>
      <c r="V13" s="5"/>
    </row>
    <row r="14" spans="1:22" ht="16.5" thickBot="1" x14ac:dyDescent="0.3">
      <c r="A14" s="2"/>
      <c r="B14" s="3"/>
      <c r="C14" s="3"/>
      <c r="D14" s="3"/>
      <c r="E14" s="3"/>
      <c r="F14" s="3"/>
      <c r="G14" s="3"/>
      <c r="H14" s="3"/>
      <c r="I14" s="3"/>
      <c r="J14" s="3"/>
      <c r="K14" s="3"/>
      <c r="L14" s="4"/>
      <c r="M14" s="3"/>
      <c r="N14" s="5"/>
      <c r="P14" s="139" t="s">
        <v>71</v>
      </c>
      <c r="Q14" s="140"/>
      <c r="R14" s="3"/>
      <c r="S14" s="3"/>
      <c r="T14" s="3"/>
      <c r="U14" s="3"/>
      <c r="V14" s="5"/>
    </row>
    <row r="15" spans="1:22" ht="15.75" thickBot="1" x14ac:dyDescent="0.3">
      <c r="A15" s="32" t="s">
        <v>1</v>
      </c>
      <c r="B15" s="42" t="s">
        <v>2</v>
      </c>
      <c r="C15" s="43" t="s">
        <v>3</v>
      </c>
      <c r="D15" s="43" t="s">
        <v>4</v>
      </c>
      <c r="E15" s="43" t="s">
        <v>5</v>
      </c>
      <c r="F15" s="44" t="s">
        <v>6</v>
      </c>
      <c r="G15" s="43" t="s">
        <v>7</v>
      </c>
      <c r="H15" s="43" t="s">
        <v>8</v>
      </c>
      <c r="I15" s="44" t="s">
        <v>9</v>
      </c>
      <c r="J15" s="45" t="s">
        <v>10</v>
      </c>
      <c r="K15" s="32" t="s">
        <v>27</v>
      </c>
      <c r="L15" s="46"/>
      <c r="M15" s="47"/>
      <c r="N15" s="48"/>
      <c r="P15" s="2"/>
      <c r="Q15" s="3"/>
      <c r="R15" s="3"/>
      <c r="S15" s="3"/>
      <c r="T15" s="3"/>
      <c r="U15" s="3"/>
      <c r="V15" s="5"/>
    </row>
    <row r="16" spans="1:22" x14ac:dyDescent="0.25">
      <c r="A16" s="122" t="s">
        <v>52</v>
      </c>
      <c r="B16" s="123">
        <f>+B29</f>
        <v>186694</v>
      </c>
      <c r="C16" s="123">
        <f>+C29</f>
        <v>534594</v>
      </c>
      <c r="D16" s="123">
        <f>+D29</f>
        <v>1615371.155</v>
      </c>
      <c r="E16" s="123">
        <f>+E29</f>
        <v>1669336.9100000001</v>
      </c>
      <c r="F16" s="123">
        <f t="shared" ref="F16:J16" si="4">+F29</f>
        <v>393141.02000000008</v>
      </c>
      <c r="G16" s="123">
        <f t="shared" si="4"/>
        <v>346551.61</v>
      </c>
      <c r="H16" s="123">
        <f t="shared" si="4"/>
        <v>291276.19999999995</v>
      </c>
      <c r="I16" s="123">
        <f t="shared" si="4"/>
        <v>340098</v>
      </c>
      <c r="J16" s="123">
        <f t="shared" si="4"/>
        <v>401008.11000000004</v>
      </c>
      <c r="K16" s="124">
        <f>SUM(B16:J16)</f>
        <v>5778071.0050000018</v>
      </c>
      <c r="L16" s="49"/>
      <c r="M16" s="47"/>
      <c r="N16" s="48"/>
      <c r="P16" s="145"/>
      <c r="Q16" s="146"/>
      <c r="R16" s="146"/>
      <c r="S16" s="164" t="s">
        <v>60</v>
      </c>
      <c r="T16" s="164"/>
      <c r="U16" s="164"/>
      <c r="V16" s="150"/>
    </row>
    <row r="17" spans="1:22" x14ac:dyDescent="0.25">
      <c r="A17" s="125" t="s">
        <v>55</v>
      </c>
      <c r="B17" s="126">
        <f>+B35</f>
        <v>186697.28000000003</v>
      </c>
      <c r="C17" s="126">
        <f>+C35</f>
        <v>534641.32999999996</v>
      </c>
      <c r="D17" s="126">
        <f>+D35</f>
        <v>1615372.1500000001</v>
      </c>
      <c r="E17" s="126">
        <f>+E35</f>
        <v>1669335.7999999998</v>
      </c>
      <c r="F17" s="126">
        <f t="shared" ref="F17:J17" si="5">+F35</f>
        <v>393141.09000000008</v>
      </c>
      <c r="G17" s="126">
        <f t="shared" si="5"/>
        <v>346631.52</v>
      </c>
      <c r="H17" s="126">
        <f t="shared" si="5"/>
        <v>291277.68</v>
      </c>
      <c r="I17" s="126">
        <f t="shared" si="5"/>
        <v>340096.8</v>
      </c>
      <c r="J17" s="126">
        <f t="shared" si="5"/>
        <v>400436.87</v>
      </c>
      <c r="K17" s="124">
        <f t="shared" ref="K17:K18" si="6">SUM(B17:J17)</f>
        <v>5777630.5199999996</v>
      </c>
      <c r="L17" s="49"/>
      <c r="M17" s="47"/>
      <c r="N17" s="48"/>
      <c r="P17" s="151" t="s">
        <v>1</v>
      </c>
      <c r="Q17" s="152" t="s">
        <v>61</v>
      </c>
      <c r="R17" s="153" t="s">
        <v>72</v>
      </c>
      <c r="S17" s="153" t="s">
        <v>63</v>
      </c>
      <c r="T17" s="153" t="s">
        <v>64</v>
      </c>
      <c r="U17" s="153" t="s">
        <v>65</v>
      </c>
      <c r="V17" s="150"/>
    </row>
    <row r="18" spans="1:22" ht="15.75" thickBot="1" x14ac:dyDescent="0.3">
      <c r="A18" s="127" t="s">
        <v>56</v>
      </c>
      <c r="B18" s="126">
        <f>+B41</f>
        <v>186696.36</v>
      </c>
      <c r="C18" s="126">
        <f>+C41</f>
        <v>534617.93999999994</v>
      </c>
      <c r="D18" s="126">
        <f>+D41</f>
        <v>1615371</v>
      </c>
      <c r="E18" s="126">
        <f>+E41</f>
        <v>1669337.5</v>
      </c>
      <c r="F18" s="126">
        <f t="shared" ref="F18:J18" si="7">+F41</f>
        <v>393136.79000000004</v>
      </c>
      <c r="G18" s="126">
        <f t="shared" si="7"/>
        <v>346551.52</v>
      </c>
      <c r="H18" s="126">
        <f t="shared" si="7"/>
        <v>291277.28000000003</v>
      </c>
      <c r="I18" s="126">
        <f t="shared" si="7"/>
        <v>340096.73999999993</v>
      </c>
      <c r="J18" s="126">
        <f t="shared" si="7"/>
        <v>401008.5</v>
      </c>
      <c r="K18" s="124">
        <f t="shared" si="6"/>
        <v>5778093.6299999999</v>
      </c>
      <c r="L18" s="49"/>
      <c r="M18" s="47"/>
      <c r="N18" s="48"/>
      <c r="P18" s="154"/>
      <c r="Q18" s="155" t="s">
        <v>73</v>
      </c>
      <c r="R18" s="165"/>
      <c r="S18" s="165">
        <f>+K71-K65</f>
        <v>14527.419999998994</v>
      </c>
      <c r="T18" s="165">
        <f>+K72-K66</f>
        <v>-2507.1599999999162</v>
      </c>
      <c r="U18" s="165">
        <f>K73-K67</f>
        <v>-2507.1599999999162</v>
      </c>
      <c r="V18" s="48"/>
    </row>
    <row r="19" spans="1:22" ht="15.75" thickBot="1" x14ac:dyDescent="0.3">
      <c r="A19" s="118" t="s">
        <v>18</v>
      </c>
      <c r="B19" s="119">
        <f>+B17-B16</f>
        <v>3.2800000000279397</v>
      </c>
      <c r="C19" s="119">
        <f t="shared" ref="C19:K19" si="8">+C17-C16</f>
        <v>47.32999999995809</v>
      </c>
      <c r="D19" s="119">
        <f t="shared" si="8"/>
        <v>0.99500000011175871</v>
      </c>
      <c r="E19" s="119">
        <f t="shared" si="8"/>
        <v>-1.1100000003352761</v>
      </c>
      <c r="F19" s="119">
        <f t="shared" si="8"/>
        <v>7.0000000006984919E-2</v>
      </c>
      <c r="G19" s="119">
        <f t="shared" si="8"/>
        <v>79.910000000032596</v>
      </c>
      <c r="H19" s="119">
        <f t="shared" si="8"/>
        <v>1.4800000000395812</v>
      </c>
      <c r="I19" s="119">
        <f t="shared" si="8"/>
        <v>-1.2000000000116415</v>
      </c>
      <c r="J19" s="119">
        <f t="shared" si="8"/>
        <v>-571.24000000004889</v>
      </c>
      <c r="K19" s="119">
        <f t="shared" si="8"/>
        <v>-440.48500000219792</v>
      </c>
      <c r="L19" s="3" t="s">
        <v>19</v>
      </c>
      <c r="M19" s="47"/>
      <c r="N19" s="48"/>
      <c r="P19" s="154"/>
      <c r="Q19" s="155"/>
      <c r="R19" s="165"/>
      <c r="S19" s="165"/>
      <c r="T19" s="165"/>
      <c r="U19" s="165"/>
      <c r="V19" s="48"/>
    </row>
    <row r="20" spans="1:22" ht="15.75" thickBot="1" x14ac:dyDescent="0.3">
      <c r="A20" s="118" t="s">
        <v>20</v>
      </c>
      <c r="B20" s="120">
        <f>+B17-B18</f>
        <v>0.92000000004190952</v>
      </c>
      <c r="C20" s="120">
        <f t="shared" ref="C20:K20" si="9">+C17-C18</f>
        <v>23.39000000001397</v>
      </c>
      <c r="D20" s="120">
        <f t="shared" si="9"/>
        <v>1.1500000001396984</v>
      </c>
      <c r="E20" s="120">
        <f t="shared" si="9"/>
        <v>-1.7000000001862645</v>
      </c>
      <c r="F20" s="120">
        <f t="shared" si="9"/>
        <v>4.3000000000465661</v>
      </c>
      <c r="G20" s="120">
        <f t="shared" si="9"/>
        <v>80</v>
      </c>
      <c r="H20" s="120">
        <f t="shared" si="9"/>
        <v>0.3999999999650754</v>
      </c>
      <c r="I20" s="120">
        <f t="shared" si="9"/>
        <v>6.0000000055879354E-2</v>
      </c>
      <c r="J20" s="120">
        <f t="shared" si="9"/>
        <v>-571.63000000000466</v>
      </c>
      <c r="K20" s="120">
        <f t="shared" si="9"/>
        <v>-463.11000000033528</v>
      </c>
      <c r="L20" s="3" t="s">
        <v>21</v>
      </c>
      <c r="M20" s="47"/>
      <c r="N20" s="48"/>
      <c r="P20" s="157"/>
      <c r="Q20" s="158" t="s">
        <v>74</v>
      </c>
      <c r="R20" s="166">
        <f>SUM(R18:R18)</f>
        <v>0</v>
      </c>
      <c r="S20" s="166">
        <f>SUM(S18:S19)</f>
        <v>14527.419999998994</v>
      </c>
      <c r="T20" s="166">
        <f>SUM(T18:T19)</f>
        <v>-2507.1599999999162</v>
      </c>
      <c r="U20" s="166">
        <f>SUM(U18:U19)</f>
        <v>-2507.1599999999162</v>
      </c>
      <c r="V20" s="160" t="s">
        <v>69</v>
      </c>
    </row>
    <row r="21" spans="1:22" ht="15.75" thickBot="1" x14ac:dyDescent="0.3">
      <c r="A21" s="121" t="s">
        <v>23</v>
      </c>
      <c r="B21" s="120">
        <f>+B16-B18</f>
        <v>-2.3599999999860302</v>
      </c>
      <c r="C21" s="120">
        <f t="shared" ref="C21:K21" si="10">+C16-C18</f>
        <v>-23.939999999944121</v>
      </c>
      <c r="D21" s="120">
        <f t="shared" si="10"/>
        <v>0.15500000002793968</v>
      </c>
      <c r="E21" s="120">
        <f t="shared" si="10"/>
        <v>-0.58999999985098839</v>
      </c>
      <c r="F21" s="120">
        <f t="shared" si="10"/>
        <v>4.2300000000395812</v>
      </c>
      <c r="G21" s="120">
        <f t="shared" si="10"/>
        <v>8.999999996740371E-2</v>
      </c>
      <c r="H21" s="120">
        <f t="shared" si="10"/>
        <v>-1.0800000000745058</v>
      </c>
      <c r="I21" s="120">
        <f t="shared" si="10"/>
        <v>1.2600000000675209</v>
      </c>
      <c r="J21" s="120">
        <f t="shared" si="10"/>
        <v>-0.38999999995576218</v>
      </c>
      <c r="K21" s="120">
        <f t="shared" si="10"/>
        <v>-22.624999998137355</v>
      </c>
      <c r="L21" s="3" t="s">
        <v>24</v>
      </c>
      <c r="M21" s="47"/>
      <c r="N21" s="48"/>
      <c r="P21" s="2"/>
      <c r="Q21" s="3"/>
      <c r="R21" s="3"/>
      <c r="S21" s="3"/>
      <c r="T21" s="3"/>
      <c r="U21" s="3"/>
      <c r="V21" s="48"/>
    </row>
    <row r="22" spans="1:22" ht="15.75" thickBot="1" x14ac:dyDescent="0.3">
      <c r="A22" s="50"/>
      <c r="B22" s="49"/>
      <c r="C22" s="49"/>
      <c r="D22" s="51"/>
      <c r="E22" s="51"/>
      <c r="F22" s="51"/>
      <c r="G22" s="51"/>
      <c r="H22" s="51"/>
      <c r="I22" s="51"/>
      <c r="J22" s="49"/>
      <c r="K22" s="49"/>
      <c r="L22" s="3"/>
      <c r="M22" s="47"/>
      <c r="N22" s="48"/>
      <c r="P22" s="167" t="s">
        <v>75</v>
      </c>
      <c r="Q22" s="47"/>
      <c r="R22" s="47"/>
      <c r="S22" s="168">
        <f>+S20-S11</f>
        <v>15016.765000000596</v>
      </c>
      <c r="T22" s="168">
        <f>+T20-T11</f>
        <v>-2531.5899999999237</v>
      </c>
      <c r="U22" s="168">
        <f>+U20-U11</f>
        <v>-2531.5899999999237</v>
      </c>
      <c r="V22" s="48"/>
    </row>
    <row r="23" spans="1:22" ht="19.5" thickBot="1" x14ac:dyDescent="0.35">
      <c r="A23" s="111" t="s">
        <v>57</v>
      </c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3"/>
      <c r="P23" s="167" t="s">
        <v>76</v>
      </c>
      <c r="Q23" s="47"/>
      <c r="R23" s="47"/>
      <c r="S23" s="169">
        <v>0</v>
      </c>
      <c r="T23" s="169">
        <v>0</v>
      </c>
      <c r="U23" s="169">
        <v>0</v>
      </c>
      <c r="V23" s="48"/>
    </row>
    <row r="24" spans="1:22" ht="15.75" thickBot="1" x14ac:dyDescent="0.3">
      <c r="A24" s="2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3"/>
      <c r="M24" s="47"/>
      <c r="N24" s="48"/>
      <c r="P24" s="170" t="s">
        <v>77</v>
      </c>
      <c r="Q24" s="77"/>
      <c r="R24" s="77"/>
      <c r="S24" s="171">
        <f>+S22+S23</f>
        <v>15016.765000000596</v>
      </c>
      <c r="T24" s="171">
        <f>+T22+T23</f>
        <v>-2531.5899999999237</v>
      </c>
      <c r="U24" s="171">
        <f>+U22+U23</f>
        <v>-2531.5899999999237</v>
      </c>
      <c r="V24" s="172" t="s">
        <v>78</v>
      </c>
    </row>
    <row r="25" spans="1:22" ht="15.75" thickBot="1" x14ac:dyDescent="0.3">
      <c r="A25" s="54" t="s">
        <v>51</v>
      </c>
      <c r="B25" s="42" t="s">
        <v>2</v>
      </c>
      <c r="C25" s="43" t="s">
        <v>3</v>
      </c>
      <c r="D25" s="43" t="s">
        <v>4</v>
      </c>
      <c r="E25" s="43" t="s">
        <v>5</v>
      </c>
      <c r="F25" s="43" t="s">
        <v>6</v>
      </c>
      <c r="G25" s="43" t="s">
        <v>7</v>
      </c>
      <c r="H25" s="43" t="s">
        <v>8</v>
      </c>
      <c r="I25" s="43" t="s">
        <v>9</v>
      </c>
      <c r="J25" s="45" t="s">
        <v>10</v>
      </c>
      <c r="K25" s="32" t="s">
        <v>27</v>
      </c>
      <c r="L25" s="46"/>
      <c r="M25" s="47"/>
      <c r="N25" s="48"/>
      <c r="P25" s="19"/>
      <c r="Q25" s="19"/>
      <c r="R25" s="19"/>
      <c r="S25" s="19"/>
      <c r="T25" s="19"/>
      <c r="U25" s="19"/>
      <c r="V25" s="19"/>
    </row>
    <row r="26" spans="1:22" x14ac:dyDescent="0.25">
      <c r="A26" s="55" t="s">
        <v>28</v>
      </c>
      <c r="B26" s="56">
        <v>162244</v>
      </c>
      <c r="C26" s="57">
        <v>513330</v>
      </c>
      <c r="D26" s="57">
        <v>1579239.155</v>
      </c>
      <c r="E26" s="57">
        <v>1642923.67</v>
      </c>
      <c r="F26" s="57">
        <v>381025.46</v>
      </c>
      <c r="G26" s="58">
        <v>342564.03</v>
      </c>
      <c r="H26" s="57">
        <v>268697.36</v>
      </c>
      <c r="I26" s="57">
        <v>302908</v>
      </c>
      <c r="J26" s="59">
        <v>376980.95</v>
      </c>
      <c r="K26" s="18">
        <v>5569912.6250000009</v>
      </c>
      <c r="L26" s="60">
        <f>+L6</f>
        <v>0</v>
      </c>
      <c r="M26" s="49"/>
      <c r="N26" s="61"/>
    </row>
    <row r="27" spans="1:22" x14ac:dyDescent="0.25">
      <c r="A27" s="62" t="s">
        <v>29</v>
      </c>
      <c r="B27" s="56">
        <v>12225</v>
      </c>
      <c r="C27" s="57">
        <v>10632</v>
      </c>
      <c r="D27" s="57">
        <v>18066</v>
      </c>
      <c r="E27" s="57">
        <v>13206.62</v>
      </c>
      <c r="F27" s="57">
        <v>6057.78</v>
      </c>
      <c r="G27" s="57">
        <v>1993.79</v>
      </c>
      <c r="H27" s="57">
        <v>11289.42</v>
      </c>
      <c r="I27" s="57">
        <v>18595</v>
      </c>
      <c r="J27" s="59">
        <v>12013.58</v>
      </c>
      <c r="K27" s="18">
        <v>104079.19</v>
      </c>
      <c r="L27" s="60"/>
      <c r="M27" s="49"/>
      <c r="N27" s="61"/>
    </row>
    <row r="28" spans="1:22" ht="15.75" thickBot="1" x14ac:dyDescent="0.3">
      <c r="A28" s="63" t="s">
        <v>30</v>
      </c>
      <c r="B28" s="64">
        <f>B27</f>
        <v>12225</v>
      </c>
      <c r="C28" s="64">
        <f t="shared" ref="C28:J28" si="11">C27</f>
        <v>10632</v>
      </c>
      <c r="D28" s="64">
        <f t="shared" si="11"/>
        <v>18066</v>
      </c>
      <c r="E28" s="64">
        <v>13206.62</v>
      </c>
      <c r="F28" s="64">
        <v>6057.78</v>
      </c>
      <c r="G28" s="64">
        <f t="shared" si="11"/>
        <v>1993.79</v>
      </c>
      <c r="H28" s="64">
        <v>11289.42</v>
      </c>
      <c r="I28" s="64">
        <f t="shared" si="11"/>
        <v>18595</v>
      </c>
      <c r="J28" s="64">
        <f t="shared" si="11"/>
        <v>12013.58</v>
      </c>
      <c r="K28" s="65">
        <v>104079.19</v>
      </c>
      <c r="L28" s="48"/>
      <c r="M28" s="47"/>
      <c r="N28" s="48"/>
    </row>
    <row r="29" spans="1:22" ht="15.75" thickBot="1" x14ac:dyDescent="0.3">
      <c r="A29" s="32" t="s">
        <v>27</v>
      </c>
      <c r="B29" s="66">
        <f>SUM(B26:B28)</f>
        <v>186694</v>
      </c>
      <c r="C29" s="66">
        <f t="shared" ref="C29:J29" si="12">SUM(C26:C28)</f>
        <v>534594</v>
      </c>
      <c r="D29" s="66">
        <f t="shared" si="12"/>
        <v>1615371.155</v>
      </c>
      <c r="E29" s="66">
        <f t="shared" si="12"/>
        <v>1669336.9100000001</v>
      </c>
      <c r="F29" s="66">
        <f t="shared" si="12"/>
        <v>393141.02000000008</v>
      </c>
      <c r="G29" s="66">
        <f t="shared" si="12"/>
        <v>346551.61</v>
      </c>
      <c r="H29" s="66">
        <f t="shared" si="12"/>
        <v>291276.19999999995</v>
      </c>
      <c r="I29" s="66">
        <f t="shared" si="12"/>
        <v>340098</v>
      </c>
      <c r="J29" s="66">
        <f t="shared" si="12"/>
        <v>401008.11000000004</v>
      </c>
      <c r="K29" s="67">
        <f>SUM(K26:K28)</f>
        <v>5778071.0050000018</v>
      </c>
      <c r="L29" s="49"/>
      <c r="M29" s="47"/>
      <c r="N29" s="48"/>
    </row>
    <row r="30" spans="1:22" ht="15.75" thickBot="1" x14ac:dyDescent="0.3">
      <c r="A30" s="2"/>
      <c r="B30" s="68"/>
      <c r="C30" s="68"/>
      <c r="D30" s="68"/>
      <c r="E30" s="68"/>
      <c r="F30" s="68"/>
      <c r="G30" s="68"/>
      <c r="H30" s="68"/>
      <c r="I30" s="68"/>
      <c r="J30" s="68"/>
      <c r="K30" s="3"/>
      <c r="L30" s="69"/>
      <c r="M30" s="47"/>
      <c r="N30" s="48"/>
    </row>
    <row r="31" spans="1:22" ht="15.75" thickBot="1" x14ac:dyDescent="0.3">
      <c r="A31" s="54" t="s">
        <v>53</v>
      </c>
      <c r="B31" s="70" t="s">
        <v>2</v>
      </c>
      <c r="C31" s="71" t="s">
        <v>3</v>
      </c>
      <c r="D31" s="71" t="s">
        <v>4</v>
      </c>
      <c r="E31" s="71" t="s">
        <v>5</v>
      </c>
      <c r="F31" s="71" t="s">
        <v>6</v>
      </c>
      <c r="G31" s="71" t="s">
        <v>7</v>
      </c>
      <c r="H31" s="71" t="s">
        <v>8</v>
      </c>
      <c r="I31" s="71" t="s">
        <v>9</v>
      </c>
      <c r="J31" s="72" t="s">
        <v>10</v>
      </c>
      <c r="K31" s="32" t="s">
        <v>27</v>
      </c>
      <c r="L31" s="46"/>
      <c r="M31" s="47"/>
      <c r="N31" s="48"/>
    </row>
    <row r="32" spans="1:22" x14ac:dyDescent="0.25">
      <c r="A32" s="55" t="s">
        <v>28</v>
      </c>
      <c r="B32" s="56">
        <v>162245</v>
      </c>
      <c r="C32" s="57">
        <v>513329.51</v>
      </c>
      <c r="D32" s="57">
        <v>1579239.59</v>
      </c>
      <c r="E32" s="57">
        <v>1642922.54</v>
      </c>
      <c r="F32" s="57">
        <v>381025.53</v>
      </c>
      <c r="G32" s="57">
        <v>342644</v>
      </c>
      <c r="H32" s="57">
        <v>268698.92</v>
      </c>
      <c r="I32" s="57">
        <v>302908.42</v>
      </c>
      <c r="J32" s="59">
        <v>376409.77</v>
      </c>
      <c r="K32" s="18">
        <v>5569423.2799999993</v>
      </c>
      <c r="L32" s="49"/>
      <c r="M32" s="47"/>
      <c r="N32" s="48"/>
    </row>
    <row r="33" spans="1:14" x14ac:dyDescent="0.25">
      <c r="A33" s="62" t="s">
        <v>29</v>
      </c>
      <c r="B33" s="56">
        <v>12226.14</v>
      </c>
      <c r="C33" s="57">
        <v>10655.91</v>
      </c>
      <c r="D33" s="57">
        <v>18066.28</v>
      </c>
      <c r="E33" s="58">
        <v>13206.63</v>
      </c>
      <c r="F33" s="58">
        <v>6057.78</v>
      </c>
      <c r="G33" s="57">
        <v>1993.76</v>
      </c>
      <c r="H33" s="57">
        <v>11289.38</v>
      </c>
      <c r="I33" s="57">
        <v>18594.189999999999</v>
      </c>
      <c r="J33" s="59">
        <v>12013.55</v>
      </c>
      <c r="K33" s="18">
        <v>104103.62000000001</v>
      </c>
      <c r="L33" s="49"/>
      <c r="M33" s="47"/>
      <c r="N33" s="48"/>
    </row>
    <row r="34" spans="1:14" ht="15.75" thickBot="1" x14ac:dyDescent="0.3">
      <c r="A34" s="63" t="s">
        <v>30</v>
      </c>
      <c r="B34" s="56">
        <f>B33</f>
        <v>12226.14</v>
      </c>
      <c r="C34" s="56">
        <f t="shared" ref="C34:J34" si="13">C33</f>
        <v>10655.91</v>
      </c>
      <c r="D34" s="56">
        <f t="shared" si="13"/>
        <v>18066.28</v>
      </c>
      <c r="E34" s="56">
        <f t="shared" si="13"/>
        <v>13206.63</v>
      </c>
      <c r="F34" s="56">
        <f t="shared" si="13"/>
        <v>6057.78</v>
      </c>
      <c r="G34" s="56">
        <f t="shared" si="13"/>
        <v>1993.76</v>
      </c>
      <c r="H34" s="56">
        <v>11289.38</v>
      </c>
      <c r="I34" s="56">
        <f t="shared" si="13"/>
        <v>18594.189999999999</v>
      </c>
      <c r="J34" s="56">
        <f t="shared" si="13"/>
        <v>12013.55</v>
      </c>
      <c r="K34" s="65">
        <v>104103.62000000001</v>
      </c>
      <c r="L34" s="49"/>
      <c r="M34" s="47"/>
      <c r="N34" s="48"/>
    </row>
    <row r="35" spans="1:14" ht="15.75" thickBot="1" x14ac:dyDescent="0.3">
      <c r="A35" s="32" t="s">
        <v>27</v>
      </c>
      <c r="B35" s="66">
        <f>SUM(B32:B34)</f>
        <v>186697.28000000003</v>
      </c>
      <c r="C35" s="66">
        <f t="shared" ref="C35:E35" si="14">SUM(C32:C34)</f>
        <v>534641.32999999996</v>
      </c>
      <c r="D35" s="66">
        <f t="shared" si="14"/>
        <v>1615372.1500000001</v>
      </c>
      <c r="E35" s="66">
        <f t="shared" si="14"/>
        <v>1669335.7999999998</v>
      </c>
      <c r="F35" s="66">
        <f t="shared" ref="F35" si="15">SUM(F32:F34)</f>
        <v>393141.09000000008</v>
      </c>
      <c r="G35" s="66">
        <f t="shared" ref="G35" si="16">SUM(G32:G34)</f>
        <v>346631.52</v>
      </c>
      <c r="H35" s="66">
        <f t="shared" ref="H35" si="17">SUM(H32:H34)</f>
        <v>291277.68</v>
      </c>
      <c r="I35" s="66">
        <f t="shared" ref="I35" si="18">SUM(I32:I34)</f>
        <v>340096.8</v>
      </c>
      <c r="J35" s="66">
        <f t="shared" ref="J35" si="19">SUM(J32:J34)</f>
        <v>400436.87</v>
      </c>
      <c r="K35" s="67">
        <f>SUM(K32:K34)</f>
        <v>5777630.5199999996</v>
      </c>
      <c r="L35" s="49"/>
      <c r="M35" s="47"/>
      <c r="N35" s="48"/>
    </row>
    <row r="36" spans="1:14" ht="15.75" thickBot="1" x14ac:dyDescent="0.3">
      <c r="A36" s="39"/>
      <c r="B36" s="110"/>
      <c r="C36" s="110"/>
      <c r="D36" s="110"/>
      <c r="E36" s="110"/>
      <c r="F36" s="110"/>
      <c r="G36" s="110"/>
      <c r="H36" s="110"/>
      <c r="I36" s="110"/>
      <c r="J36" s="110"/>
      <c r="K36" s="40"/>
      <c r="L36" s="49"/>
      <c r="M36" s="47"/>
      <c r="N36" s="48"/>
    </row>
    <row r="37" spans="1:14" ht="15.75" thickBot="1" x14ac:dyDescent="0.3">
      <c r="A37" s="54" t="s">
        <v>54</v>
      </c>
      <c r="B37" s="70" t="s">
        <v>2</v>
      </c>
      <c r="C37" s="71" t="s">
        <v>3</v>
      </c>
      <c r="D37" s="71" t="s">
        <v>4</v>
      </c>
      <c r="E37" s="71" t="s">
        <v>5</v>
      </c>
      <c r="F37" s="71" t="s">
        <v>6</v>
      </c>
      <c r="G37" s="71" t="s">
        <v>7</v>
      </c>
      <c r="H37" s="71" t="s">
        <v>8</v>
      </c>
      <c r="I37" s="71" t="s">
        <v>9</v>
      </c>
      <c r="J37" s="72" t="s">
        <v>10</v>
      </c>
      <c r="K37" s="32" t="s">
        <v>27</v>
      </c>
      <c r="L37" s="46"/>
      <c r="M37" s="47"/>
      <c r="N37" s="48"/>
    </row>
    <row r="38" spans="1:14" x14ac:dyDescent="0.25">
      <c r="A38" s="55" t="s">
        <v>28</v>
      </c>
      <c r="B38" s="56">
        <v>162245</v>
      </c>
      <c r="C38" s="57">
        <v>513330</v>
      </c>
      <c r="D38" s="57">
        <v>1579239</v>
      </c>
      <c r="E38" s="57">
        <v>1642923.88</v>
      </c>
      <c r="F38" s="57">
        <v>381021.43</v>
      </c>
      <c r="G38" s="57">
        <v>342564</v>
      </c>
      <c r="H38" s="57">
        <v>268698.52</v>
      </c>
      <c r="I38" s="57">
        <v>302908.42</v>
      </c>
      <c r="J38" s="59">
        <v>376980.91</v>
      </c>
      <c r="K38" s="18">
        <v>5569911.1600000001</v>
      </c>
      <c r="L38" s="49"/>
      <c r="M38" s="47"/>
      <c r="N38" s="48"/>
    </row>
    <row r="39" spans="1:14" x14ac:dyDescent="0.25">
      <c r="A39" s="62" t="s">
        <v>29</v>
      </c>
      <c r="B39" s="56">
        <v>12225.68</v>
      </c>
      <c r="C39" s="57">
        <v>10643.97</v>
      </c>
      <c r="D39" s="57">
        <v>18066</v>
      </c>
      <c r="E39" s="57">
        <v>13206.62</v>
      </c>
      <c r="F39" s="57">
        <v>6057.78</v>
      </c>
      <c r="G39" s="57">
        <v>1993.76</v>
      </c>
      <c r="H39" s="57">
        <v>11289.38</v>
      </c>
      <c r="I39" s="57">
        <v>18594.16</v>
      </c>
      <c r="J39" s="59">
        <v>12013.59</v>
      </c>
      <c r="K39" s="18">
        <v>104090.94</v>
      </c>
      <c r="L39" s="49"/>
      <c r="M39" s="47"/>
      <c r="N39" s="48"/>
    </row>
    <row r="40" spans="1:14" ht="15.75" thickBot="1" x14ac:dyDescent="0.3">
      <c r="A40" s="63" t="s">
        <v>30</v>
      </c>
      <c r="B40" s="56">
        <f>B39</f>
        <v>12225.68</v>
      </c>
      <c r="C40" s="56">
        <f t="shared" ref="C40:I40" si="20">C39</f>
        <v>10643.97</v>
      </c>
      <c r="D40" s="56">
        <f t="shared" si="20"/>
        <v>18066</v>
      </c>
      <c r="E40" s="56">
        <v>13207</v>
      </c>
      <c r="F40" s="56">
        <v>6057.58</v>
      </c>
      <c r="G40" s="57">
        <v>1993.76</v>
      </c>
      <c r="H40" s="56">
        <f t="shared" si="20"/>
        <v>11289.38</v>
      </c>
      <c r="I40" s="56">
        <f t="shared" si="20"/>
        <v>18594.16</v>
      </c>
      <c r="J40" s="56">
        <v>12014</v>
      </c>
      <c r="K40" s="65">
        <v>104091.53000000001</v>
      </c>
      <c r="L40" s="49"/>
      <c r="M40" s="47"/>
      <c r="N40" s="48"/>
    </row>
    <row r="41" spans="1:14" ht="15.75" thickBot="1" x14ac:dyDescent="0.3">
      <c r="A41" s="32" t="s">
        <v>27</v>
      </c>
      <c r="B41" s="66">
        <f>SUM(B38:B40)</f>
        <v>186696.36</v>
      </c>
      <c r="C41" s="66">
        <f t="shared" ref="C41:K41" si="21">SUM(C38:C40)</f>
        <v>534617.93999999994</v>
      </c>
      <c r="D41" s="66">
        <f t="shared" si="21"/>
        <v>1615371</v>
      </c>
      <c r="E41" s="66">
        <f t="shared" si="21"/>
        <v>1669337.5</v>
      </c>
      <c r="F41" s="66">
        <f t="shared" si="21"/>
        <v>393136.79000000004</v>
      </c>
      <c r="G41" s="66">
        <f t="shared" si="21"/>
        <v>346551.52</v>
      </c>
      <c r="H41" s="66">
        <f t="shared" si="21"/>
        <v>291277.28000000003</v>
      </c>
      <c r="I41" s="66">
        <f t="shared" si="21"/>
        <v>340096.73999999993</v>
      </c>
      <c r="J41" s="66">
        <f t="shared" si="21"/>
        <v>401008.5</v>
      </c>
      <c r="K41" s="73">
        <f t="shared" si="21"/>
        <v>5778093.6300000008</v>
      </c>
      <c r="L41" s="49"/>
      <c r="M41" s="47"/>
      <c r="N41" s="48"/>
    </row>
    <row r="42" spans="1:14" ht="15.75" thickBot="1" x14ac:dyDescent="0.3">
      <c r="A42" s="74"/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6"/>
      <c r="M42" s="77"/>
      <c r="N42" s="78"/>
    </row>
    <row r="43" spans="1:14" x14ac:dyDescent="0.25">
      <c r="A43" s="7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1"/>
      <c r="M43" s="3"/>
      <c r="N43" s="3"/>
    </row>
    <row r="44" spans="1:14" x14ac:dyDescent="0.25">
      <c r="A44" s="7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1"/>
      <c r="M44" s="47"/>
      <c r="N44" s="47"/>
    </row>
    <row r="45" spans="1:14" ht="18.75" x14ac:dyDescent="0.3">
      <c r="A45" s="178" t="s">
        <v>31</v>
      </c>
      <c r="B45" s="179"/>
      <c r="C45" s="179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</row>
    <row r="46" spans="1:14" ht="15.75" thickBot="1" x14ac:dyDescent="0.3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9"/>
      <c r="M46" s="47"/>
      <c r="N46" s="47"/>
    </row>
    <row r="47" spans="1:14" ht="15.75" thickBot="1" x14ac:dyDescent="0.3">
      <c r="A47" s="32" t="s">
        <v>1</v>
      </c>
      <c r="B47" s="42" t="s">
        <v>2</v>
      </c>
      <c r="C47" s="43" t="s">
        <v>3</v>
      </c>
      <c r="D47" s="43" t="s">
        <v>4</v>
      </c>
      <c r="E47" s="43" t="s">
        <v>5</v>
      </c>
      <c r="F47" s="43" t="s">
        <v>6</v>
      </c>
      <c r="G47" s="43" t="s">
        <v>7</v>
      </c>
      <c r="H47" s="43" t="s">
        <v>8</v>
      </c>
      <c r="I47" s="43" t="s">
        <v>9</v>
      </c>
      <c r="J47" s="45" t="s">
        <v>10</v>
      </c>
      <c r="K47" s="32" t="s">
        <v>27</v>
      </c>
      <c r="L47" s="80" t="s">
        <v>32</v>
      </c>
      <c r="M47" s="81" t="s">
        <v>27</v>
      </c>
      <c r="N47" s="47"/>
    </row>
    <row r="48" spans="1:14" ht="15.75" thickBot="1" x14ac:dyDescent="0.3">
      <c r="A48" s="55" t="s">
        <v>33</v>
      </c>
      <c r="B48" s="82">
        <v>0</v>
      </c>
      <c r="C48" s="83">
        <v>0</v>
      </c>
      <c r="D48" s="83">
        <f>2308451.87+72389.83+12086410.3+73957.63</f>
        <v>14541209.630000001</v>
      </c>
      <c r="E48" s="83">
        <v>5657660.2400000002</v>
      </c>
      <c r="F48" s="83">
        <v>0</v>
      </c>
      <c r="G48" s="83">
        <f>1568261+898161</f>
        <v>2466422</v>
      </c>
      <c r="H48" s="83">
        <v>0</v>
      </c>
      <c r="I48" s="83">
        <v>0</v>
      </c>
      <c r="J48" s="84">
        <v>0</v>
      </c>
      <c r="K48" s="85">
        <v>22665291.870000001</v>
      </c>
      <c r="L48" s="86">
        <v>121658</v>
      </c>
      <c r="M48" s="87">
        <f>K48+L48</f>
        <v>22786949.870000001</v>
      </c>
      <c r="N48" s="47"/>
    </row>
    <row r="49" spans="1:14" ht="15.75" thickBot="1" x14ac:dyDescent="0.3">
      <c r="A49" s="63" t="s">
        <v>34</v>
      </c>
      <c r="B49" s="88">
        <v>0</v>
      </c>
      <c r="C49" s="89">
        <v>0</v>
      </c>
      <c r="D49" s="89">
        <v>0</v>
      </c>
      <c r="E49" s="89">
        <v>0</v>
      </c>
      <c r="F49" s="89">
        <v>0</v>
      </c>
      <c r="G49" s="89">
        <v>0</v>
      </c>
      <c r="H49" s="89">
        <v>0</v>
      </c>
      <c r="I49" s="89">
        <v>0</v>
      </c>
      <c r="J49" s="90">
        <v>0</v>
      </c>
      <c r="K49" s="91">
        <v>0</v>
      </c>
      <c r="L49" s="92">
        <v>121658</v>
      </c>
      <c r="M49" s="93">
        <f>K49+L49</f>
        <v>121658</v>
      </c>
      <c r="N49" s="47"/>
    </row>
    <row r="50" spans="1:14" ht="15.75" thickBot="1" x14ac:dyDescent="0.3">
      <c r="A50" s="32" t="s">
        <v>35</v>
      </c>
      <c r="B50" s="33">
        <f t="shared" ref="B50:C50" si="22">+B49-B48</f>
        <v>0</v>
      </c>
      <c r="C50" s="33">
        <f t="shared" si="22"/>
        <v>0</v>
      </c>
      <c r="D50" s="33">
        <f>+D49-D48</f>
        <v>-14541209.630000001</v>
      </c>
      <c r="E50" s="33">
        <f t="shared" ref="E50:K50" si="23">+E49-E48</f>
        <v>-5657660.2400000002</v>
      </c>
      <c r="F50" s="33">
        <f t="shared" si="23"/>
        <v>0</v>
      </c>
      <c r="G50" s="33">
        <f t="shared" si="23"/>
        <v>-2466422</v>
      </c>
      <c r="H50" s="33">
        <f t="shared" si="23"/>
        <v>0</v>
      </c>
      <c r="I50" s="33">
        <f t="shared" si="23"/>
        <v>0</v>
      </c>
      <c r="J50" s="33">
        <f t="shared" si="23"/>
        <v>0</v>
      </c>
      <c r="K50" s="33">
        <f t="shared" si="23"/>
        <v>-22665291.870000001</v>
      </c>
      <c r="L50" s="41" t="s">
        <v>36</v>
      </c>
      <c r="M50" s="61"/>
      <c r="N50" s="47"/>
    </row>
    <row r="51" spans="1:14" ht="15.75" thickBot="1" x14ac:dyDescent="0.3">
      <c r="A51" s="74"/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41"/>
      <c r="M51" s="47"/>
      <c r="N51" s="19"/>
    </row>
    <row r="52" spans="1:14" ht="19.5" thickBot="1" x14ac:dyDescent="0.35">
      <c r="A52" s="107" t="s">
        <v>37</v>
      </c>
      <c r="B52" s="108"/>
      <c r="C52" s="108"/>
      <c r="D52" s="108"/>
      <c r="E52" s="108"/>
      <c r="F52" s="108"/>
      <c r="G52" s="108"/>
      <c r="H52" s="108"/>
      <c r="I52" s="108"/>
      <c r="J52" s="108"/>
      <c r="K52" s="109"/>
      <c r="L52" s="19"/>
      <c r="M52" s="19"/>
      <c r="N52" s="19"/>
    </row>
    <row r="53" spans="1:14" ht="15.75" thickBot="1" x14ac:dyDescent="0.3">
      <c r="A53" s="2"/>
      <c r="B53" s="52"/>
      <c r="C53" s="52"/>
      <c r="D53" s="52"/>
      <c r="E53" s="52"/>
      <c r="F53" s="52"/>
      <c r="G53" s="52"/>
      <c r="H53" s="52"/>
      <c r="I53" s="52"/>
      <c r="J53" s="52"/>
      <c r="K53" s="94"/>
      <c r="L53" s="19"/>
      <c r="M53" s="19"/>
      <c r="N53" s="19"/>
    </row>
    <row r="54" spans="1:14" ht="15.75" thickBot="1" x14ac:dyDescent="0.3">
      <c r="A54" s="128" t="s">
        <v>1</v>
      </c>
      <c r="B54" s="129" t="s">
        <v>2</v>
      </c>
      <c r="C54" s="130" t="s">
        <v>3</v>
      </c>
      <c r="D54" s="130" t="s">
        <v>4</v>
      </c>
      <c r="E54" s="130" t="s">
        <v>5</v>
      </c>
      <c r="F54" s="130" t="s">
        <v>6</v>
      </c>
      <c r="G54" s="130" t="s">
        <v>7</v>
      </c>
      <c r="H54" s="130" t="s">
        <v>8</v>
      </c>
      <c r="I54" s="130" t="s">
        <v>9</v>
      </c>
      <c r="J54" s="131" t="s">
        <v>10</v>
      </c>
      <c r="K54" s="128" t="s">
        <v>27</v>
      </c>
      <c r="L54" s="19"/>
      <c r="M54" s="19"/>
      <c r="N54" s="19"/>
    </row>
    <row r="55" spans="1:14" x14ac:dyDescent="0.25">
      <c r="A55" s="132" t="s">
        <v>48</v>
      </c>
      <c r="B55" s="123">
        <f>+B68</f>
        <v>341660</v>
      </c>
      <c r="C55" s="123">
        <f>+C68</f>
        <v>810801</v>
      </c>
      <c r="D55" s="123">
        <f t="shared" ref="D55:J55" si="24">+D68</f>
        <v>1452037.74</v>
      </c>
      <c r="E55" s="123">
        <f t="shared" si="24"/>
        <v>1218283.8</v>
      </c>
      <c r="F55" s="123">
        <f t="shared" si="24"/>
        <v>533239</v>
      </c>
      <c r="G55" s="123">
        <f t="shared" si="24"/>
        <v>335427.15000000008</v>
      </c>
      <c r="H55" s="123">
        <f t="shared" si="24"/>
        <v>780253</v>
      </c>
      <c r="I55" s="123">
        <f t="shared" si="24"/>
        <v>375177</v>
      </c>
      <c r="J55" s="123">
        <f t="shared" si="24"/>
        <v>376999.52</v>
      </c>
      <c r="K55" s="124">
        <f>SUM(B55:J55)</f>
        <v>6223878.2100000009</v>
      </c>
      <c r="L55" s="19"/>
      <c r="M55" s="19"/>
      <c r="N55" s="19"/>
    </row>
    <row r="56" spans="1:14" x14ac:dyDescent="0.25">
      <c r="A56" s="132" t="s">
        <v>49</v>
      </c>
      <c r="B56" s="133">
        <f>+B74</f>
        <v>341660.68000000005</v>
      </c>
      <c r="C56" s="133">
        <f>+C74</f>
        <v>810926.02</v>
      </c>
      <c r="D56" s="133">
        <f t="shared" ref="D56:J56" si="25">+D74</f>
        <v>1427196.77</v>
      </c>
      <c r="E56" s="133">
        <f t="shared" si="25"/>
        <v>1236864.6299999999</v>
      </c>
      <c r="F56" s="133">
        <f t="shared" si="25"/>
        <v>533194.1</v>
      </c>
      <c r="G56" s="133">
        <f t="shared" si="25"/>
        <v>338615.42000000004</v>
      </c>
      <c r="H56" s="133">
        <f t="shared" si="25"/>
        <v>780251.8</v>
      </c>
      <c r="I56" s="133">
        <f t="shared" si="25"/>
        <v>375171.89</v>
      </c>
      <c r="J56" s="133">
        <f t="shared" si="25"/>
        <v>389510</v>
      </c>
      <c r="K56" s="124">
        <f t="shared" ref="K56:K57" si="26">SUM(B56:J56)</f>
        <v>6233391.3099999996</v>
      </c>
      <c r="L56" s="47"/>
      <c r="M56" s="19"/>
      <c r="N56" s="19"/>
    </row>
    <row r="57" spans="1:14" ht="15.75" thickBot="1" x14ac:dyDescent="0.3">
      <c r="A57" s="132" t="s">
        <v>50</v>
      </c>
      <c r="B57" s="134">
        <f>+B80</f>
        <v>341660</v>
      </c>
      <c r="C57" s="134">
        <f>+C80</f>
        <v>810801</v>
      </c>
      <c r="D57" s="134">
        <f t="shared" ref="D57:J57" si="27">+D80</f>
        <v>1452038</v>
      </c>
      <c r="E57" s="134">
        <f t="shared" si="27"/>
        <v>1218284</v>
      </c>
      <c r="F57" s="134">
        <f t="shared" si="27"/>
        <v>533239</v>
      </c>
      <c r="G57" s="134">
        <f t="shared" si="27"/>
        <v>335428</v>
      </c>
      <c r="H57" s="134">
        <f t="shared" si="27"/>
        <v>780253</v>
      </c>
      <c r="I57" s="134">
        <f t="shared" si="27"/>
        <v>375177</v>
      </c>
      <c r="J57" s="134">
        <f t="shared" si="27"/>
        <v>377000</v>
      </c>
      <c r="K57" s="124">
        <f t="shared" si="26"/>
        <v>6223880</v>
      </c>
      <c r="L57" s="95"/>
      <c r="M57" s="19"/>
      <c r="N57" s="19"/>
    </row>
    <row r="58" spans="1:14" ht="15.75" thickBot="1" x14ac:dyDescent="0.3">
      <c r="A58" s="128" t="s">
        <v>18</v>
      </c>
      <c r="B58" s="135">
        <f>+B56-B55</f>
        <v>0.68000000005122274</v>
      </c>
      <c r="C58" s="135">
        <f>+C56-C55</f>
        <v>125.02000000001863</v>
      </c>
      <c r="D58" s="135">
        <f t="shared" ref="D58:K58" si="28">+D56-D55</f>
        <v>-24840.969999999972</v>
      </c>
      <c r="E58" s="135">
        <f t="shared" si="28"/>
        <v>18580.829999999842</v>
      </c>
      <c r="F58" s="135">
        <f t="shared" si="28"/>
        <v>-44.900000000023283</v>
      </c>
      <c r="G58" s="135">
        <f t="shared" si="28"/>
        <v>3188.2699999999604</v>
      </c>
      <c r="H58" s="135">
        <f t="shared" si="28"/>
        <v>-1.1999999999534339</v>
      </c>
      <c r="I58" s="135">
        <f t="shared" si="28"/>
        <v>-5.1099999999860302</v>
      </c>
      <c r="J58" s="135">
        <f t="shared" si="28"/>
        <v>12510.479999999981</v>
      </c>
      <c r="K58" s="135">
        <f t="shared" si="28"/>
        <v>9513.0999999986961</v>
      </c>
      <c r="L58" s="96" t="s">
        <v>19</v>
      </c>
      <c r="M58" s="95"/>
      <c r="N58" s="95"/>
    </row>
    <row r="59" spans="1:14" ht="15.75" thickBot="1" x14ac:dyDescent="0.3">
      <c r="A59" s="136"/>
      <c r="B59" s="137"/>
      <c r="C59" s="137"/>
      <c r="D59" s="137"/>
      <c r="E59" s="137"/>
      <c r="F59" s="138"/>
      <c r="G59" s="137"/>
      <c r="H59" s="138"/>
      <c r="I59" s="137"/>
      <c r="J59" s="137"/>
      <c r="K59" s="137"/>
      <c r="L59" s="96"/>
      <c r="M59" s="95"/>
      <c r="N59" s="95"/>
    </row>
    <row r="60" spans="1:14" ht="30.75" thickBot="1" x14ac:dyDescent="0.3">
      <c r="A60" s="128" t="s">
        <v>38</v>
      </c>
      <c r="B60" s="135">
        <f>+B56-B57</f>
        <v>0.68000000005122274</v>
      </c>
      <c r="C60" s="135">
        <f t="shared" ref="C60:K60" si="29">+C56-C57</f>
        <v>125.02000000001863</v>
      </c>
      <c r="D60" s="135">
        <f t="shared" si="29"/>
        <v>-24841.229999999981</v>
      </c>
      <c r="E60" s="135">
        <f t="shared" si="29"/>
        <v>18580.629999999888</v>
      </c>
      <c r="F60" s="135">
        <f t="shared" si="29"/>
        <v>-44.900000000023283</v>
      </c>
      <c r="G60" s="135">
        <f t="shared" si="29"/>
        <v>3187.4200000000419</v>
      </c>
      <c r="H60" s="135">
        <f t="shared" si="29"/>
        <v>-1.1999999999534339</v>
      </c>
      <c r="I60" s="135">
        <f t="shared" si="29"/>
        <v>-5.1099999999860302</v>
      </c>
      <c r="J60" s="135">
        <f t="shared" si="29"/>
        <v>12510</v>
      </c>
      <c r="K60" s="135">
        <f t="shared" si="29"/>
        <v>9511.3099999995902</v>
      </c>
      <c r="L60" s="97" t="s">
        <v>39</v>
      </c>
      <c r="M60" s="19"/>
      <c r="N60" s="95"/>
    </row>
    <row r="61" spans="1:14" x14ac:dyDescent="0.25">
      <c r="A61" s="98"/>
      <c r="B61" s="99"/>
      <c r="C61" s="99"/>
      <c r="D61" s="99"/>
      <c r="E61" s="99"/>
      <c r="F61" s="99"/>
      <c r="G61" s="99"/>
      <c r="H61" s="99"/>
      <c r="I61" s="99"/>
      <c r="J61" s="99"/>
      <c r="K61" s="100"/>
      <c r="L61" s="96" t="s">
        <v>40</v>
      </c>
      <c r="M61" s="95"/>
      <c r="N61" s="95"/>
    </row>
    <row r="62" spans="1:14" x14ac:dyDescent="0.25">
      <c r="A62" s="114" t="s">
        <v>44</v>
      </c>
      <c r="B62" s="115"/>
      <c r="C62" s="115"/>
      <c r="D62" s="115"/>
      <c r="E62" s="115"/>
      <c r="F62" s="115"/>
      <c r="G62" s="115"/>
      <c r="H62" s="115"/>
      <c r="I62" s="115"/>
      <c r="J62" s="115"/>
      <c r="K62" s="116"/>
      <c r="L62" s="96"/>
      <c r="M62" s="95"/>
      <c r="N62" s="95"/>
    </row>
    <row r="63" spans="1:14" ht="15.75" thickBot="1" x14ac:dyDescent="0.3">
      <c r="A63" s="2"/>
      <c r="B63" s="52"/>
      <c r="C63" s="52"/>
      <c r="D63" s="52"/>
      <c r="E63" s="52"/>
      <c r="F63" s="52"/>
      <c r="G63" s="52"/>
      <c r="H63" s="52"/>
      <c r="I63" s="52"/>
      <c r="J63" s="52"/>
      <c r="K63" s="94"/>
      <c r="L63" s="47"/>
      <c r="M63" s="95"/>
      <c r="N63" s="95"/>
    </row>
    <row r="64" spans="1:14" ht="15.75" thickBot="1" x14ac:dyDescent="0.3">
      <c r="A64" s="54" t="s">
        <v>45</v>
      </c>
      <c r="B64" s="70" t="s">
        <v>2</v>
      </c>
      <c r="C64" s="71" t="s">
        <v>3</v>
      </c>
      <c r="D64" s="71" t="s">
        <v>4</v>
      </c>
      <c r="E64" s="71" t="s">
        <v>5</v>
      </c>
      <c r="F64" s="71" t="s">
        <v>6</v>
      </c>
      <c r="G64" s="71" t="s">
        <v>7</v>
      </c>
      <c r="H64" s="71" t="s">
        <v>8</v>
      </c>
      <c r="I64" s="71" t="s">
        <v>9</v>
      </c>
      <c r="J64" s="72" t="s">
        <v>10</v>
      </c>
      <c r="K64" s="32" t="s">
        <v>27</v>
      </c>
      <c r="L64" s="46"/>
      <c r="M64" s="95"/>
      <c r="N64" s="95"/>
    </row>
    <row r="65" spans="1:14" x14ac:dyDescent="0.25">
      <c r="A65" s="55" t="s">
        <v>41</v>
      </c>
      <c r="B65" s="56">
        <f>288958</f>
        <v>288958</v>
      </c>
      <c r="C65" s="57">
        <v>655043</v>
      </c>
      <c r="D65" s="57">
        <f>806287.05+13312.37+143677</f>
        <v>963276.42</v>
      </c>
      <c r="E65" s="57">
        <f>167159+456017</f>
        <v>623176</v>
      </c>
      <c r="F65" s="57">
        <f>213000+201653</f>
        <v>414653</v>
      </c>
      <c r="G65" s="57">
        <f>60029.37+225772.6</f>
        <v>285801.97000000003</v>
      </c>
      <c r="H65" s="57">
        <f>461860+165083</f>
        <v>626943</v>
      </c>
      <c r="I65" s="57">
        <f>117859+188988</f>
        <v>306847</v>
      </c>
      <c r="J65" s="59">
        <f>178741+433+90015+300+62241</f>
        <v>331730</v>
      </c>
      <c r="K65" s="85">
        <f>SUM(B65:J65)</f>
        <v>4496428.3900000006</v>
      </c>
      <c r="L65" s="49"/>
      <c r="M65" s="95"/>
      <c r="N65" s="95"/>
    </row>
    <row r="66" spans="1:14" x14ac:dyDescent="0.25">
      <c r="A66" s="62" t="s">
        <v>42</v>
      </c>
      <c r="B66" s="56">
        <v>26351</v>
      </c>
      <c r="C66" s="57">
        <v>77879</v>
      </c>
      <c r="D66" s="57">
        <f>203300.58+6515.08+34565</f>
        <v>244380.65999999997</v>
      </c>
      <c r="E66" s="57">
        <f>257335.9+40218</f>
        <v>297553.90000000002</v>
      </c>
      <c r="F66" s="57">
        <f>44623+14670</f>
        <v>59293</v>
      </c>
      <c r="G66" s="57">
        <f>16928.59+7884</f>
        <v>24812.59</v>
      </c>
      <c r="H66" s="57">
        <f>66029+10626</f>
        <v>76655</v>
      </c>
      <c r="I66" s="57">
        <f>25001+9164</f>
        <v>34165</v>
      </c>
      <c r="J66" s="59">
        <f>13772.76+8862</f>
        <v>22634.760000000002</v>
      </c>
      <c r="K66" s="85">
        <f>SUM(B66:J66)</f>
        <v>863724.91</v>
      </c>
      <c r="L66" s="49"/>
      <c r="M66" s="95"/>
      <c r="N66" s="101"/>
    </row>
    <row r="67" spans="1:14" ht="15.75" thickBot="1" x14ac:dyDescent="0.3">
      <c r="A67" s="63" t="s">
        <v>43</v>
      </c>
      <c r="B67" s="56">
        <v>26351</v>
      </c>
      <c r="C67" s="64">
        <f t="shared" ref="C67:J67" si="30">C66</f>
        <v>77879</v>
      </c>
      <c r="D67" s="64">
        <f>203300.58+6515.08+34565</f>
        <v>244380.65999999997</v>
      </c>
      <c r="E67" s="64">
        <f t="shared" si="30"/>
        <v>297553.90000000002</v>
      </c>
      <c r="F67" s="64">
        <f t="shared" si="30"/>
        <v>59293</v>
      </c>
      <c r="G67" s="64">
        <f t="shared" si="30"/>
        <v>24812.59</v>
      </c>
      <c r="H67" s="64">
        <f t="shared" si="30"/>
        <v>76655</v>
      </c>
      <c r="I67" s="64">
        <f t="shared" si="30"/>
        <v>34165</v>
      </c>
      <c r="J67" s="64">
        <f t="shared" si="30"/>
        <v>22634.760000000002</v>
      </c>
      <c r="K67" s="85">
        <f>SUM(B67:J67)</f>
        <v>863724.91</v>
      </c>
      <c r="L67" s="49"/>
      <c r="M67" s="19"/>
      <c r="N67" s="19"/>
    </row>
    <row r="68" spans="1:14" ht="15.75" thickBot="1" x14ac:dyDescent="0.3">
      <c r="A68" s="32" t="s">
        <v>27</v>
      </c>
      <c r="B68" s="66">
        <f>SUM(B65:B67)</f>
        <v>341660</v>
      </c>
      <c r="C68" s="66">
        <f t="shared" ref="C68:J68" si="31">SUM(C65:C67)</f>
        <v>810801</v>
      </c>
      <c r="D68" s="66">
        <f t="shared" si="31"/>
        <v>1452037.74</v>
      </c>
      <c r="E68" s="66">
        <f t="shared" si="31"/>
        <v>1218283.8</v>
      </c>
      <c r="F68" s="66">
        <f t="shared" si="31"/>
        <v>533239</v>
      </c>
      <c r="G68" s="66">
        <f t="shared" si="31"/>
        <v>335427.15000000008</v>
      </c>
      <c r="H68" s="66">
        <f t="shared" si="31"/>
        <v>780253</v>
      </c>
      <c r="I68" s="66">
        <f t="shared" si="31"/>
        <v>375177</v>
      </c>
      <c r="J68" s="66">
        <f t="shared" si="31"/>
        <v>376999.52</v>
      </c>
      <c r="K68" s="67">
        <f>SUM(K65:K67)</f>
        <v>6223878.2100000009</v>
      </c>
      <c r="L68" s="49"/>
      <c r="M68" s="19"/>
      <c r="N68" s="19"/>
    </row>
    <row r="69" spans="1:14" ht="15.75" thickBot="1" x14ac:dyDescent="0.3">
      <c r="A69" s="2"/>
      <c r="B69" s="68"/>
      <c r="C69" s="68"/>
      <c r="D69" s="68"/>
      <c r="E69" s="68"/>
      <c r="F69" s="68"/>
      <c r="G69" s="68"/>
      <c r="H69" s="68"/>
      <c r="I69" s="68"/>
      <c r="J69" s="68"/>
      <c r="K69" s="5"/>
      <c r="L69" s="60"/>
      <c r="M69" s="19"/>
      <c r="N69" s="19"/>
    </row>
    <row r="70" spans="1:14" ht="15.75" thickBot="1" x14ac:dyDescent="0.3">
      <c r="A70" s="54" t="s">
        <v>46</v>
      </c>
      <c r="B70" s="70" t="s">
        <v>2</v>
      </c>
      <c r="C70" s="71" t="s">
        <v>3</v>
      </c>
      <c r="D70" s="71" t="s">
        <v>4</v>
      </c>
      <c r="E70" s="71" t="s">
        <v>5</v>
      </c>
      <c r="F70" s="71" t="s">
        <v>6</v>
      </c>
      <c r="G70" s="71" t="s">
        <v>7</v>
      </c>
      <c r="H70" s="71" t="s">
        <v>8</v>
      </c>
      <c r="I70" s="71" t="s">
        <v>9</v>
      </c>
      <c r="J70" s="72" t="s">
        <v>10</v>
      </c>
      <c r="K70" s="32" t="s">
        <v>27</v>
      </c>
      <c r="L70" s="46"/>
      <c r="M70" s="19"/>
      <c r="N70" s="19"/>
    </row>
    <row r="71" spans="1:14" x14ac:dyDescent="0.25">
      <c r="A71" s="55" t="s">
        <v>41</v>
      </c>
      <c r="B71" s="57">
        <v>288958</v>
      </c>
      <c r="C71" s="57">
        <f>200465.38+454594.32</f>
        <v>655059.69999999995</v>
      </c>
      <c r="D71" s="57">
        <f>806285.87+143682.62</f>
        <v>949968.49</v>
      </c>
      <c r="E71" s="57">
        <f>468275.61+167991.02</f>
        <v>636266.63</v>
      </c>
      <c r="F71" s="57">
        <f>214428.2+201652.82</f>
        <v>416081.02</v>
      </c>
      <c r="G71" s="57">
        <f>226564.6+60029.26</f>
        <v>286593.86</v>
      </c>
      <c r="H71" s="57">
        <f>165080.84+461860.9</f>
        <v>626941.74</v>
      </c>
      <c r="I71" s="57">
        <f>117858.03+188988.34</f>
        <v>306846.37</v>
      </c>
      <c r="J71" s="59">
        <f>178741+165499</f>
        <v>344240</v>
      </c>
      <c r="K71" s="85">
        <f>SUM(B71:J71)</f>
        <v>4510955.8099999996</v>
      </c>
      <c r="L71" s="49"/>
      <c r="M71" s="19"/>
      <c r="N71" s="19"/>
    </row>
    <row r="72" spans="1:14" x14ac:dyDescent="0.25">
      <c r="A72" s="62" t="s">
        <v>42</v>
      </c>
      <c r="B72" s="57">
        <f>16963.14+2835+6553.2</f>
        <v>26351.34</v>
      </c>
      <c r="C72" s="57">
        <f>10418.5+67514.66</f>
        <v>77933.16</v>
      </c>
      <c r="D72" s="57">
        <f>204048.75+34565.39</f>
        <v>238614.14</v>
      </c>
      <c r="E72" s="57">
        <f>40557+259742</f>
        <v>300299</v>
      </c>
      <c r="F72" s="57">
        <f>43886+14670.54</f>
        <v>58556.54</v>
      </c>
      <c r="G72" s="57">
        <f>7883.38+18127.4</f>
        <v>26010.780000000002</v>
      </c>
      <c r="H72" s="57">
        <f>10627.34+66027.69</f>
        <v>76655.03</v>
      </c>
      <c r="I72" s="57">
        <f>24999.18+9163.58</f>
        <v>34162.76</v>
      </c>
      <c r="J72" s="59">
        <f>13773+8862</f>
        <v>22635</v>
      </c>
      <c r="K72" s="85">
        <f>SUM(B72:J72)</f>
        <v>861217.75000000012</v>
      </c>
      <c r="L72" s="49"/>
      <c r="M72" s="19"/>
      <c r="N72" s="19"/>
    </row>
    <row r="73" spans="1:14" ht="15.75" thickBot="1" x14ac:dyDescent="0.3">
      <c r="A73" s="63" t="s">
        <v>43</v>
      </c>
      <c r="B73" s="57">
        <f>B72</f>
        <v>26351.34</v>
      </c>
      <c r="C73" s="57">
        <f t="shared" ref="C73:J73" si="32">C72</f>
        <v>77933.16</v>
      </c>
      <c r="D73" s="57">
        <f t="shared" si="32"/>
        <v>238614.14</v>
      </c>
      <c r="E73" s="57">
        <f t="shared" si="32"/>
        <v>300299</v>
      </c>
      <c r="F73" s="57">
        <f t="shared" si="32"/>
        <v>58556.54</v>
      </c>
      <c r="G73" s="57">
        <f t="shared" si="32"/>
        <v>26010.780000000002</v>
      </c>
      <c r="H73" s="57">
        <f t="shared" si="32"/>
        <v>76655.03</v>
      </c>
      <c r="I73" s="57">
        <f t="shared" si="32"/>
        <v>34162.76</v>
      </c>
      <c r="J73" s="57">
        <f t="shared" si="32"/>
        <v>22635</v>
      </c>
      <c r="K73" s="85">
        <f>SUM(B73:J73)</f>
        <v>861217.75000000012</v>
      </c>
      <c r="L73" s="49"/>
      <c r="M73" s="19"/>
      <c r="N73" s="19"/>
    </row>
    <row r="74" spans="1:14" ht="15.75" thickBot="1" x14ac:dyDescent="0.3">
      <c r="A74" s="32" t="s">
        <v>27</v>
      </c>
      <c r="B74" s="66">
        <f>SUM(B71:B73)</f>
        <v>341660.68000000005</v>
      </c>
      <c r="C74" s="66">
        <f t="shared" ref="C74:J74" si="33">SUM(C71:C73)</f>
        <v>810926.02</v>
      </c>
      <c r="D74" s="66">
        <f t="shared" si="33"/>
        <v>1427196.77</v>
      </c>
      <c r="E74" s="66">
        <f t="shared" si="33"/>
        <v>1236864.6299999999</v>
      </c>
      <c r="F74" s="66">
        <f t="shared" si="33"/>
        <v>533194.1</v>
      </c>
      <c r="G74" s="66">
        <f t="shared" si="33"/>
        <v>338615.42000000004</v>
      </c>
      <c r="H74" s="66">
        <f t="shared" si="33"/>
        <v>780251.8</v>
      </c>
      <c r="I74" s="66">
        <f t="shared" si="33"/>
        <v>375171.89</v>
      </c>
      <c r="J74" s="66">
        <f t="shared" si="33"/>
        <v>389510</v>
      </c>
      <c r="K74" s="67">
        <f>SUM(K71:K73)</f>
        <v>6233391.3099999996</v>
      </c>
      <c r="L74" s="49"/>
      <c r="M74" s="19"/>
      <c r="N74" s="19"/>
    </row>
    <row r="75" spans="1:14" ht="15.75" thickBot="1" x14ac:dyDescent="0.3">
      <c r="A75" s="39"/>
      <c r="B75" s="117"/>
      <c r="C75" s="117"/>
      <c r="D75" s="117"/>
      <c r="E75" s="117"/>
      <c r="F75" s="117"/>
      <c r="G75" s="117"/>
      <c r="H75" s="117"/>
      <c r="I75" s="117"/>
      <c r="J75" s="117"/>
      <c r="K75" s="102"/>
      <c r="L75" s="49"/>
      <c r="M75" s="19"/>
      <c r="N75" s="19"/>
    </row>
    <row r="76" spans="1:14" ht="15.75" thickBot="1" x14ac:dyDescent="0.3">
      <c r="A76" s="54" t="s">
        <v>47</v>
      </c>
      <c r="B76" s="70" t="s">
        <v>2</v>
      </c>
      <c r="C76" s="71" t="s">
        <v>3</v>
      </c>
      <c r="D76" s="71" t="s">
        <v>4</v>
      </c>
      <c r="E76" s="71" t="s">
        <v>5</v>
      </c>
      <c r="F76" s="71" t="s">
        <v>6</v>
      </c>
      <c r="G76" s="71" t="s">
        <v>7</v>
      </c>
      <c r="H76" s="71" t="s">
        <v>8</v>
      </c>
      <c r="I76" s="71" t="s">
        <v>9</v>
      </c>
      <c r="J76" s="72" t="s">
        <v>10</v>
      </c>
      <c r="K76" s="32" t="s">
        <v>27</v>
      </c>
      <c r="L76" s="46"/>
      <c r="M76" s="19"/>
      <c r="N76" s="19"/>
    </row>
    <row r="77" spans="1:14" x14ac:dyDescent="0.25">
      <c r="A77" s="55" t="s">
        <v>41</v>
      </c>
      <c r="B77" s="56">
        <v>288958</v>
      </c>
      <c r="C77" s="57">
        <v>655043</v>
      </c>
      <c r="D77" s="57">
        <v>963276</v>
      </c>
      <c r="E77" s="57">
        <v>623176</v>
      </c>
      <c r="F77" s="57">
        <v>414653</v>
      </c>
      <c r="G77" s="57">
        <v>285802</v>
      </c>
      <c r="H77" s="57">
        <v>626943</v>
      </c>
      <c r="I77" s="57">
        <v>306847</v>
      </c>
      <c r="J77" s="59">
        <v>331730</v>
      </c>
      <c r="K77" s="85">
        <f>SUM(B77:J77)</f>
        <v>4496428</v>
      </c>
      <c r="L77" s="49"/>
      <c r="M77" s="103"/>
      <c r="N77" s="19"/>
    </row>
    <row r="78" spans="1:14" x14ac:dyDescent="0.25">
      <c r="A78" s="62" t="s">
        <v>42</v>
      </c>
      <c r="B78" s="56">
        <v>26351</v>
      </c>
      <c r="C78" s="57">
        <v>77879</v>
      </c>
      <c r="D78" s="57">
        <v>244381</v>
      </c>
      <c r="E78" s="57">
        <v>297554</v>
      </c>
      <c r="F78" s="57">
        <v>59293</v>
      </c>
      <c r="G78" s="57">
        <v>24813</v>
      </c>
      <c r="H78" s="57">
        <v>76655</v>
      </c>
      <c r="I78" s="57">
        <v>34165</v>
      </c>
      <c r="J78" s="59">
        <v>22635</v>
      </c>
      <c r="K78" s="85">
        <f t="shared" ref="K78:K79" si="34">SUM(B78:J78)</f>
        <v>863726</v>
      </c>
      <c r="L78" s="49"/>
      <c r="M78" s="19"/>
      <c r="N78" s="19"/>
    </row>
    <row r="79" spans="1:14" ht="15.75" thickBot="1" x14ac:dyDescent="0.3">
      <c r="A79" s="63" t="s">
        <v>43</v>
      </c>
      <c r="B79" s="56">
        <f>B78</f>
        <v>26351</v>
      </c>
      <c r="C79" s="56">
        <f t="shared" ref="C79:G79" si="35">C78</f>
        <v>77879</v>
      </c>
      <c r="D79" s="56">
        <f t="shared" si="35"/>
        <v>244381</v>
      </c>
      <c r="E79" s="56">
        <f t="shared" si="35"/>
        <v>297554</v>
      </c>
      <c r="F79" s="56">
        <f t="shared" si="35"/>
        <v>59293</v>
      </c>
      <c r="G79" s="56">
        <f t="shared" si="35"/>
        <v>24813</v>
      </c>
      <c r="H79" s="57">
        <v>76655</v>
      </c>
      <c r="I79" s="56">
        <v>34165</v>
      </c>
      <c r="J79" s="56">
        <v>22635</v>
      </c>
      <c r="K79" s="85">
        <f t="shared" si="34"/>
        <v>863726</v>
      </c>
      <c r="L79" s="49"/>
      <c r="M79" s="19"/>
      <c r="N79" s="19"/>
    </row>
    <row r="80" spans="1:14" ht="15.75" thickBot="1" x14ac:dyDescent="0.3">
      <c r="A80" s="32" t="s">
        <v>27</v>
      </c>
      <c r="B80" s="66">
        <f>SUM(B77:B79)</f>
        <v>341660</v>
      </c>
      <c r="C80" s="66">
        <f t="shared" ref="C80:J80" si="36">SUM(C77:C79)</f>
        <v>810801</v>
      </c>
      <c r="D80" s="66">
        <f t="shared" si="36"/>
        <v>1452038</v>
      </c>
      <c r="E80" s="66">
        <f t="shared" si="36"/>
        <v>1218284</v>
      </c>
      <c r="F80" s="66">
        <f t="shared" si="36"/>
        <v>533239</v>
      </c>
      <c r="G80" s="66">
        <f t="shared" si="36"/>
        <v>335428</v>
      </c>
      <c r="H80" s="66">
        <f t="shared" si="36"/>
        <v>780253</v>
      </c>
      <c r="I80" s="66">
        <f t="shared" si="36"/>
        <v>375177</v>
      </c>
      <c r="J80" s="66">
        <f t="shared" si="36"/>
        <v>377000</v>
      </c>
      <c r="K80" s="67">
        <f>SUM(K77:K79)</f>
        <v>6223880</v>
      </c>
      <c r="L80" s="49"/>
      <c r="M80" s="19"/>
      <c r="N80" s="19"/>
    </row>
    <row r="99" spans="9:10" x14ac:dyDescent="0.25">
      <c r="J99" s="182"/>
    </row>
    <row r="100" spans="9:10" x14ac:dyDescent="0.25">
      <c r="I100" s="182"/>
    </row>
  </sheetData>
  <mergeCells count="11">
    <mergeCell ref="P3:V3"/>
    <mergeCell ref="S6:U6"/>
    <mergeCell ref="S16:U16"/>
    <mergeCell ref="A45:N45"/>
    <mergeCell ref="D2:K2"/>
    <mergeCell ref="A1:N1"/>
    <mergeCell ref="A3:N3"/>
    <mergeCell ref="A13:N13"/>
    <mergeCell ref="A52:K52"/>
    <mergeCell ref="A62:K62"/>
    <mergeCell ref="A23:N23"/>
  </mergeCells>
  <hyperlinks>
    <hyperlink ref="L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</dc:creator>
  <cp:lastModifiedBy>Ram</cp:lastModifiedBy>
  <dcterms:created xsi:type="dcterms:W3CDTF">2019-05-15T05:23:20Z</dcterms:created>
  <dcterms:modified xsi:type="dcterms:W3CDTF">2019-05-15T10:22:09Z</dcterms:modified>
</cp:coreProperties>
</file>