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 firstSheet="27" activeTab="31"/>
  </bookViews>
  <sheets>
    <sheet name="SALE" sheetId="1" r:id="rId1"/>
    <sheet name="SALES RETURN" sheetId="6" r:id="rId2"/>
    <sheet name="SALE PARTYWISE " sheetId="5" r:id="rId3"/>
    <sheet name="SALE HSN SUMMRY" sheetId="8" r:id="rId4"/>
    <sheet name="SALE NIL EXP ZERO " sheetId="9" r:id="rId5"/>
    <sheet name="SALE REVISED DETAIL" sheetId="4" r:id="rId6"/>
    <sheet name="SALES RETURN UN" sheetId="7" r:id="rId7"/>
    <sheet name="SALE DOC" sheetId="10" r:id="rId8"/>
    <sheet name="SALE MASTER" sheetId="21" r:id="rId9"/>
    <sheet name="SALE PARTY MASTR " sheetId="2" r:id="rId10"/>
    <sheet name="SALE HSN MASTER " sheetId="3" r:id="rId11"/>
    <sheet name="PURCHASE" sheetId="11" r:id="rId12"/>
    <sheet name="PUR-HSN MASTER" sheetId="23" r:id="rId13"/>
    <sheet name="PURCHASE RETURN" sheetId="14" r:id="rId14"/>
    <sheet name="PUR-IMPORT GOODS" sheetId="13" r:id="rId15"/>
    <sheet name="PUR-HSN SUMM" sheetId="17" r:id="rId16"/>
    <sheet name="PUR-EXEP NIL ZERO" sheetId="15" r:id="rId17"/>
    <sheet name="PUR-ITC RULE 37 42 43" sheetId="16" r:id="rId18"/>
    <sheet name="PUR-RMC" sheetId="31" r:id="rId19"/>
    <sheet name="PUR-PARTYWISE" sheetId="24" r:id="rId20"/>
    <sheet name="RETURN WORKING" sheetId="33" r:id="rId21"/>
    <sheet name="RETURN GSTRN3B SUMMERY" sheetId="28" r:id="rId22"/>
    <sheet name="Reco" sheetId="34" r:id="rId23"/>
    <sheet name="PUR-IMPORT SERVICE" sheetId="12" r:id="rId24"/>
    <sheet name="PUR-ISD" sheetId="32" r:id="rId25"/>
    <sheet name="PUR-ADV" sheetId="18" r:id="rId26"/>
    <sheet name="PUR-ADV ADJ" sheetId="19" r:id="rId27"/>
    <sheet name="TDS TCS" sheetId="25" r:id="rId28"/>
    <sheet name="PUR-ITC-SEC -17" sheetId="26" r:id="rId29"/>
    <sheet name="PUR-PARTY MASTER" sheetId="22" r:id="rId30"/>
    <sheet name="PUR-RMC MASTER" sheetId="30" r:id="rId31"/>
    <sheet name="PURCHASE MASTER" sheetId="20" r:id="rId32"/>
  </sheets>
  <externalReferences>
    <externalReference r:id="rId33"/>
    <externalReference r:id="rId34"/>
    <externalReference r:id="rId35"/>
    <externalReference r:id="rId36"/>
    <externalReference r:id="rId37"/>
    <externalReference r:id="rId38"/>
  </externalReferences>
  <definedNames>
    <definedName name="_xlnm._FilterDatabase" localSheetId="11" hidden="1">PURCHASE!$A$3:$AB$331</definedName>
    <definedName name="_xlnm._FilterDatabase" localSheetId="29" hidden="1">'PUR-PARTY MASTER'!$A$5:$J$94</definedName>
    <definedName name="_xlnm._FilterDatabase" localSheetId="0" hidden="1">SALE!$A$7:$W$372</definedName>
    <definedName name="DOCUMENT">[1]master!$J$2:$J$13</definedName>
    <definedName name="ITCEgl">[2]master!$H$2:$H$5</definedName>
    <definedName name="StatesAndUT">OFFSET([3]Master!$C$2,0,0,COUNT([3]Master!$B$2:$B$38),1)</definedName>
  </definedNames>
  <calcPr calcId="152511"/>
</workbook>
</file>

<file path=xl/calcChain.xml><?xml version="1.0" encoding="utf-8"?>
<calcChain xmlns="http://schemas.openxmlformats.org/spreadsheetml/2006/main">
  <c r="I62" i="34" l="1"/>
  <c r="H62" i="34"/>
  <c r="E62" i="34"/>
  <c r="B62" i="34"/>
  <c r="F61" i="34"/>
  <c r="D61" i="34"/>
  <c r="C60" i="34"/>
  <c r="D60" i="34" s="1"/>
  <c r="F60" i="34" s="1"/>
  <c r="D59" i="34"/>
  <c r="F59" i="34" s="1"/>
  <c r="C59" i="34"/>
  <c r="F58" i="34"/>
  <c r="D58" i="34"/>
  <c r="D62" i="34" s="1"/>
  <c r="I54" i="34"/>
  <c r="H53" i="34"/>
  <c r="H52" i="34"/>
  <c r="H51" i="34"/>
  <c r="H54" i="34" s="1"/>
  <c r="H50" i="34"/>
  <c r="I45" i="34"/>
  <c r="H45" i="34"/>
  <c r="G45" i="34"/>
  <c r="F45" i="34"/>
  <c r="E45" i="34"/>
  <c r="D45" i="34"/>
  <c r="C45" i="34"/>
  <c r="B45" i="34"/>
  <c r="J44" i="34"/>
  <c r="J43" i="34"/>
  <c r="J41" i="34"/>
  <c r="J40" i="34"/>
  <c r="J45" i="34" s="1"/>
  <c r="J39" i="34"/>
  <c r="J36" i="34"/>
  <c r="J34" i="34"/>
  <c r="J33" i="34"/>
  <c r="J32" i="34"/>
  <c r="J31" i="34"/>
  <c r="J30" i="34"/>
  <c r="F29" i="34"/>
  <c r="F35" i="34" s="1"/>
  <c r="F38" i="34" s="1"/>
  <c r="F46" i="34" s="1"/>
  <c r="D51" i="34" s="1"/>
  <c r="D54" i="34" s="1"/>
  <c r="B29" i="34"/>
  <c r="B35" i="34" s="1"/>
  <c r="B38" i="34" s="1"/>
  <c r="B46" i="34" s="1"/>
  <c r="J28" i="34"/>
  <c r="J27" i="34"/>
  <c r="I27" i="34"/>
  <c r="J26" i="34"/>
  <c r="I26" i="34"/>
  <c r="J25" i="34"/>
  <c r="D25" i="34"/>
  <c r="H24" i="34"/>
  <c r="H29" i="34" s="1"/>
  <c r="H35" i="34" s="1"/>
  <c r="H38" i="34" s="1"/>
  <c r="H46" i="34" s="1"/>
  <c r="F53" i="34" s="1"/>
  <c r="F54" i="34" s="1"/>
  <c r="G24" i="34"/>
  <c r="G29" i="34" s="1"/>
  <c r="G35" i="34" s="1"/>
  <c r="G38" i="34" s="1"/>
  <c r="G46" i="34" s="1"/>
  <c r="E52" i="34" s="1"/>
  <c r="E54" i="34" s="1"/>
  <c r="F24" i="34"/>
  <c r="E24" i="34"/>
  <c r="E29" i="34" s="1"/>
  <c r="E35" i="34" s="1"/>
  <c r="E38" i="34" s="1"/>
  <c r="E46" i="34" s="1"/>
  <c r="C50" i="34" s="1"/>
  <c r="C54" i="34" s="1"/>
  <c r="C24" i="34"/>
  <c r="C29" i="34" s="1"/>
  <c r="C35" i="34" s="1"/>
  <c r="C38" i="34" s="1"/>
  <c r="C46" i="34" s="1"/>
  <c r="B24" i="34"/>
  <c r="D23" i="34"/>
  <c r="J23" i="34" s="1"/>
  <c r="I21" i="34"/>
  <c r="D21" i="34"/>
  <c r="I18" i="34"/>
  <c r="J18" i="34" s="1"/>
  <c r="I17" i="34"/>
  <c r="H17" i="34"/>
  <c r="G17" i="34"/>
  <c r="F17" i="34"/>
  <c r="E17" i="34"/>
  <c r="D17" i="34"/>
  <c r="C17" i="34"/>
  <c r="B17" i="34"/>
  <c r="J16" i="34"/>
  <c r="I16" i="34"/>
  <c r="J15" i="34"/>
  <c r="I15" i="34"/>
  <c r="J14" i="34"/>
  <c r="I14" i="34"/>
  <c r="J13" i="34"/>
  <c r="I13" i="34"/>
  <c r="J12" i="34"/>
  <c r="I12" i="34"/>
  <c r="J11" i="34"/>
  <c r="I11" i="34"/>
  <c r="J10" i="34"/>
  <c r="J17" i="34" s="1"/>
  <c r="I10" i="34"/>
  <c r="J8" i="34"/>
  <c r="H7" i="34"/>
  <c r="H9" i="34" s="1"/>
  <c r="H19" i="34" s="1"/>
  <c r="B53" i="34" s="1"/>
  <c r="G53" i="34" s="1"/>
  <c r="G7" i="34"/>
  <c r="G9" i="34" s="1"/>
  <c r="F7" i="34"/>
  <c r="F9" i="34" s="1"/>
  <c r="F19" i="34" s="1"/>
  <c r="B51" i="34" s="1"/>
  <c r="G51" i="34" s="1"/>
  <c r="E7" i="34"/>
  <c r="E9" i="34" s="1"/>
  <c r="C7" i="34"/>
  <c r="C9" i="34" s="1"/>
  <c r="B7" i="34"/>
  <c r="B9" i="34" s="1"/>
  <c r="B19" i="34" s="1"/>
  <c r="J6" i="34"/>
  <c r="I4" i="34"/>
  <c r="I7" i="34" s="1"/>
  <c r="I9" i="34" s="1"/>
  <c r="D4" i="34"/>
  <c r="D7" i="34" s="1"/>
  <c r="D9" i="34" s="1"/>
  <c r="D19" i="34" s="1"/>
  <c r="J51" i="34" l="1"/>
  <c r="G59" i="34"/>
  <c r="J59" i="34" s="1"/>
  <c r="G61" i="34"/>
  <c r="J61" i="34" s="1"/>
  <c r="J53" i="34"/>
  <c r="J19" i="34"/>
  <c r="J4" i="34"/>
  <c r="J7" i="34" s="1"/>
  <c r="J9" i="34" s="1"/>
  <c r="C19" i="34"/>
  <c r="E19" i="34"/>
  <c r="B50" i="34" s="1"/>
  <c r="G19" i="34"/>
  <c r="B52" i="34" s="1"/>
  <c r="G52" i="34" s="1"/>
  <c r="I19" i="34"/>
  <c r="I24" i="34"/>
  <c r="I29" i="34" s="1"/>
  <c r="I35" i="34" s="1"/>
  <c r="I38" i="34" s="1"/>
  <c r="I46" i="34" s="1"/>
  <c r="J21" i="34"/>
  <c r="J24" i="34" s="1"/>
  <c r="J29" i="34" s="1"/>
  <c r="J35" i="34" s="1"/>
  <c r="J38" i="34" s="1"/>
  <c r="J46" i="34" s="1"/>
  <c r="D24" i="34"/>
  <c r="D29" i="34" s="1"/>
  <c r="D35" i="34" s="1"/>
  <c r="D38" i="34" s="1"/>
  <c r="D46" i="34" s="1"/>
  <c r="F62" i="34"/>
  <c r="C62" i="34"/>
  <c r="B54" i="34" l="1"/>
  <c r="G50" i="34"/>
  <c r="G60" i="34"/>
  <c r="J60" i="34" s="1"/>
  <c r="J52" i="34"/>
  <c r="G58" i="34" l="1"/>
  <c r="G54" i="34"/>
  <c r="J50" i="34"/>
  <c r="J54" i="34" s="1"/>
  <c r="G62" i="34" l="1"/>
  <c r="J58" i="34"/>
  <c r="J62" i="34" s="1"/>
  <c r="B72" i="28" l="1"/>
  <c r="B73" i="28"/>
  <c r="B74" i="28"/>
  <c r="B75" i="28"/>
  <c r="B76" i="28"/>
  <c r="B77" i="28"/>
  <c r="K23" i="28" l="1"/>
  <c r="J23" i="28"/>
  <c r="I23" i="28"/>
  <c r="H23" i="28"/>
  <c r="G23" i="28"/>
  <c r="F23" i="28"/>
  <c r="E23" i="28"/>
  <c r="D23" i="28"/>
  <c r="L23" i="28" s="1"/>
  <c r="C23" i="28"/>
  <c r="B23" i="28"/>
  <c r="M23" i="28" s="1"/>
  <c r="K22" i="28"/>
  <c r="J22" i="28"/>
  <c r="I22" i="28"/>
  <c r="H22" i="28"/>
  <c r="G22" i="28"/>
  <c r="F22" i="28"/>
  <c r="E22" i="28"/>
  <c r="D22" i="28"/>
  <c r="L22" i="28" s="1"/>
  <c r="C22" i="28"/>
  <c r="B22" i="28"/>
  <c r="M22" i="28" s="1"/>
  <c r="K21" i="28"/>
  <c r="J21" i="28"/>
  <c r="I21" i="28"/>
  <c r="H21" i="28"/>
  <c r="G21" i="28"/>
  <c r="F21" i="28"/>
  <c r="E21" i="28"/>
  <c r="D21" i="28"/>
  <c r="L21" i="28" s="1"/>
  <c r="C21" i="28"/>
  <c r="B21" i="28"/>
  <c r="M21" i="28" s="1"/>
  <c r="K20" i="28"/>
  <c r="J20" i="28"/>
  <c r="I20" i="28"/>
  <c r="H20" i="28"/>
  <c r="G20" i="28"/>
  <c r="F20" i="28"/>
  <c r="E20" i="28"/>
  <c r="D20" i="28"/>
  <c r="L20" i="28" s="1"/>
  <c r="C20" i="28"/>
  <c r="B20" i="28"/>
  <c r="M20" i="28" s="1"/>
  <c r="K19" i="28"/>
  <c r="J19" i="28"/>
  <c r="I19" i="28"/>
  <c r="H19" i="28"/>
  <c r="G19" i="28"/>
  <c r="F19" i="28"/>
  <c r="E19" i="28"/>
  <c r="D19" i="28"/>
  <c r="L19" i="28" s="1"/>
  <c r="C19" i="28"/>
  <c r="B19" i="28"/>
  <c r="K18" i="28"/>
  <c r="K24" i="28" s="1"/>
  <c r="J18" i="28"/>
  <c r="J24" i="28" s="1"/>
  <c r="I18" i="28"/>
  <c r="I24" i="28" s="1"/>
  <c r="H18" i="28"/>
  <c r="H24" i="28" s="1"/>
  <c r="G18" i="28"/>
  <c r="G24" i="28" s="1"/>
  <c r="F18" i="28"/>
  <c r="F24" i="28" s="1"/>
  <c r="E18" i="28"/>
  <c r="E24" i="28" s="1"/>
  <c r="D18" i="28"/>
  <c r="D24" i="28" s="1"/>
  <c r="C18" i="28"/>
  <c r="C24" i="28" s="1"/>
  <c r="B18" i="28"/>
  <c r="K77" i="28"/>
  <c r="J77" i="28"/>
  <c r="I77" i="28"/>
  <c r="H77" i="28"/>
  <c r="G77" i="28"/>
  <c r="F77" i="28"/>
  <c r="E77" i="28"/>
  <c r="D77" i="28"/>
  <c r="L77" i="28" s="1"/>
  <c r="C77" i="28"/>
  <c r="K76" i="28"/>
  <c r="J76" i="28"/>
  <c r="I76" i="28"/>
  <c r="H76" i="28"/>
  <c r="G76" i="28"/>
  <c r="F76" i="28"/>
  <c r="E76" i="28"/>
  <c r="D76" i="28"/>
  <c r="L76" i="28" s="1"/>
  <c r="C76" i="28"/>
  <c r="K75" i="28"/>
  <c r="J75" i="28"/>
  <c r="I75" i="28"/>
  <c r="H75" i="28"/>
  <c r="G75" i="28"/>
  <c r="F75" i="28"/>
  <c r="E75" i="28"/>
  <c r="D75" i="28"/>
  <c r="L75" i="28" s="1"/>
  <c r="C75" i="28"/>
  <c r="M75" i="28"/>
  <c r="K74" i="28"/>
  <c r="J74" i="28"/>
  <c r="I74" i="28"/>
  <c r="H74" i="28"/>
  <c r="G74" i="28"/>
  <c r="F74" i="28"/>
  <c r="E74" i="28"/>
  <c r="D74" i="28"/>
  <c r="L74" i="28" s="1"/>
  <c r="C74" i="28"/>
  <c r="K73" i="28"/>
  <c r="J73" i="28"/>
  <c r="I73" i="28"/>
  <c r="H73" i="28"/>
  <c r="G73" i="28"/>
  <c r="F73" i="28"/>
  <c r="E73" i="28"/>
  <c r="D73" i="28"/>
  <c r="L73" i="28" s="1"/>
  <c r="C73" i="28"/>
  <c r="K72" i="28"/>
  <c r="K78" i="28" s="1"/>
  <c r="J72" i="28"/>
  <c r="J78" i="28" s="1"/>
  <c r="I72" i="28"/>
  <c r="I78" i="28" s="1"/>
  <c r="H72" i="28"/>
  <c r="H78" i="28" s="1"/>
  <c r="G72" i="28"/>
  <c r="G78" i="28" s="1"/>
  <c r="F72" i="28"/>
  <c r="F78" i="28" s="1"/>
  <c r="E72" i="28"/>
  <c r="E78" i="28" s="1"/>
  <c r="D72" i="28"/>
  <c r="L72" i="28" s="1"/>
  <c r="L78" i="28" s="1"/>
  <c r="C72" i="28"/>
  <c r="C78" i="28" s="1"/>
  <c r="M19" i="28" l="1"/>
  <c r="L18" i="28"/>
  <c r="L24" i="28" s="1"/>
  <c r="B24" i="28"/>
  <c r="M72" i="28"/>
  <c r="M73" i="28"/>
  <c r="M74" i="28"/>
  <c r="M76" i="28"/>
  <c r="M77" i="28"/>
  <c r="B78" i="28"/>
  <c r="D78" i="28"/>
  <c r="J104" i="28"/>
  <c r="J103" i="28"/>
  <c r="J102" i="28"/>
  <c r="J101" i="28"/>
  <c r="M18" i="28" l="1"/>
  <c r="M24" i="28" s="1"/>
  <c r="M78" i="28"/>
  <c r="J105" i="28"/>
  <c r="G105" i="28"/>
  <c r="M95" i="28"/>
  <c r="C108" i="28" s="1"/>
  <c r="I101" i="28"/>
  <c r="AA331" i="11"/>
  <c r="Z331" i="11"/>
  <c r="Y331" i="11"/>
  <c r="V331" i="11"/>
  <c r="M331" i="11" s="1"/>
  <c r="U331" i="11"/>
  <c r="T331" i="11"/>
  <c r="I331" i="11"/>
  <c r="H331" i="11"/>
  <c r="G331" i="11"/>
  <c r="F331" i="11"/>
  <c r="B331" i="11"/>
  <c r="AA330" i="11"/>
  <c r="Z330" i="11"/>
  <c r="Y330" i="11"/>
  <c r="V330" i="11"/>
  <c r="U330" i="11"/>
  <c r="T330" i="11"/>
  <c r="I330" i="11"/>
  <c r="H330" i="11"/>
  <c r="G330" i="11"/>
  <c r="F330" i="11"/>
  <c r="B330" i="11"/>
  <c r="AA329" i="11"/>
  <c r="Z329" i="11"/>
  <c r="Y329" i="11"/>
  <c r="V329" i="11"/>
  <c r="M329" i="11" s="1"/>
  <c r="U329" i="11"/>
  <c r="T329" i="11"/>
  <c r="I329" i="11"/>
  <c r="H329" i="11"/>
  <c r="G329" i="11"/>
  <c r="F329" i="11"/>
  <c r="B329" i="11"/>
  <c r="AA328" i="11"/>
  <c r="Z328" i="11"/>
  <c r="Y328" i="11"/>
  <c r="V328" i="11"/>
  <c r="U328" i="11"/>
  <c r="T328" i="11"/>
  <c r="I328" i="11"/>
  <c r="H328" i="11"/>
  <c r="G328" i="11"/>
  <c r="F328" i="11"/>
  <c r="B328" i="11"/>
  <c r="AA327" i="11"/>
  <c r="Z327" i="11"/>
  <c r="Y327" i="11"/>
  <c r="V327" i="11"/>
  <c r="M327" i="11" s="1"/>
  <c r="U327" i="11"/>
  <c r="T327" i="11"/>
  <c r="I327" i="11"/>
  <c r="H327" i="11"/>
  <c r="G327" i="11"/>
  <c r="F327" i="11"/>
  <c r="B327" i="11"/>
  <c r="M328" i="11" l="1"/>
  <c r="R328" i="11" s="1"/>
  <c r="M330" i="11"/>
  <c r="N327" i="11"/>
  <c r="S327" i="11" s="1"/>
  <c r="N328" i="11"/>
  <c r="S328" i="11" s="1"/>
  <c r="N329" i="11"/>
  <c r="S329" i="11" s="1"/>
  <c r="N330" i="11"/>
  <c r="S330" i="11" s="1"/>
  <c r="N331" i="11"/>
  <c r="S331" i="11" s="1"/>
  <c r="R327" i="11"/>
  <c r="L327" i="11"/>
  <c r="L328" i="11"/>
  <c r="R329" i="11"/>
  <c r="L329" i="11"/>
  <c r="R330" i="11"/>
  <c r="L330" i="11"/>
  <c r="R331" i="11"/>
  <c r="L331" i="11"/>
  <c r="I14" i="33"/>
  <c r="I13" i="33"/>
  <c r="I12" i="33"/>
  <c r="I11" i="33"/>
  <c r="I10" i="33"/>
  <c r="I9" i="33"/>
  <c r="I24" i="33"/>
  <c r="I23" i="33"/>
  <c r="I22" i="33"/>
  <c r="I21" i="33"/>
  <c r="I20" i="33"/>
  <c r="I19" i="33"/>
  <c r="I34" i="33"/>
  <c r="I33" i="33"/>
  <c r="I32" i="33"/>
  <c r="I31" i="33"/>
  <c r="I30" i="33"/>
  <c r="K382" i="1"/>
  <c r="K381" i="1"/>
  <c r="K379" i="1"/>
  <c r="K378" i="1"/>
  <c r="K376" i="1"/>
  <c r="Q331" i="11" l="1"/>
  <c r="E331" i="11"/>
  <c r="Q330" i="11"/>
  <c r="E330" i="11"/>
  <c r="Q329" i="11"/>
  <c r="E329" i="11"/>
  <c r="Q328" i="11"/>
  <c r="E328" i="11"/>
  <c r="Q327" i="11"/>
  <c r="E327" i="11"/>
  <c r="K383" i="1"/>
  <c r="K380" i="1"/>
  <c r="K375" i="1"/>
  <c r="K377" i="1" s="1"/>
  <c r="B19" i="33"/>
  <c r="B20" i="33"/>
  <c r="B21" i="33"/>
  <c r="B22" i="33"/>
  <c r="B23" i="33"/>
  <c r="B24" i="33"/>
  <c r="C19" i="33"/>
  <c r="C20" i="33"/>
  <c r="C21" i="33"/>
  <c r="C22" i="33"/>
  <c r="B33" i="33" l="1"/>
  <c r="J99" i="24" l="1"/>
  <c r="I99" i="24"/>
  <c r="H99" i="24"/>
  <c r="G99" i="24"/>
  <c r="F99" i="24"/>
  <c r="E99" i="24"/>
  <c r="D99" i="24"/>
  <c r="I98" i="24"/>
  <c r="E98" i="24"/>
  <c r="D98" i="24"/>
  <c r="I97" i="24"/>
  <c r="E97" i="24"/>
  <c r="D97" i="24"/>
  <c r="I96" i="24"/>
  <c r="E96" i="24"/>
  <c r="D96" i="24"/>
  <c r="I95" i="24"/>
  <c r="E95" i="24"/>
  <c r="D95" i="24"/>
  <c r="I94" i="24"/>
  <c r="E94" i="24"/>
  <c r="D94" i="24"/>
  <c r="I93" i="24"/>
  <c r="E93" i="24"/>
  <c r="D93" i="24"/>
  <c r="I92" i="24"/>
  <c r="E92" i="24"/>
  <c r="D92" i="24"/>
  <c r="I91" i="24"/>
  <c r="E91" i="24"/>
  <c r="D91" i="24"/>
  <c r="J90" i="24"/>
  <c r="I90" i="24"/>
  <c r="H90" i="24"/>
  <c r="G90" i="24"/>
  <c r="F90" i="24"/>
  <c r="E90" i="24"/>
  <c r="D90" i="24"/>
  <c r="J89" i="24"/>
  <c r="I89" i="24"/>
  <c r="H89" i="24"/>
  <c r="G89" i="24"/>
  <c r="F89" i="24"/>
  <c r="E89" i="24"/>
  <c r="D89" i="24"/>
  <c r="J17" i="8"/>
  <c r="F17" i="8"/>
  <c r="E17" i="8"/>
  <c r="J16" i="8"/>
  <c r="F16" i="8"/>
  <c r="E35" i="5"/>
  <c r="C35" i="5"/>
  <c r="E34" i="5"/>
  <c r="D34" i="5"/>
  <c r="E33" i="5" l="1"/>
  <c r="D33" i="5"/>
  <c r="C12" i="33"/>
  <c r="C11" i="33"/>
  <c r="C10" i="33"/>
  <c r="C9" i="33"/>
  <c r="B14" i="33"/>
  <c r="K300" i="11" l="1"/>
  <c r="K291" i="11"/>
  <c r="K290" i="11"/>
  <c r="K272" i="11"/>
  <c r="K259" i="11"/>
  <c r="K258" i="11"/>
  <c r="K237" i="11"/>
  <c r="K223" i="11"/>
  <c r="K222" i="11"/>
  <c r="K221" i="11"/>
  <c r="K217" i="11"/>
  <c r="K203" i="11"/>
  <c r="K184" i="11"/>
  <c r="K177" i="11"/>
  <c r="K176" i="11"/>
  <c r="K162" i="11"/>
  <c r="K161" i="11"/>
  <c r="K134" i="11"/>
  <c r="K133" i="11"/>
  <c r="K120" i="11"/>
  <c r="K119" i="11"/>
  <c r="K110" i="11"/>
  <c r="K100" i="11"/>
  <c r="K99" i="11"/>
  <c r="K98" i="11"/>
  <c r="K94" i="11"/>
  <c r="K85" i="11"/>
  <c r="K83" i="11"/>
  <c r="K77" i="11"/>
  <c r="K72" i="11"/>
  <c r="K71" i="11"/>
  <c r="K70" i="11"/>
  <c r="K58" i="11"/>
  <c r="K49" i="11"/>
  <c r="K46" i="11"/>
  <c r="K39" i="11"/>
  <c r="K38" i="11"/>
  <c r="K29" i="11"/>
  <c r="K20" i="11"/>
  <c r="V372" i="1"/>
  <c r="U372" i="1"/>
  <c r="T372" i="1"/>
  <c r="V371" i="1"/>
  <c r="U371" i="1"/>
  <c r="T371" i="1"/>
  <c r="V370" i="1"/>
  <c r="U370" i="1"/>
  <c r="T370" i="1"/>
  <c r="V369" i="1"/>
  <c r="U369" i="1"/>
  <c r="T369" i="1"/>
  <c r="V368" i="1"/>
  <c r="U368" i="1"/>
  <c r="T368" i="1"/>
  <c r="V367" i="1"/>
  <c r="U367" i="1"/>
  <c r="T367" i="1"/>
  <c r="V366" i="1"/>
  <c r="U366" i="1"/>
  <c r="T366" i="1"/>
  <c r="V365" i="1"/>
  <c r="U365" i="1"/>
  <c r="T365" i="1"/>
  <c r="V364" i="1"/>
  <c r="U364" i="1"/>
  <c r="T364" i="1"/>
  <c r="V363" i="1"/>
  <c r="U363" i="1"/>
  <c r="T363" i="1"/>
  <c r="V362" i="1"/>
  <c r="U362" i="1"/>
  <c r="T362" i="1"/>
  <c r="V361" i="1"/>
  <c r="U361" i="1"/>
  <c r="T361" i="1"/>
  <c r="V360" i="1"/>
  <c r="U360" i="1"/>
  <c r="T360" i="1"/>
  <c r="V359" i="1"/>
  <c r="U359" i="1"/>
  <c r="T359" i="1"/>
  <c r="V358" i="1"/>
  <c r="U358" i="1"/>
  <c r="T358" i="1"/>
  <c r="V357" i="1"/>
  <c r="U357" i="1"/>
  <c r="T357" i="1"/>
  <c r="V356" i="1"/>
  <c r="U356" i="1"/>
  <c r="T356" i="1"/>
  <c r="V355" i="1"/>
  <c r="U355" i="1"/>
  <c r="T355" i="1"/>
  <c r="Q372" i="1"/>
  <c r="P372" i="1"/>
  <c r="Q371" i="1"/>
  <c r="P371" i="1"/>
  <c r="Q370" i="1"/>
  <c r="P370" i="1"/>
  <c r="Q369" i="1"/>
  <c r="P369" i="1"/>
  <c r="Q368" i="1"/>
  <c r="P368" i="1"/>
  <c r="Q367" i="1"/>
  <c r="P367" i="1"/>
  <c r="Q366" i="1"/>
  <c r="P366" i="1"/>
  <c r="Q365" i="1"/>
  <c r="P365" i="1"/>
  <c r="Q364" i="1"/>
  <c r="P364" i="1"/>
  <c r="Q363" i="1"/>
  <c r="P363" i="1"/>
  <c r="Q362" i="1"/>
  <c r="P362" i="1"/>
  <c r="Q361" i="1"/>
  <c r="P361" i="1"/>
  <c r="Q360" i="1"/>
  <c r="P360" i="1"/>
  <c r="Q359" i="1"/>
  <c r="P359" i="1"/>
  <c r="Q358" i="1"/>
  <c r="P358" i="1"/>
  <c r="Q357" i="1"/>
  <c r="P357" i="1"/>
  <c r="Q356" i="1"/>
  <c r="P356" i="1"/>
  <c r="Q355" i="1"/>
  <c r="P355" i="1"/>
  <c r="J372" i="1"/>
  <c r="I372" i="1"/>
  <c r="H372" i="1"/>
  <c r="G372" i="1"/>
  <c r="F372" i="1"/>
  <c r="J371" i="1"/>
  <c r="I371" i="1"/>
  <c r="H371" i="1"/>
  <c r="G371" i="1"/>
  <c r="F371" i="1"/>
  <c r="J370" i="1"/>
  <c r="I370" i="1"/>
  <c r="H370" i="1"/>
  <c r="G370" i="1"/>
  <c r="F370" i="1"/>
  <c r="J369" i="1"/>
  <c r="I369" i="1"/>
  <c r="H369" i="1"/>
  <c r="G369" i="1"/>
  <c r="F369" i="1"/>
  <c r="J368" i="1"/>
  <c r="I368" i="1"/>
  <c r="H368" i="1"/>
  <c r="G368" i="1"/>
  <c r="F368" i="1"/>
  <c r="J367" i="1"/>
  <c r="I367" i="1"/>
  <c r="H367" i="1"/>
  <c r="G367" i="1"/>
  <c r="F367" i="1"/>
  <c r="J366" i="1"/>
  <c r="I366" i="1"/>
  <c r="H366" i="1"/>
  <c r="G366" i="1"/>
  <c r="F366" i="1"/>
  <c r="J365" i="1"/>
  <c r="I365" i="1"/>
  <c r="H365" i="1"/>
  <c r="G365" i="1"/>
  <c r="F365" i="1"/>
  <c r="J364" i="1"/>
  <c r="I364" i="1"/>
  <c r="H364" i="1"/>
  <c r="G364" i="1"/>
  <c r="F364" i="1"/>
  <c r="J363" i="1"/>
  <c r="I363" i="1"/>
  <c r="H363" i="1"/>
  <c r="G363" i="1"/>
  <c r="F363" i="1"/>
  <c r="J362" i="1"/>
  <c r="I362" i="1"/>
  <c r="H362" i="1"/>
  <c r="G362" i="1"/>
  <c r="F362" i="1"/>
  <c r="J361" i="1"/>
  <c r="I361" i="1"/>
  <c r="H361" i="1"/>
  <c r="G361" i="1"/>
  <c r="F361" i="1"/>
  <c r="J360" i="1"/>
  <c r="I360" i="1"/>
  <c r="H360" i="1"/>
  <c r="G360" i="1"/>
  <c r="F360" i="1"/>
  <c r="J359" i="1"/>
  <c r="I359" i="1"/>
  <c r="H359" i="1"/>
  <c r="G359" i="1"/>
  <c r="F359" i="1"/>
  <c r="J358" i="1"/>
  <c r="I358" i="1"/>
  <c r="H358" i="1"/>
  <c r="G358" i="1"/>
  <c r="F358" i="1"/>
  <c r="J357" i="1"/>
  <c r="I357" i="1"/>
  <c r="H357" i="1"/>
  <c r="G357" i="1"/>
  <c r="F357" i="1"/>
  <c r="J356" i="1"/>
  <c r="I356" i="1"/>
  <c r="H356" i="1"/>
  <c r="G356" i="1"/>
  <c r="F356" i="1"/>
  <c r="J355" i="1"/>
  <c r="I355" i="1"/>
  <c r="H355" i="1"/>
  <c r="G355" i="1"/>
  <c r="F355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N358" i="1" l="1"/>
  <c r="N360" i="1"/>
  <c r="N362" i="1"/>
  <c r="N364" i="1"/>
  <c r="N370" i="1"/>
  <c r="M370" i="1" s="1"/>
  <c r="N372" i="1"/>
  <c r="N366" i="1"/>
  <c r="N368" i="1"/>
  <c r="M368" i="1" s="1"/>
  <c r="O369" i="1"/>
  <c r="N356" i="1"/>
  <c r="M356" i="1" s="1"/>
  <c r="O355" i="1"/>
  <c r="O367" i="1"/>
  <c r="O357" i="1"/>
  <c r="O359" i="1"/>
  <c r="O361" i="1"/>
  <c r="O363" i="1"/>
  <c r="O365" i="1"/>
  <c r="O371" i="1"/>
  <c r="N355" i="1"/>
  <c r="M355" i="1" s="1"/>
  <c r="E355" i="1" s="1"/>
  <c r="O356" i="1"/>
  <c r="N357" i="1"/>
  <c r="M357" i="1" s="1"/>
  <c r="E357" i="1" s="1"/>
  <c r="O358" i="1"/>
  <c r="N359" i="1"/>
  <c r="M359" i="1" s="1"/>
  <c r="O360" i="1"/>
  <c r="N361" i="1"/>
  <c r="M361" i="1" s="1"/>
  <c r="E361" i="1" s="1"/>
  <c r="O362" i="1"/>
  <c r="N363" i="1"/>
  <c r="M363" i="1" s="1"/>
  <c r="O364" i="1"/>
  <c r="N365" i="1"/>
  <c r="M365" i="1" s="1"/>
  <c r="E365" i="1" s="1"/>
  <c r="O366" i="1"/>
  <c r="N367" i="1"/>
  <c r="M367" i="1" s="1"/>
  <c r="O368" i="1"/>
  <c r="N369" i="1"/>
  <c r="M369" i="1" s="1"/>
  <c r="E369" i="1" s="1"/>
  <c r="O370" i="1"/>
  <c r="N371" i="1"/>
  <c r="M371" i="1" s="1"/>
  <c r="O372" i="1"/>
  <c r="M358" i="1"/>
  <c r="M360" i="1"/>
  <c r="M362" i="1"/>
  <c r="M364" i="1"/>
  <c r="M366" i="1"/>
  <c r="M372" i="1"/>
  <c r="E366" i="1" l="1"/>
  <c r="E362" i="1"/>
  <c r="E358" i="1"/>
  <c r="E370" i="1"/>
  <c r="E371" i="1"/>
  <c r="E367" i="1"/>
  <c r="E363" i="1"/>
  <c r="E359" i="1"/>
  <c r="E372" i="1"/>
  <c r="E368" i="1"/>
  <c r="E364" i="1"/>
  <c r="E360" i="1"/>
  <c r="E356" i="1"/>
  <c r="F34" i="33"/>
  <c r="F33" i="33"/>
  <c r="F32" i="33"/>
  <c r="F31" i="33"/>
  <c r="F30" i="33"/>
  <c r="F14" i="33"/>
  <c r="F13" i="33"/>
  <c r="F12" i="33"/>
  <c r="F11" i="33"/>
  <c r="F10" i="33"/>
  <c r="F9" i="33"/>
  <c r="F24" i="33"/>
  <c r="F23" i="33"/>
  <c r="F22" i="33"/>
  <c r="F21" i="33"/>
  <c r="F20" i="33"/>
  <c r="W5" i="14"/>
  <c r="W6" i="14"/>
  <c r="W7" i="14"/>
  <c r="C58" i="33" l="1"/>
  <c r="B58" i="33"/>
  <c r="H58" i="33" s="1"/>
  <c r="C57" i="33"/>
  <c r="B57" i="33"/>
  <c r="C56" i="33"/>
  <c r="B56" i="33"/>
  <c r="H56" i="33" s="1"/>
  <c r="B55" i="33"/>
  <c r="H55" i="33" s="1"/>
  <c r="B54" i="33"/>
  <c r="H54" i="33" s="1"/>
  <c r="B53" i="33"/>
  <c r="B59" i="33" s="1"/>
  <c r="O58" i="33"/>
  <c r="M58" i="33"/>
  <c r="L58" i="33"/>
  <c r="R58" i="33" s="1"/>
  <c r="P57" i="33"/>
  <c r="O57" i="33"/>
  <c r="M57" i="33"/>
  <c r="L57" i="33"/>
  <c r="R57" i="33" s="1"/>
  <c r="H57" i="33"/>
  <c r="P56" i="33"/>
  <c r="O56" i="33"/>
  <c r="M56" i="33"/>
  <c r="L56" i="33"/>
  <c r="R56" i="33" s="1"/>
  <c r="O55" i="33"/>
  <c r="M55" i="33"/>
  <c r="L55" i="33"/>
  <c r="R55" i="33" s="1"/>
  <c r="O54" i="33"/>
  <c r="M54" i="33"/>
  <c r="L54" i="33"/>
  <c r="R54" i="33" s="1"/>
  <c r="O53" i="33"/>
  <c r="M53" i="33"/>
  <c r="L53" i="33"/>
  <c r="E59" i="33"/>
  <c r="C47" i="33"/>
  <c r="C46" i="33"/>
  <c r="C45" i="33"/>
  <c r="B47" i="33"/>
  <c r="D47" i="33" s="1"/>
  <c r="B46" i="33"/>
  <c r="B45" i="33"/>
  <c r="D45" i="33" s="1"/>
  <c r="B44" i="33"/>
  <c r="B43" i="33"/>
  <c r="B42" i="33"/>
  <c r="H47" i="33"/>
  <c r="H46" i="33"/>
  <c r="H45" i="33"/>
  <c r="H44" i="33"/>
  <c r="H43" i="33"/>
  <c r="P48" i="33"/>
  <c r="O48" i="33"/>
  <c r="E48" i="33"/>
  <c r="O34" i="33"/>
  <c r="O33" i="33"/>
  <c r="O32" i="33"/>
  <c r="O31" i="33"/>
  <c r="O30" i="33"/>
  <c r="O29" i="33"/>
  <c r="O24" i="33"/>
  <c r="O23" i="33"/>
  <c r="O22" i="33"/>
  <c r="O21" i="33"/>
  <c r="O20" i="33"/>
  <c r="O19" i="33"/>
  <c r="V7" i="14"/>
  <c r="V6" i="14"/>
  <c r="N6" i="14" s="1"/>
  <c r="P20" i="33" s="1"/>
  <c r="K12" i="14"/>
  <c r="K11" i="14"/>
  <c r="K10" i="14"/>
  <c r="K9" i="14"/>
  <c r="K8" i="14"/>
  <c r="K7" i="14"/>
  <c r="N7" i="14" s="1"/>
  <c r="M7" i="14" s="1"/>
  <c r="K6" i="14"/>
  <c r="O6" i="14"/>
  <c r="P54" i="33" s="1"/>
  <c r="P33" i="33"/>
  <c r="P32" i="33"/>
  <c r="P23" i="33"/>
  <c r="P22" i="33"/>
  <c r="P14" i="33"/>
  <c r="O14" i="33"/>
  <c r="O13" i="33"/>
  <c r="P12" i="33"/>
  <c r="O12" i="33"/>
  <c r="P11" i="33"/>
  <c r="O11" i="33"/>
  <c r="P10" i="33"/>
  <c r="O10" i="33"/>
  <c r="P9" i="33"/>
  <c r="O9" i="33"/>
  <c r="M30" i="33"/>
  <c r="L34" i="33"/>
  <c r="L33" i="33"/>
  <c r="L32" i="33"/>
  <c r="L31" i="33"/>
  <c r="L30" i="33"/>
  <c r="L29" i="33"/>
  <c r="L24" i="33"/>
  <c r="L23" i="33"/>
  <c r="L22" i="33"/>
  <c r="L21" i="33"/>
  <c r="M20" i="33"/>
  <c r="L20" i="33"/>
  <c r="L19" i="33"/>
  <c r="L14" i="33"/>
  <c r="M13" i="33"/>
  <c r="L13" i="33"/>
  <c r="R13" i="33" s="1"/>
  <c r="M12" i="33"/>
  <c r="L12" i="33"/>
  <c r="R12" i="33" s="1"/>
  <c r="M11" i="33"/>
  <c r="L11" i="33"/>
  <c r="R11" i="33" s="1"/>
  <c r="M10" i="33"/>
  <c r="L10" i="33"/>
  <c r="R10" i="33" s="1"/>
  <c r="M9" i="33"/>
  <c r="L9" i="33"/>
  <c r="E34" i="33"/>
  <c r="E33" i="33"/>
  <c r="E32" i="33"/>
  <c r="E31" i="33"/>
  <c r="E30" i="33"/>
  <c r="E29" i="33"/>
  <c r="E35" i="33" s="1"/>
  <c r="E24" i="33"/>
  <c r="E23" i="33"/>
  <c r="E22" i="33"/>
  <c r="E21" i="33"/>
  <c r="E20" i="33"/>
  <c r="E19" i="33"/>
  <c r="E14" i="33"/>
  <c r="E13" i="33"/>
  <c r="E12" i="33"/>
  <c r="E11" i="33"/>
  <c r="E10" i="33"/>
  <c r="E9" i="33"/>
  <c r="E15" i="33" s="1"/>
  <c r="C32" i="33"/>
  <c r="C31" i="33"/>
  <c r="C30" i="33"/>
  <c r="C29" i="33"/>
  <c r="H14" i="33"/>
  <c r="B13" i="33"/>
  <c r="H13" i="33" s="1"/>
  <c r="B12" i="33"/>
  <c r="H12" i="33" s="1"/>
  <c r="B11" i="33"/>
  <c r="H11" i="33" s="1"/>
  <c r="B10" i="33"/>
  <c r="H10" i="33" s="1"/>
  <c r="B9" i="33"/>
  <c r="B34" i="33"/>
  <c r="H34" i="33" s="1"/>
  <c r="H33" i="33"/>
  <c r="B32" i="33"/>
  <c r="H32" i="33" s="1"/>
  <c r="B31" i="33"/>
  <c r="H31" i="33" s="1"/>
  <c r="B30" i="33"/>
  <c r="H30" i="33" s="1"/>
  <c r="B29" i="33"/>
  <c r="H29" i="33" s="1"/>
  <c r="H22" i="33"/>
  <c r="H20" i="33"/>
  <c r="H24" i="33"/>
  <c r="D46" i="33" l="1"/>
  <c r="D56" i="33"/>
  <c r="D57" i="33"/>
  <c r="D58" i="33"/>
  <c r="E25" i="33"/>
  <c r="P30" i="33"/>
  <c r="S30" i="33" s="1"/>
  <c r="M59" i="33"/>
  <c r="H35" i="33"/>
  <c r="B15" i="33"/>
  <c r="D21" i="33"/>
  <c r="O7" i="14"/>
  <c r="L25" i="33"/>
  <c r="M6" i="14"/>
  <c r="P13" i="33" s="1"/>
  <c r="S13" i="33" s="1"/>
  <c r="T13" i="33" s="1"/>
  <c r="O59" i="33"/>
  <c r="S56" i="33"/>
  <c r="T56" i="33" s="1"/>
  <c r="S54" i="33"/>
  <c r="T54" i="33" s="1"/>
  <c r="S57" i="33"/>
  <c r="T57" i="33" s="1"/>
  <c r="L59" i="33"/>
  <c r="D11" i="33"/>
  <c r="D31" i="33"/>
  <c r="H19" i="33"/>
  <c r="H21" i="33"/>
  <c r="H23" i="33"/>
  <c r="D10" i="33"/>
  <c r="D12" i="33"/>
  <c r="D20" i="33"/>
  <c r="D22" i="33"/>
  <c r="D30" i="33"/>
  <c r="D32" i="33"/>
  <c r="D9" i="33"/>
  <c r="D19" i="33"/>
  <c r="D29" i="33"/>
  <c r="G10" i="33"/>
  <c r="G12" i="33"/>
  <c r="G14" i="33"/>
  <c r="J20" i="33"/>
  <c r="G22" i="33"/>
  <c r="J23" i="33"/>
  <c r="G24" i="33"/>
  <c r="J30" i="33"/>
  <c r="J31" i="33"/>
  <c r="J32" i="33"/>
  <c r="J33" i="33"/>
  <c r="J34" i="33"/>
  <c r="J11" i="33"/>
  <c r="J13" i="33"/>
  <c r="G20" i="33"/>
  <c r="G21" i="33"/>
  <c r="G31" i="33"/>
  <c r="G33" i="33"/>
  <c r="O15" i="33"/>
  <c r="N55" i="33"/>
  <c r="N57" i="33"/>
  <c r="N54" i="33"/>
  <c r="N56" i="33"/>
  <c r="N58" i="33"/>
  <c r="H53" i="33"/>
  <c r="H59" i="33" s="1"/>
  <c r="I54" i="33"/>
  <c r="J54" i="33" s="1"/>
  <c r="Q54" i="33"/>
  <c r="G55" i="33"/>
  <c r="I56" i="33"/>
  <c r="J56" i="33" s="1"/>
  <c r="Q56" i="33"/>
  <c r="G57" i="33"/>
  <c r="Q57" i="33"/>
  <c r="I58" i="33"/>
  <c r="J58" i="33" s="1"/>
  <c r="G53" i="33"/>
  <c r="N53" i="33"/>
  <c r="R53" i="33"/>
  <c r="R59" i="33" s="1"/>
  <c r="G54" i="33"/>
  <c r="G56" i="33"/>
  <c r="G58" i="33"/>
  <c r="B48" i="33"/>
  <c r="L48" i="33"/>
  <c r="I42" i="33"/>
  <c r="H42" i="33"/>
  <c r="H48" i="33" s="1"/>
  <c r="Q48" i="33"/>
  <c r="I43" i="33"/>
  <c r="J43" i="33" s="1"/>
  <c r="I45" i="33"/>
  <c r="J45" i="33" s="1"/>
  <c r="M48" i="33"/>
  <c r="R48" i="33"/>
  <c r="R21" i="33"/>
  <c r="P21" i="33"/>
  <c r="S21" i="33" s="1"/>
  <c r="R14" i="33"/>
  <c r="R31" i="33"/>
  <c r="R23" i="33"/>
  <c r="R20" i="33"/>
  <c r="R30" i="33"/>
  <c r="R32" i="33"/>
  <c r="L15" i="33"/>
  <c r="R33" i="33"/>
  <c r="L35" i="33"/>
  <c r="N20" i="33"/>
  <c r="R22" i="33"/>
  <c r="N12" i="33"/>
  <c r="N10" i="33"/>
  <c r="R19" i="33"/>
  <c r="N30" i="33"/>
  <c r="S32" i="33"/>
  <c r="S20" i="33"/>
  <c r="Q22" i="33"/>
  <c r="R29" i="33"/>
  <c r="S33" i="33"/>
  <c r="N9" i="33"/>
  <c r="S9" i="33"/>
  <c r="R9" i="33"/>
  <c r="S10" i="33"/>
  <c r="T10" i="33" s="1"/>
  <c r="S12" i="33"/>
  <c r="T12" i="33" s="1"/>
  <c r="S14" i="33"/>
  <c r="N11" i="33"/>
  <c r="S11" i="33"/>
  <c r="T11" i="33" s="1"/>
  <c r="Q12" i="33"/>
  <c r="N13" i="33"/>
  <c r="Q14" i="33"/>
  <c r="H9" i="33"/>
  <c r="B35" i="33"/>
  <c r="B25" i="33"/>
  <c r="P55" i="33" l="1"/>
  <c r="P31" i="33"/>
  <c r="S31" i="33" s="1"/>
  <c r="T31" i="33" s="1"/>
  <c r="H25" i="33"/>
  <c r="G9" i="33"/>
  <c r="G34" i="33"/>
  <c r="G32" i="33"/>
  <c r="G30" i="33"/>
  <c r="J21" i="33"/>
  <c r="J9" i="33"/>
  <c r="H15" i="33"/>
  <c r="G13" i="33"/>
  <c r="G11" i="33"/>
  <c r="J22" i="33"/>
  <c r="J14" i="33"/>
  <c r="J10" i="33"/>
  <c r="F15" i="33"/>
  <c r="G23" i="33"/>
  <c r="J24" i="33"/>
  <c r="J12" i="33"/>
  <c r="N59" i="33"/>
  <c r="G59" i="33"/>
  <c r="F59" i="33"/>
  <c r="I57" i="33"/>
  <c r="J57" i="33" s="1"/>
  <c r="I55" i="33"/>
  <c r="J55" i="33" s="1"/>
  <c r="I53" i="33"/>
  <c r="N48" i="33"/>
  <c r="F48" i="33"/>
  <c r="I47" i="33"/>
  <c r="J47" i="33" s="1"/>
  <c r="I46" i="33"/>
  <c r="J46" i="33" s="1"/>
  <c r="I44" i="33"/>
  <c r="J44" i="33" s="1"/>
  <c r="J42" i="33"/>
  <c r="T48" i="33"/>
  <c r="S48" i="33"/>
  <c r="R15" i="33"/>
  <c r="T21" i="33"/>
  <c r="Q21" i="33"/>
  <c r="T14" i="33"/>
  <c r="T20" i="33"/>
  <c r="S23" i="33"/>
  <c r="T23" i="33" s="1"/>
  <c r="T30" i="33"/>
  <c r="T32" i="33"/>
  <c r="T33" i="33"/>
  <c r="Q32" i="33"/>
  <c r="Q30" i="33"/>
  <c r="Q23" i="33"/>
  <c r="Q20" i="33"/>
  <c r="Q10" i="33"/>
  <c r="Q11" i="33"/>
  <c r="Q33" i="33"/>
  <c r="S22" i="33"/>
  <c r="T22" i="33" s="1"/>
  <c r="Q31" i="33"/>
  <c r="Q13" i="33"/>
  <c r="S15" i="33"/>
  <c r="T9" i="33"/>
  <c r="P15" i="33"/>
  <c r="Q9" i="33"/>
  <c r="S55" i="33" l="1"/>
  <c r="T55" i="33" s="1"/>
  <c r="Q55" i="33"/>
  <c r="G15" i="33"/>
  <c r="I15" i="33"/>
  <c r="J15" i="33"/>
  <c r="I59" i="33"/>
  <c r="J53" i="33"/>
  <c r="J59" i="33" s="1"/>
  <c r="G48" i="33"/>
  <c r="J48" i="33"/>
  <c r="I48" i="33"/>
  <c r="T15" i="33"/>
  <c r="Q15" i="33"/>
  <c r="D88" i="24" l="1"/>
  <c r="D87" i="24"/>
  <c r="D86" i="24"/>
  <c r="D85" i="24"/>
  <c r="D84" i="24"/>
  <c r="D83" i="24"/>
  <c r="D82" i="24"/>
  <c r="D81" i="24"/>
  <c r="D80" i="24"/>
  <c r="D79" i="24"/>
  <c r="D78" i="24"/>
  <c r="D77" i="24"/>
  <c r="D76" i="24"/>
  <c r="D75" i="24"/>
  <c r="D74" i="24"/>
  <c r="D73" i="24"/>
  <c r="D72" i="24"/>
  <c r="D71" i="24"/>
  <c r="D70" i="24"/>
  <c r="D69" i="24"/>
  <c r="D68" i="24"/>
  <c r="D67" i="24"/>
  <c r="D66" i="24"/>
  <c r="D65" i="24"/>
  <c r="D64" i="24"/>
  <c r="D63" i="24"/>
  <c r="D62" i="24"/>
  <c r="D61" i="24"/>
  <c r="D60" i="24"/>
  <c r="D59" i="24"/>
  <c r="D58" i="24"/>
  <c r="D57" i="24"/>
  <c r="D56" i="24"/>
  <c r="D55" i="24"/>
  <c r="D54" i="24"/>
  <c r="D53" i="24"/>
  <c r="D52" i="24"/>
  <c r="D51" i="24"/>
  <c r="D50" i="24"/>
  <c r="D49" i="24"/>
  <c r="D48" i="24"/>
  <c r="D47" i="24"/>
  <c r="D46" i="24"/>
  <c r="D45" i="24"/>
  <c r="D44" i="24"/>
  <c r="D43" i="24"/>
  <c r="D42" i="24"/>
  <c r="D41" i="24"/>
  <c r="D40" i="24"/>
  <c r="D39" i="24"/>
  <c r="D38" i="24"/>
  <c r="D37" i="24"/>
  <c r="D36" i="24"/>
  <c r="D35" i="24"/>
  <c r="D34" i="24"/>
  <c r="D33" i="24"/>
  <c r="D32" i="24"/>
  <c r="D31" i="24"/>
  <c r="D30" i="24"/>
  <c r="D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42" i="5"/>
  <c r="D41" i="5"/>
  <c r="D40" i="5"/>
  <c r="D39" i="5"/>
  <c r="D38" i="5"/>
  <c r="D37" i="5"/>
  <c r="D36" i="5"/>
  <c r="D35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I326" i="11" l="1"/>
  <c r="H326" i="11"/>
  <c r="G326" i="11"/>
  <c r="F326" i="11"/>
  <c r="I325" i="11"/>
  <c r="H325" i="11"/>
  <c r="G325" i="11"/>
  <c r="F325" i="11"/>
  <c r="I324" i="11"/>
  <c r="H324" i="11"/>
  <c r="G324" i="11"/>
  <c r="F324" i="11"/>
  <c r="I323" i="11"/>
  <c r="H323" i="11"/>
  <c r="G323" i="11"/>
  <c r="F323" i="11"/>
  <c r="I322" i="11"/>
  <c r="H322" i="11"/>
  <c r="G322" i="11"/>
  <c r="F322" i="11"/>
  <c r="I321" i="11"/>
  <c r="H321" i="11"/>
  <c r="G321" i="11"/>
  <c r="F321" i="11"/>
  <c r="I320" i="11"/>
  <c r="H320" i="11"/>
  <c r="G320" i="11"/>
  <c r="F320" i="11"/>
  <c r="I319" i="11"/>
  <c r="H319" i="11"/>
  <c r="G319" i="11"/>
  <c r="F319" i="11"/>
  <c r="I318" i="11"/>
  <c r="H318" i="11"/>
  <c r="G318" i="11"/>
  <c r="F318" i="11"/>
  <c r="I317" i="11"/>
  <c r="H317" i="11"/>
  <c r="G317" i="11"/>
  <c r="F317" i="11"/>
  <c r="I316" i="11"/>
  <c r="H316" i="11"/>
  <c r="G316" i="11"/>
  <c r="F316" i="11"/>
  <c r="I315" i="11"/>
  <c r="H315" i="11"/>
  <c r="G315" i="11"/>
  <c r="F315" i="11"/>
  <c r="I314" i="11"/>
  <c r="H314" i="11"/>
  <c r="G314" i="11"/>
  <c r="F314" i="11"/>
  <c r="I313" i="11"/>
  <c r="H313" i="11"/>
  <c r="G313" i="11"/>
  <c r="F313" i="11"/>
  <c r="I312" i="11"/>
  <c r="H312" i="11"/>
  <c r="G312" i="11"/>
  <c r="F312" i="11"/>
  <c r="I311" i="11"/>
  <c r="H311" i="11"/>
  <c r="G311" i="11"/>
  <c r="F311" i="11"/>
  <c r="I310" i="11"/>
  <c r="H310" i="11"/>
  <c r="G310" i="11"/>
  <c r="F310" i="11"/>
  <c r="I309" i="11"/>
  <c r="H309" i="11"/>
  <c r="G309" i="11"/>
  <c r="F309" i="11"/>
  <c r="I308" i="11"/>
  <c r="H308" i="11"/>
  <c r="G308" i="11"/>
  <c r="F308" i="11"/>
  <c r="I307" i="11"/>
  <c r="H307" i="11"/>
  <c r="G307" i="11"/>
  <c r="F307" i="11"/>
  <c r="I306" i="11"/>
  <c r="H306" i="11"/>
  <c r="G306" i="11"/>
  <c r="F306" i="11"/>
  <c r="I305" i="11"/>
  <c r="H305" i="11"/>
  <c r="G305" i="11"/>
  <c r="F305" i="11"/>
  <c r="I304" i="11"/>
  <c r="H304" i="11"/>
  <c r="G304" i="11"/>
  <c r="F304" i="11"/>
  <c r="I303" i="11"/>
  <c r="H303" i="11"/>
  <c r="G303" i="11"/>
  <c r="F303" i="11"/>
  <c r="I302" i="11"/>
  <c r="H302" i="11"/>
  <c r="G302" i="11"/>
  <c r="F302" i="11"/>
  <c r="I301" i="11"/>
  <c r="H301" i="11"/>
  <c r="G301" i="11"/>
  <c r="F301" i="11"/>
  <c r="I300" i="11"/>
  <c r="H300" i="11"/>
  <c r="G300" i="11"/>
  <c r="F300" i="11"/>
  <c r="I299" i="11"/>
  <c r="H299" i="11"/>
  <c r="G299" i="11"/>
  <c r="F299" i="11"/>
  <c r="I298" i="11"/>
  <c r="H298" i="11"/>
  <c r="G298" i="11"/>
  <c r="F298" i="11"/>
  <c r="I297" i="11"/>
  <c r="H297" i="11"/>
  <c r="G297" i="11"/>
  <c r="F297" i="11"/>
  <c r="I296" i="11"/>
  <c r="H296" i="11"/>
  <c r="G296" i="11"/>
  <c r="F296" i="11"/>
  <c r="I295" i="11"/>
  <c r="H295" i="11"/>
  <c r="G295" i="11"/>
  <c r="F295" i="11"/>
  <c r="I294" i="11"/>
  <c r="H294" i="11"/>
  <c r="G294" i="11"/>
  <c r="F294" i="11"/>
  <c r="I293" i="11"/>
  <c r="H293" i="11"/>
  <c r="G293" i="11"/>
  <c r="F293" i="11"/>
  <c r="I292" i="11"/>
  <c r="H292" i="11"/>
  <c r="G292" i="11"/>
  <c r="F292" i="11"/>
  <c r="I291" i="11"/>
  <c r="H291" i="11"/>
  <c r="G291" i="11"/>
  <c r="F291" i="11"/>
  <c r="I290" i="11"/>
  <c r="H290" i="11"/>
  <c r="G290" i="11"/>
  <c r="F290" i="11"/>
  <c r="I289" i="11"/>
  <c r="H289" i="11"/>
  <c r="G289" i="11"/>
  <c r="F289" i="11"/>
  <c r="I288" i="11"/>
  <c r="H288" i="11"/>
  <c r="G288" i="11"/>
  <c r="F288" i="11"/>
  <c r="I287" i="11"/>
  <c r="H287" i="11"/>
  <c r="G287" i="11"/>
  <c r="F287" i="11"/>
  <c r="I286" i="11"/>
  <c r="H286" i="11"/>
  <c r="G286" i="11"/>
  <c r="F286" i="11"/>
  <c r="I285" i="11"/>
  <c r="H285" i="11"/>
  <c r="G285" i="11"/>
  <c r="F285" i="11"/>
  <c r="I284" i="11"/>
  <c r="H284" i="11"/>
  <c r="G284" i="11"/>
  <c r="F284" i="11"/>
  <c r="I283" i="11"/>
  <c r="H283" i="11"/>
  <c r="G283" i="11"/>
  <c r="F283" i="11"/>
  <c r="I282" i="11"/>
  <c r="H282" i="11"/>
  <c r="G282" i="11"/>
  <c r="F282" i="11"/>
  <c r="I281" i="11"/>
  <c r="H281" i="11"/>
  <c r="G281" i="11"/>
  <c r="F281" i="11"/>
  <c r="I280" i="11"/>
  <c r="H280" i="11"/>
  <c r="G280" i="11"/>
  <c r="F280" i="11"/>
  <c r="I279" i="11"/>
  <c r="H279" i="11"/>
  <c r="G279" i="11"/>
  <c r="F279" i="11"/>
  <c r="I278" i="11"/>
  <c r="H278" i="11"/>
  <c r="G278" i="11"/>
  <c r="F278" i="11"/>
  <c r="I277" i="11"/>
  <c r="H277" i="11"/>
  <c r="G277" i="11"/>
  <c r="F277" i="11"/>
  <c r="I276" i="11"/>
  <c r="H276" i="11"/>
  <c r="G276" i="11"/>
  <c r="F276" i="11"/>
  <c r="I275" i="11"/>
  <c r="H275" i="11"/>
  <c r="G275" i="11"/>
  <c r="F275" i="11"/>
  <c r="I274" i="11"/>
  <c r="H274" i="11"/>
  <c r="G274" i="11"/>
  <c r="F274" i="11"/>
  <c r="I273" i="11"/>
  <c r="H273" i="11"/>
  <c r="G273" i="11"/>
  <c r="F273" i="11"/>
  <c r="I272" i="11"/>
  <c r="H272" i="11"/>
  <c r="G272" i="11"/>
  <c r="F272" i="11"/>
  <c r="I271" i="11"/>
  <c r="H271" i="11"/>
  <c r="G271" i="11"/>
  <c r="F271" i="11"/>
  <c r="I270" i="11"/>
  <c r="H270" i="11"/>
  <c r="G270" i="11"/>
  <c r="F270" i="11"/>
  <c r="I269" i="11"/>
  <c r="H269" i="11"/>
  <c r="G269" i="11"/>
  <c r="F269" i="11"/>
  <c r="I268" i="11"/>
  <c r="H268" i="11"/>
  <c r="G268" i="11"/>
  <c r="F268" i="11"/>
  <c r="I267" i="11"/>
  <c r="H267" i="11"/>
  <c r="G267" i="11"/>
  <c r="F267" i="11"/>
  <c r="I266" i="11"/>
  <c r="H266" i="11"/>
  <c r="G266" i="11"/>
  <c r="F266" i="11"/>
  <c r="I265" i="11"/>
  <c r="H265" i="11"/>
  <c r="G265" i="11"/>
  <c r="F265" i="11"/>
  <c r="I264" i="11"/>
  <c r="H264" i="11"/>
  <c r="G264" i="11"/>
  <c r="F264" i="11"/>
  <c r="I263" i="11"/>
  <c r="H263" i="11"/>
  <c r="G263" i="11"/>
  <c r="F263" i="11"/>
  <c r="I262" i="11"/>
  <c r="H262" i="11"/>
  <c r="G262" i="11"/>
  <c r="F262" i="11"/>
  <c r="I261" i="11"/>
  <c r="H261" i="11"/>
  <c r="G261" i="11"/>
  <c r="F261" i="11"/>
  <c r="I260" i="11"/>
  <c r="H260" i="11"/>
  <c r="G260" i="11"/>
  <c r="F260" i="11"/>
  <c r="I259" i="11"/>
  <c r="H259" i="11"/>
  <c r="G259" i="11"/>
  <c r="F259" i="11"/>
  <c r="I258" i="11"/>
  <c r="H258" i="11"/>
  <c r="G258" i="11"/>
  <c r="F258" i="11"/>
  <c r="I257" i="11"/>
  <c r="H257" i="11"/>
  <c r="G257" i="11"/>
  <c r="F257" i="11"/>
  <c r="I256" i="11"/>
  <c r="H256" i="11"/>
  <c r="G256" i="11"/>
  <c r="F256" i="11"/>
  <c r="I255" i="11"/>
  <c r="H255" i="11"/>
  <c r="G255" i="11"/>
  <c r="F255" i="11"/>
  <c r="I254" i="11"/>
  <c r="H254" i="11"/>
  <c r="G254" i="11"/>
  <c r="F254" i="11"/>
  <c r="I253" i="11"/>
  <c r="H253" i="11"/>
  <c r="G253" i="11"/>
  <c r="F253" i="11"/>
  <c r="I252" i="11"/>
  <c r="H252" i="11"/>
  <c r="G252" i="11"/>
  <c r="F252" i="11"/>
  <c r="I251" i="11"/>
  <c r="H251" i="11"/>
  <c r="G251" i="11"/>
  <c r="F251" i="11"/>
  <c r="I250" i="11"/>
  <c r="H250" i="11"/>
  <c r="G250" i="11"/>
  <c r="F250" i="11"/>
  <c r="I249" i="11"/>
  <c r="H249" i="11"/>
  <c r="G249" i="11"/>
  <c r="F249" i="11"/>
  <c r="I248" i="11"/>
  <c r="H248" i="11"/>
  <c r="G248" i="11"/>
  <c r="F248" i="11"/>
  <c r="I247" i="11"/>
  <c r="H247" i="11"/>
  <c r="G247" i="11"/>
  <c r="F247" i="11"/>
  <c r="I246" i="11"/>
  <c r="H246" i="11"/>
  <c r="G246" i="11"/>
  <c r="F246" i="11"/>
  <c r="I245" i="11"/>
  <c r="H245" i="11"/>
  <c r="G245" i="11"/>
  <c r="F245" i="11"/>
  <c r="I244" i="11"/>
  <c r="H244" i="11"/>
  <c r="G244" i="11"/>
  <c r="F244" i="11"/>
  <c r="I243" i="11"/>
  <c r="H243" i="11"/>
  <c r="G243" i="11"/>
  <c r="F243" i="11"/>
  <c r="I242" i="11"/>
  <c r="H242" i="11"/>
  <c r="G242" i="11"/>
  <c r="F242" i="11"/>
  <c r="I241" i="11"/>
  <c r="H241" i="11"/>
  <c r="G241" i="11"/>
  <c r="F241" i="11"/>
  <c r="I240" i="11"/>
  <c r="H240" i="11"/>
  <c r="G240" i="11"/>
  <c r="F240" i="11"/>
  <c r="I239" i="11"/>
  <c r="H239" i="11"/>
  <c r="G239" i="11"/>
  <c r="F239" i="11"/>
  <c r="I238" i="11"/>
  <c r="H238" i="11"/>
  <c r="G238" i="11"/>
  <c r="F238" i="11"/>
  <c r="I237" i="11"/>
  <c r="H237" i="11"/>
  <c r="G237" i="11"/>
  <c r="F237" i="11"/>
  <c r="I236" i="11"/>
  <c r="H236" i="11"/>
  <c r="G236" i="11"/>
  <c r="F236" i="11"/>
  <c r="I235" i="11"/>
  <c r="H235" i="11"/>
  <c r="G235" i="11"/>
  <c r="F235" i="11"/>
  <c r="I234" i="11"/>
  <c r="H234" i="11"/>
  <c r="G234" i="11"/>
  <c r="F234" i="11"/>
  <c r="I233" i="11"/>
  <c r="H233" i="11"/>
  <c r="G233" i="11"/>
  <c r="F233" i="11"/>
  <c r="I232" i="11"/>
  <c r="H232" i="11"/>
  <c r="G232" i="11"/>
  <c r="F232" i="11"/>
  <c r="I231" i="11"/>
  <c r="H231" i="11"/>
  <c r="G231" i="11"/>
  <c r="F231" i="11"/>
  <c r="I230" i="11"/>
  <c r="H230" i="11"/>
  <c r="G230" i="11"/>
  <c r="F230" i="11"/>
  <c r="I229" i="11"/>
  <c r="H229" i="11"/>
  <c r="G229" i="11"/>
  <c r="F229" i="11"/>
  <c r="I228" i="11"/>
  <c r="H228" i="11"/>
  <c r="G228" i="11"/>
  <c r="F228" i="11"/>
  <c r="I227" i="11"/>
  <c r="H227" i="11"/>
  <c r="G227" i="11"/>
  <c r="F227" i="11"/>
  <c r="I226" i="11"/>
  <c r="H226" i="11"/>
  <c r="G226" i="11"/>
  <c r="F226" i="11"/>
  <c r="I225" i="11"/>
  <c r="H225" i="11"/>
  <c r="G225" i="11"/>
  <c r="F225" i="11"/>
  <c r="I224" i="11"/>
  <c r="H224" i="11"/>
  <c r="G224" i="11"/>
  <c r="F224" i="11"/>
  <c r="I223" i="11"/>
  <c r="H223" i="11"/>
  <c r="G223" i="11"/>
  <c r="F223" i="11"/>
  <c r="I222" i="11"/>
  <c r="H222" i="11"/>
  <c r="G222" i="11"/>
  <c r="F222" i="11"/>
  <c r="I221" i="11"/>
  <c r="H221" i="11"/>
  <c r="G221" i="11"/>
  <c r="F221" i="11"/>
  <c r="I220" i="11"/>
  <c r="H220" i="11"/>
  <c r="G220" i="11"/>
  <c r="F220" i="11"/>
  <c r="I219" i="11"/>
  <c r="H219" i="11"/>
  <c r="G219" i="11"/>
  <c r="F219" i="11"/>
  <c r="I218" i="11"/>
  <c r="H218" i="11"/>
  <c r="G218" i="11"/>
  <c r="F218" i="11"/>
  <c r="I217" i="11"/>
  <c r="H217" i="11"/>
  <c r="G217" i="11"/>
  <c r="F217" i="11"/>
  <c r="I216" i="11"/>
  <c r="H216" i="11"/>
  <c r="G216" i="11"/>
  <c r="F216" i="11"/>
  <c r="I215" i="11"/>
  <c r="H215" i="11"/>
  <c r="G215" i="11"/>
  <c r="F215" i="11"/>
  <c r="I214" i="11"/>
  <c r="H214" i="11"/>
  <c r="G214" i="11"/>
  <c r="F214" i="11"/>
  <c r="I213" i="11"/>
  <c r="H213" i="11"/>
  <c r="G213" i="11"/>
  <c r="F213" i="11"/>
  <c r="I212" i="11"/>
  <c r="H212" i="11"/>
  <c r="G212" i="11"/>
  <c r="F212" i="11"/>
  <c r="I211" i="11"/>
  <c r="H211" i="11"/>
  <c r="G211" i="11"/>
  <c r="F211" i="11"/>
  <c r="I210" i="11"/>
  <c r="H210" i="11"/>
  <c r="G210" i="11"/>
  <c r="F210" i="11"/>
  <c r="I209" i="11"/>
  <c r="H209" i="11"/>
  <c r="G209" i="11"/>
  <c r="F209" i="11"/>
  <c r="I208" i="11"/>
  <c r="H208" i="11"/>
  <c r="G208" i="11"/>
  <c r="F208" i="11"/>
  <c r="I207" i="11"/>
  <c r="H207" i="11"/>
  <c r="G207" i="11"/>
  <c r="F207" i="11"/>
  <c r="I206" i="11"/>
  <c r="H206" i="11"/>
  <c r="G206" i="11"/>
  <c r="F206" i="11"/>
  <c r="I205" i="11"/>
  <c r="H205" i="11"/>
  <c r="G205" i="11"/>
  <c r="F205" i="11"/>
  <c r="I204" i="11"/>
  <c r="H204" i="11"/>
  <c r="G204" i="11"/>
  <c r="F204" i="11"/>
  <c r="I203" i="11"/>
  <c r="H203" i="11"/>
  <c r="G203" i="11"/>
  <c r="F203" i="11"/>
  <c r="I202" i="11"/>
  <c r="H202" i="11"/>
  <c r="G202" i="11"/>
  <c r="F202" i="11"/>
  <c r="I201" i="11"/>
  <c r="H201" i="11"/>
  <c r="G201" i="11"/>
  <c r="F201" i="11"/>
  <c r="I200" i="11"/>
  <c r="H200" i="11"/>
  <c r="G200" i="11"/>
  <c r="F200" i="11"/>
  <c r="I199" i="11"/>
  <c r="H199" i="11"/>
  <c r="G199" i="11"/>
  <c r="F199" i="11"/>
  <c r="I198" i="11"/>
  <c r="H198" i="11"/>
  <c r="G198" i="11"/>
  <c r="F198" i="11"/>
  <c r="I197" i="11"/>
  <c r="H197" i="11"/>
  <c r="G197" i="11"/>
  <c r="F197" i="11"/>
  <c r="I196" i="11"/>
  <c r="H196" i="11"/>
  <c r="G196" i="11"/>
  <c r="F196" i="11"/>
  <c r="I195" i="11"/>
  <c r="H195" i="11"/>
  <c r="G195" i="11"/>
  <c r="F195" i="11"/>
  <c r="I194" i="11"/>
  <c r="H194" i="11"/>
  <c r="G194" i="11"/>
  <c r="F194" i="11"/>
  <c r="I193" i="11"/>
  <c r="H193" i="11"/>
  <c r="G193" i="11"/>
  <c r="F193" i="11"/>
  <c r="I192" i="11"/>
  <c r="H192" i="11"/>
  <c r="G192" i="11"/>
  <c r="F192" i="11"/>
  <c r="I191" i="11"/>
  <c r="H191" i="11"/>
  <c r="G191" i="11"/>
  <c r="F191" i="11"/>
  <c r="I190" i="11"/>
  <c r="H190" i="11"/>
  <c r="G190" i="11"/>
  <c r="F190" i="11"/>
  <c r="I189" i="11"/>
  <c r="H189" i="11"/>
  <c r="G189" i="11"/>
  <c r="F189" i="11"/>
  <c r="I188" i="11"/>
  <c r="H188" i="11"/>
  <c r="G188" i="11"/>
  <c r="F188" i="11"/>
  <c r="I187" i="11"/>
  <c r="H187" i="11"/>
  <c r="G187" i="11"/>
  <c r="F187" i="11"/>
  <c r="I186" i="11"/>
  <c r="H186" i="11"/>
  <c r="G186" i="11"/>
  <c r="F186" i="11"/>
  <c r="I185" i="11"/>
  <c r="H185" i="11"/>
  <c r="G185" i="11"/>
  <c r="F185" i="11"/>
  <c r="I184" i="11"/>
  <c r="H184" i="11"/>
  <c r="G184" i="11"/>
  <c r="F184" i="11"/>
  <c r="I183" i="11"/>
  <c r="H183" i="11"/>
  <c r="G183" i="11"/>
  <c r="F183" i="11"/>
  <c r="I182" i="11"/>
  <c r="H182" i="11"/>
  <c r="G182" i="11"/>
  <c r="F182" i="11"/>
  <c r="I181" i="11"/>
  <c r="H181" i="11"/>
  <c r="G181" i="11"/>
  <c r="F181" i="11"/>
  <c r="I180" i="11"/>
  <c r="H180" i="11"/>
  <c r="G180" i="11"/>
  <c r="F180" i="11"/>
  <c r="I179" i="11"/>
  <c r="H179" i="11"/>
  <c r="G179" i="11"/>
  <c r="F179" i="11"/>
  <c r="I178" i="11"/>
  <c r="H178" i="11"/>
  <c r="G178" i="11"/>
  <c r="F178" i="11"/>
  <c r="I177" i="11"/>
  <c r="H177" i="11"/>
  <c r="G177" i="11"/>
  <c r="F177" i="11"/>
  <c r="I176" i="11"/>
  <c r="H176" i="11"/>
  <c r="G176" i="11"/>
  <c r="F176" i="11"/>
  <c r="I175" i="11"/>
  <c r="H175" i="11"/>
  <c r="G175" i="11"/>
  <c r="F175" i="11"/>
  <c r="I174" i="11"/>
  <c r="H174" i="11"/>
  <c r="G174" i="11"/>
  <c r="F174" i="11"/>
  <c r="I173" i="11"/>
  <c r="H173" i="11"/>
  <c r="G173" i="11"/>
  <c r="F173" i="11"/>
  <c r="I172" i="11"/>
  <c r="H172" i="11"/>
  <c r="G172" i="11"/>
  <c r="F172" i="11"/>
  <c r="I171" i="11"/>
  <c r="H171" i="11"/>
  <c r="G171" i="11"/>
  <c r="F171" i="11"/>
  <c r="I170" i="11"/>
  <c r="H170" i="11"/>
  <c r="G170" i="11"/>
  <c r="F170" i="11"/>
  <c r="I169" i="11"/>
  <c r="H169" i="11"/>
  <c r="G169" i="11"/>
  <c r="F169" i="11"/>
  <c r="I168" i="11"/>
  <c r="H168" i="11"/>
  <c r="G168" i="11"/>
  <c r="F168" i="11"/>
  <c r="I167" i="11"/>
  <c r="H167" i="11"/>
  <c r="G167" i="11"/>
  <c r="F167" i="11"/>
  <c r="I166" i="11"/>
  <c r="H166" i="11"/>
  <c r="G166" i="11"/>
  <c r="F166" i="11"/>
  <c r="I165" i="11"/>
  <c r="H165" i="11"/>
  <c r="G165" i="11"/>
  <c r="F165" i="11"/>
  <c r="I164" i="11"/>
  <c r="H164" i="11"/>
  <c r="G164" i="11"/>
  <c r="F164" i="11"/>
  <c r="I163" i="11"/>
  <c r="H163" i="11"/>
  <c r="G163" i="11"/>
  <c r="F163" i="11"/>
  <c r="I162" i="11"/>
  <c r="H162" i="11"/>
  <c r="G162" i="11"/>
  <c r="F162" i="11"/>
  <c r="I161" i="11"/>
  <c r="H161" i="11"/>
  <c r="G161" i="11"/>
  <c r="F161" i="11"/>
  <c r="I160" i="11"/>
  <c r="H160" i="11"/>
  <c r="G160" i="11"/>
  <c r="F160" i="11"/>
  <c r="I159" i="11"/>
  <c r="H159" i="11"/>
  <c r="G159" i="11"/>
  <c r="F159" i="11"/>
  <c r="I158" i="11"/>
  <c r="H158" i="11"/>
  <c r="G158" i="11"/>
  <c r="F158" i="11"/>
  <c r="I157" i="11"/>
  <c r="H157" i="11"/>
  <c r="G157" i="11"/>
  <c r="F157" i="11"/>
  <c r="I156" i="11"/>
  <c r="H156" i="11"/>
  <c r="G156" i="11"/>
  <c r="F156" i="11"/>
  <c r="I155" i="11"/>
  <c r="H155" i="11"/>
  <c r="G155" i="11"/>
  <c r="F155" i="11"/>
  <c r="I154" i="11"/>
  <c r="H154" i="11"/>
  <c r="G154" i="11"/>
  <c r="F154" i="11"/>
  <c r="I153" i="11"/>
  <c r="H153" i="11"/>
  <c r="G153" i="11"/>
  <c r="F153" i="11"/>
  <c r="I152" i="11"/>
  <c r="H152" i="11"/>
  <c r="G152" i="11"/>
  <c r="F152" i="11"/>
  <c r="I151" i="11"/>
  <c r="H151" i="11"/>
  <c r="G151" i="11"/>
  <c r="F151" i="11"/>
  <c r="I150" i="11"/>
  <c r="H150" i="11"/>
  <c r="G150" i="11"/>
  <c r="F150" i="11"/>
  <c r="I149" i="11"/>
  <c r="H149" i="11"/>
  <c r="G149" i="11"/>
  <c r="F149" i="11"/>
  <c r="I148" i="11"/>
  <c r="H148" i="11"/>
  <c r="G148" i="11"/>
  <c r="F148" i="11"/>
  <c r="I147" i="11"/>
  <c r="H147" i="11"/>
  <c r="G147" i="11"/>
  <c r="F147" i="11"/>
  <c r="I146" i="11"/>
  <c r="H146" i="11"/>
  <c r="G146" i="11"/>
  <c r="F146" i="11"/>
  <c r="I145" i="11"/>
  <c r="H145" i="11"/>
  <c r="G145" i="11"/>
  <c r="F145" i="11"/>
  <c r="I144" i="11"/>
  <c r="H144" i="11"/>
  <c r="G144" i="11"/>
  <c r="F144" i="11"/>
  <c r="I143" i="11"/>
  <c r="H143" i="11"/>
  <c r="G143" i="11"/>
  <c r="F143" i="11"/>
  <c r="I142" i="11"/>
  <c r="H142" i="11"/>
  <c r="G142" i="11"/>
  <c r="F142" i="11"/>
  <c r="I141" i="11"/>
  <c r="H141" i="11"/>
  <c r="G141" i="11"/>
  <c r="F141" i="11"/>
  <c r="I140" i="11"/>
  <c r="H140" i="11"/>
  <c r="G140" i="11"/>
  <c r="F140" i="11"/>
  <c r="I139" i="11"/>
  <c r="H139" i="11"/>
  <c r="G139" i="11"/>
  <c r="F139" i="11"/>
  <c r="I138" i="11"/>
  <c r="H138" i="11"/>
  <c r="G138" i="11"/>
  <c r="F138" i="11"/>
  <c r="I137" i="11"/>
  <c r="H137" i="11"/>
  <c r="G137" i="11"/>
  <c r="F137" i="11"/>
  <c r="I136" i="11"/>
  <c r="H136" i="11"/>
  <c r="G136" i="11"/>
  <c r="F136" i="11"/>
  <c r="I135" i="11"/>
  <c r="H135" i="11"/>
  <c r="G135" i="11"/>
  <c r="F135" i="11"/>
  <c r="I134" i="11"/>
  <c r="H134" i="11"/>
  <c r="G134" i="11"/>
  <c r="F134" i="11"/>
  <c r="I133" i="11"/>
  <c r="H133" i="11"/>
  <c r="G133" i="11"/>
  <c r="F133" i="11"/>
  <c r="I132" i="11"/>
  <c r="H132" i="11"/>
  <c r="G132" i="11"/>
  <c r="F132" i="11"/>
  <c r="I131" i="11"/>
  <c r="H131" i="11"/>
  <c r="G131" i="11"/>
  <c r="F131" i="11"/>
  <c r="I130" i="11"/>
  <c r="H130" i="11"/>
  <c r="G130" i="11"/>
  <c r="F130" i="11"/>
  <c r="I129" i="11"/>
  <c r="H129" i="11"/>
  <c r="G129" i="11"/>
  <c r="F129" i="11"/>
  <c r="I128" i="11"/>
  <c r="H128" i="11"/>
  <c r="G128" i="11"/>
  <c r="F128" i="11"/>
  <c r="I127" i="11"/>
  <c r="H127" i="11"/>
  <c r="G127" i="11"/>
  <c r="F127" i="11"/>
  <c r="I126" i="11"/>
  <c r="H126" i="11"/>
  <c r="G126" i="11"/>
  <c r="F126" i="11"/>
  <c r="I125" i="11"/>
  <c r="H125" i="11"/>
  <c r="G125" i="11"/>
  <c r="F125" i="11"/>
  <c r="I124" i="11"/>
  <c r="H124" i="11"/>
  <c r="G124" i="11"/>
  <c r="F124" i="11"/>
  <c r="I123" i="11"/>
  <c r="H123" i="11"/>
  <c r="G123" i="11"/>
  <c r="F123" i="11"/>
  <c r="I122" i="11"/>
  <c r="H122" i="11"/>
  <c r="G122" i="11"/>
  <c r="F122" i="11"/>
  <c r="I121" i="11"/>
  <c r="H121" i="11"/>
  <c r="G121" i="11"/>
  <c r="F121" i="11"/>
  <c r="I120" i="11"/>
  <c r="H120" i="11"/>
  <c r="G120" i="11"/>
  <c r="F120" i="11"/>
  <c r="I119" i="11"/>
  <c r="H119" i="11"/>
  <c r="G119" i="11"/>
  <c r="F119" i="11"/>
  <c r="I118" i="11"/>
  <c r="H118" i="11"/>
  <c r="G118" i="11"/>
  <c r="F118" i="11"/>
  <c r="I117" i="11"/>
  <c r="H117" i="11"/>
  <c r="G117" i="11"/>
  <c r="F117" i="11"/>
  <c r="I116" i="11"/>
  <c r="H116" i="11"/>
  <c r="G116" i="11"/>
  <c r="F116" i="11"/>
  <c r="I115" i="11"/>
  <c r="H115" i="11"/>
  <c r="G115" i="11"/>
  <c r="F115" i="11"/>
  <c r="I114" i="11"/>
  <c r="H114" i="11"/>
  <c r="G114" i="11"/>
  <c r="F114" i="11"/>
  <c r="I113" i="11"/>
  <c r="H113" i="11"/>
  <c r="G113" i="11"/>
  <c r="F113" i="11"/>
  <c r="I112" i="11"/>
  <c r="H112" i="11"/>
  <c r="G112" i="11"/>
  <c r="F112" i="11"/>
  <c r="I111" i="11"/>
  <c r="H111" i="11"/>
  <c r="G111" i="11"/>
  <c r="F111" i="11"/>
  <c r="I110" i="11"/>
  <c r="H110" i="11"/>
  <c r="G110" i="11"/>
  <c r="F110" i="11"/>
  <c r="I109" i="11"/>
  <c r="H109" i="11"/>
  <c r="G109" i="11"/>
  <c r="F109" i="11"/>
  <c r="I108" i="11"/>
  <c r="H108" i="11"/>
  <c r="G108" i="11"/>
  <c r="F108" i="11"/>
  <c r="I107" i="11"/>
  <c r="H107" i="11"/>
  <c r="G107" i="11"/>
  <c r="F107" i="11"/>
  <c r="I106" i="11"/>
  <c r="H106" i="11"/>
  <c r="G106" i="11"/>
  <c r="F106" i="11"/>
  <c r="I105" i="11"/>
  <c r="H105" i="11"/>
  <c r="G105" i="11"/>
  <c r="F105" i="11"/>
  <c r="I104" i="11"/>
  <c r="H104" i="11"/>
  <c r="G104" i="11"/>
  <c r="F104" i="11"/>
  <c r="I103" i="11"/>
  <c r="H103" i="11"/>
  <c r="G103" i="11"/>
  <c r="F103" i="11"/>
  <c r="I102" i="11"/>
  <c r="H102" i="11"/>
  <c r="G102" i="11"/>
  <c r="F102" i="11"/>
  <c r="I101" i="11"/>
  <c r="H101" i="11"/>
  <c r="G101" i="11"/>
  <c r="F101" i="11"/>
  <c r="I100" i="11"/>
  <c r="H100" i="11"/>
  <c r="G100" i="11"/>
  <c r="F100" i="11"/>
  <c r="I99" i="11"/>
  <c r="H99" i="11"/>
  <c r="G99" i="11"/>
  <c r="F99" i="11"/>
  <c r="I98" i="11"/>
  <c r="H98" i="11"/>
  <c r="G98" i="11"/>
  <c r="F98" i="11"/>
  <c r="I97" i="11"/>
  <c r="H97" i="11"/>
  <c r="G97" i="11"/>
  <c r="F97" i="11"/>
  <c r="I96" i="11"/>
  <c r="H96" i="11"/>
  <c r="G96" i="11"/>
  <c r="F96" i="11"/>
  <c r="I95" i="11"/>
  <c r="H95" i="11"/>
  <c r="G95" i="11"/>
  <c r="F95" i="11"/>
  <c r="I94" i="11"/>
  <c r="H94" i="11"/>
  <c r="G94" i="11"/>
  <c r="F94" i="11"/>
  <c r="I93" i="11"/>
  <c r="H93" i="11"/>
  <c r="G93" i="11"/>
  <c r="F93" i="11"/>
  <c r="I92" i="11"/>
  <c r="H92" i="11"/>
  <c r="G92" i="11"/>
  <c r="F92" i="11"/>
  <c r="I91" i="11"/>
  <c r="H91" i="11"/>
  <c r="G91" i="11"/>
  <c r="F91" i="11"/>
  <c r="I90" i="11"/>
  <c r="H90" i="11"/>
  <c r="G90" i="11"/>
  <c r="F90" i="11"/>
  <c r="I89" i="11"/>
  <c r="H89" i="11"/>
  <c r="G89" i="11"/>
  <c r="F89" i="11"/>
  <c r="I88" i="11"/>
  <c r="H88" i="11"/>
  <c r="G88" i="11"/>
  <c r="F88" i="11"/>
  <c r="I87" i="11"/>
  <c r="H87" i="11"/>
  <c r="G87" i="11"/>
  <c r="F87" i="11"/>
  <c r="I86" i="11"/>
  <c r="H86" i="11"/>
  <c r="G86" i="11"/>
  <c r="F86" i="11"/>
  <c r="I85" i="11"/>
  <c r="H85" i="11"/>
  <c r="G85" i="11"/>
  <c r="F85" i="11"/>
  <c r="I84" i="11"/>
  <c r="H84" i="11"/>
  <c r="G84" i="11"/>
  <c r="F84" i="11"/>
  <c r="I83" i="11"/>
  <c r="H83" i="11"/>
  <c r="G83" i="11"/>
  <c r="F83" i="11"/>
  <c r="I82" i="11"/>
  <c r="H82" i="11"/>
  <c r="G82" i="11"/>
  <c r="F82" i="11"/>
  <c r="I81" i="11"/>
  <c r="H81" i="11"/>
  <c r="G81" i="11"/>
  <c r="F81" i="11"/>
  <c r="I80" i="11"/>
  <c r="H80" i="11"/>
  <c r="G80" i="11"/>
  <c r="F80" i="11"/>
  <c r="I79" i="11"/>
  <c r="H79" i="11"/>
  <c r="G79" i="11"/>
  <c r="F79" i="11"/>
  <c r="I78" i="11"/>
  <c r="H78" i="11"/>
  <c r="G78" i="11"/>
  <c r="F78" i="11"/>
  <c r="I77" i="11"/>
  <c r="H77" i="11"/>
  <c r="G77" i="11"/>
  <c r="F77" i="11"/>
  <c r="I76" i="11"/>
  <c r="H76" i="11"/>
  <c r="G76" i="11"/>
  <c r="F76" i="11"/>
  <c r="I75" i="11"/>
  <c r="H75" i="11"/>
  <c r="G75" i="11"/>
  <c r="F75" i="11"/>
  <c r="I74" i="11"/>
  <c r="H74" i="11"/>
  <c r="G74" i="11"/>
  <c r="F74" i="11"/>
  <c r="I73" i="11"/>
  <c r="H73" i="11"/>
  <c r="G73" i="11"/>
  <c r="F73" i="11"/>
  <c r="I72" i="11"/>
  <c r="H72" i="11"/>
  <c r="G72" i="11"/>
  <c r="F72" i="11"/>
  <c r="I71" i="11"/>
  <c r="H71" i="11"/>
  <c r="G71" i="11"/>
  <c r="F71" i="11"/>
  <c r="I70" i="11"/>
  <c r="H70" i="11"/>
  <c r="G70" i="11"/>
  <c r="F70" i="11"/>
  <c r="I69" i="11"/>
  <c r="H69" i="11"/>
  <c r="G69" i="11"/>
  <c r="F69" i="11"/>
  <c r="I68" i="11"/>
  <c r="H68" i="11"/>
  <c r="G68" i="11"/>
  <c r="F68" i="11"/>
  <c r="I67" i="11"/>
  <c r="H67" i="11"/>
  <c r="G67" i="11"/>
  <c r="F67" i="11"/>
  <c r="I66" i="11"/>
  <c r="H66" i="11"/>
  <c r="G66" i="11"/>
  <c r="F66" i="11"/>
  <c r="I65" i="11"/>
  <c r="H65" i="11"/>
  <c r="G65" i="11"/>
  <c r="F65" i="11"/>
  <c r="I64" i="11"/>
  <c r="H64" i="11"/>
  <c r="G64" i="11"/>
  <c r="F64" i="11"/>
  <c r="I63" i="11"/>
  <c r="H63" i="11"/>
  <c r="G63" i="11"/>
  <c r="F63" i="11"/>
  <c r="I62" i="11"/>
  <c r="H62" i="11"/>
  <c r="G62" i="11"/>
  <c r="F62" i="11"/>
  <c r="I61" i="11"/>
  <c r="H61" i="11"/>
  <c r="G61" i="11"/>
  <c r="F61" i="11"/>
  <c r="I60" i="11"/>
  <c r="H60" i="11"/>
  <c r="G60" i="11"/>
  <c r="F60" i="11"/>
  <c r="I59" i="11"/>
  <c r="H59" i="11"/>
  <c r="G59" i="11"/>
  <c r="F59" i="11"/>
  <c r="I58" i="11"/>
  <c r="H58" i="11"/>
  <c r="G58" i="11"/>
  <c r="F58" i="11"/>
  <c r="I57" i="11"/>
  <c r="H57" i="11"/>
  <c r="G57" i="11"/>
  <c r="F57" i="11"/>
  <c r="I56" i="11"/>
  <c r="H56" i="11"/>
  <c r="G56" i="11"/>
  <c r="F56" i="11"/>
  <c r="I55" i="11"/>
  <c r="H55" i="11"/>
  <c r="G55" i="11"/>
  <c r="F55" i="11"/>
  <c r="I54" i="11"/>
  <c r="H54" i="11"/>
  <c r="G54" i="11"/>
  <c r="F54" i="11"/>
  <c r="I53" i="11"/>
  <c r="H53" i="11"/>
  <c r="G53" i="11"/>
  <c r="F53" i="11"/>
  <c r="I52" i="11"/>
  <c r="H52" i="11"/>
  <c r="G52" i="11"/>
  <c r="F52" i="11"/>
  <c r="I51" i="11"/>
  <c r="H51" i="11"/>
  <c r="G51" i="11"/>
  <c r="F51" i="11"/>
  <c r="I50" i="11"/>
  <c r="H50" i="11"/>
  <c r="G50" i="11"/>
  <c r="F50" i="11"/>
  <c r="I49" i="11"/>
  <c r="H49" i="11"/>
  <c r="G49" i="11"/>
  <c r="F49" i="11"/>
  <c r="I48" i="11"/>
  <c r="H48" i="11"/>
  <c r="G48" i="11"/>
  <c r="F48" i="11"/>
  <c r="I47" i="11"/>
  <c r="H47" i="11"/>
  <c r="G47" i="11"/>
  <c r="F47" i="11"/>
  <c r="I46" i="11"/>
  <c r="H46" i="11"/>
  <c r="G46" i="11"/>
  <c r="F46" i="11"/>
  <c r="I45" i="11"/>
  <c r="H45" i="11"/>
  <c r="G45" i="11"/>
  <c r="F45" i="11"/>
  <c r="I44" i="11"/>
  <c r="H44" i="11"/>
  <c r="G44" i="11"/>
  <c r="F44" i="11"/>
  <c r="I43" i="11"/>
  <c r="H43" i="11"/>
  <c r="G43" i="11"/>
  <c r="F43" i="11"/>
  <c r="I42" i="11"/>
  <c r="H42" i="11"/>
  <c r="G42" i="11"/>
  <c r="F42" i="11"/>
  <c r="I41" i="11"/>
  <c r="H41" i="11"/>
  <c r="G41" i="11"/>
  <c r="F41" i="11"/>
  <c r="I40" i="11"/>
  <c r="H40" i="11"/>
  <c r="G40" i="11"/>
  <c r="F40" i="11"/>
  <c r="I39" i="11"/>
  <c r="H39" i="11"/>
  <c r="G39" i="11"/>
  <c r="F39" i="11"/>
  <c r="I38" i="11"/>
  <c r="H38" i="11"/>
  <c r="G38" i="11"/>
  <c r="F38" i="11"/>
  <c r="I37" i="11"/>
  <c r="H37" i="11"/>
  <c r="G37" i="11"/>
  <c r="F37" i="11"/>
  <c r="I36" i="11"/>
  <c r="H36" i="11"/>
  <c r="G36" i="11"/>
  <c r="F36" i="11"/>
  <c r="I35" i="11"/>
  <c r="H35" i="11"/>
  <c r="G35" i="11"/>
  <c r="F35" i="11"/>
  <c r="I34" i="11"/>
  <c r="H34" i="11"/>
  <c r="G34" i="11"/>
  <c r="F34" i="11"/>
  <c r="I33" i="11"/>
  <c r="H33" i="11"/>
  <c r="G33" i="11"/>
  <c r="F33" i="11"/>
  <c r="I32" i="11"/>
  <c r="H32" i="11"/>
  <c r="G32" i="11"/>
  <c r="F32" i="11"/>
  <c r="I31" i="11"/>
  <c r="H31" i="11"/>
  <c r="G31" i="11"/>
  <c r="F31" i="11"/>
  <c r="I30" i="11"/>
  <c r="H30" i="11"/>
  <c r="G30" i="11"/>
  <c r="F30" i="11"/>
  <c r="I29" i="11"/>
  <c r="H29" i="11"/>
  <c r="G29" i="11"/>
  <c r="F29" i="11"/>
  <c r="I28" i="11"/>
  <c r="H28" i="11"/>
  <c r="G28" i="11"/>
  <c r="F28" i="11"/>
  <c r="I27" i="11"/>
  <c r="H27" i="11"/>
  <c r="G27" i="11"/>
  <c r="F27" i="11"/>
  <c r="I26" i="11"/>
  <c r="H26" i="11"/>
  <c r="G26" i="11"/>
  <c r="F26" i="11"/>
  <c r="I25" i="11"/>
  <c r="H25" i="11"/>
  <c r="G25" i="11"/>
  <c r="F25" i="11"/>
  <c r="I24" i="11"/>
  <c r="H24" i="11"/>
  <c r="G24" i="11"/>
  <c r="F24" i="11"/>
  <c r="I23" i="11"/>
  <c r="H23" i="11"/>
  <c r="G23" i="11"/>
  <c r="F23" i="11"/>
  <c r="I22" i="11"/>
  <c r="H22" i="11"/>
  <c r="G22" i="11"/>
  <c r="F22" i="11"/>
  <c r="I21" i="11"/>
  <c r="H21" i="11"/>
  <c r="G21" i="11"/>
  <c r="F21" i="11"/>
  <c r="I20" i="11"/>
  <c r="H20" i="11"/>
  <c r="G20" i="11"/>
  <c r="F20" i="11"/>
  <c r="I19" i="11"/>
  <c r="H19" i="11"/>
  <c r="G19" i="11"/>
  <c r="F19" i="11"/>
  <c r="I18" i="11"/>
  <c r="H18" i="11"/>
  <c r="G18" i="11"/>
  <c r="F18" i="11"/>
  <c r="I17" i="11"/>
  <c r="H17" i="11"/>
  <c r="G17" i="11"/>
  <c r="F17" i="11"/>
  <c r="I16" i="11"/>
  <c r="H16" i="11"/>
  <c r="G16" i="11"/>
  <c r="F16" i="11"/>
  <c r="I15" i="11"/>
  <c r="H15" i="11"/>
  <c r="G15" i="11"/>
  <c r="F15" i="11"/>
  <c r="I14" i="11"/>
  <c r="H14" i="11"/>
  <c r="G14" i="11"/>
  <c r="F14" i="11"/>
  <c r="I13" i="11"/>
  <c r="H13" i="11"/>
  <c r="G13" i="11"/>
  <c r="F13" i="11"/>
  <c r="I12" i="11"/>
  <c r="H12" i="11"/>
  <c r="G12" i="11"/>
  <c r="F12" i="11"/>
  <c r="I11" i="11"/>
  <c r="H11" i="11"/>
  <c r="G11" i="11"/>
  <c r="F11" i="11"/>
  <c r="I10" i="11"/>
  <c r="H10" i="11"/>
  <c r="G10" i="11"/>
  <c r="F10" i="11"/>
  <c r="I9" i="11"/>
  <c r="H9" i="11"/>
  <c r="G9" i="11"/>
  <c r="F9" i="11"/>
  <c r="I8" i="11"/>
  <c r="H8" i="11"/>
  <c r="G8" i="11"/>
  <c r="F8" i="11"/>
  <c r="I7" i="11"/>
  <c r="H7" i="11"/>
  <c r="G7" i="11"/>
  <c r="F7" i="11"/>
  <c r="I6" i="11"/>
  <c r="H6" i="11"/>
  <c r="G6" i="11"/>
  <c r="F6" i="11"/>
  <c r="V326" i="11"/>
  <c r="N326" i="11" s="1"/>
  <c r="U326" i="11"/>
  <c r="V325" i="11"/>
  <c r="N325" i="11" s="1"/>
  <c r="U325" i="11"/>
  <c r="V324" i="11"/>
  <c r="N324" i="11" s="1"/>
  <c r="U324" i="11"/>
  <c r="V323" i="11"/>
  <c r="N323" i="11" s="1"/>
  <c r="U323" i="11"/>
  <c r="V322" i="11"/>
  <c r="N322" i="11" s="1"/>
  <c r="U322" i="11"/>
  <c r="V321" i="11"/>
  <c r="N321" i="11" s="1"/>
  <c r="U321" i="11"/>
  <c r="V320" i="11"/>
  <c r="N320" i="11" s="1"/>
  <c r="U320" i="11"/>
  <c r="V319" i="11"/>
  <c r="N319" i="11" s="1"/>
  <c r="U319" i="11"/>
  <c r="V318" i="11"/>
  <c r="N318" i="11" s="1"/>
  <c r="U318" i="11"/>
  <c r="V317" i="11"/>
  <c r="N317" i="11" s="1"/>
  <c r="U317" i="11"/>
  <c r="V316" i="11"/>
  <c r="N316" i="11" s="1"/>
  <c r="U316" i="11"/>
  <c r="V315" i="11"/>
  <c r="N315" i="11" s="1"/>
  <c r="U315" i="11"/>
  <c r="V314" i="11"/>
  <c r="N314" i="11" s="1"/>
  <c r="U314" i="11"/>
  <c r="V313" i="11"/>
  <c r="N313" i="11" s="1"/>
  <c r="U313" i="11"/>
  <c r="V312" i="11"/>
  <c r="N312" i="11" s="1"/>
  <c r="U312" i="11"/>
  <c r="V311" i="11"/>
  <c r="N311" i="11" s="1"/>
  <c r="U311" i="11"/>
  <c r="V310" i="11"/>
  <c r="N310" i="11" s="1"/>
  <c r="U310" i="11"/>
  <c r="V309" i="11"/>
  <c r="N309" i="11" s="1"/>
  <c r="U309" i="11"/>
  <c r="V308" i="11"/>
  <c r="N308" i="11" s="1"/>
  <c r="U308" i="11"/>
  <c r="V307" i="11"/>
  <c r="N307" i="11" s="1"/>
  <c r="U307" i="11"/>
  <c r="V306" i="11"/>
  <c r="N306" i="11" s="1"/>
  <c r="U306" i="11"/>
  <c r="V305" i="11"/>
  <c r="N305" i="11" s="1"/>
  <c r="U305" i="11"/>
  <c r="V304" i="11"/>
  <c r="N304" i="11" s="1"/>
  <c r="U304" i="11"/>
  <c r="V303" i="11"/>
  <c r="N303" i="11" s="1"/>
  <c r="U303" i="11"/>
  <c r="V302" i="11"/>
  <c r="N302" i="11" s="1"/>
  <c r="U302" i="11"/>
  <c r="V301" i="11"/>
  <c r="N301" i="11" s="1"/>
  <c r="U301" i="11"/>
  <c r="V300" i="11"/>
  <c r="N300" i="11" s="1"/>
  <c r="U300" i="11"/>
  <c r="V299" i="11"/>
  <c r="N299" i="11" s="1"/>
  <c r="U299" i="11"/>
  <c r="V298" i="11"/>
  <c r="N298" i="11" s="1"/>
  <c r="U298" i="11"/>
  <c r="V297" i="11"/>
  <c r="N297" i="11" s="1"/>
  <c r="U297" i="11"/>
  <c r="V296" i="11"/>
  <c r="N296" i="11" s="1"/>
  <c r="U296" i="11"/>
  <c r="V295" i="11"/>
  <c r="N295" i="11" s="1"/>
  <c r="U295" i="11"/>
  <c r="V294" i="11"/>
  <c r="N294" i="11" s="1"/>
  <c r="U294" i="11"/>
  <c r="V293" i="11"/>
  <c r="N293" i="11" s="1"/>
  <c r="U293" i="11"/>
  <c r="V292" i="11"/>
  <c r="N292" i="11" s="1"/>
  <c r="U292" i="11"/>
  <c r="V291" i="11"/>
  <c r="N291" i="11" s="1"/>
  <c r="U291" i="11"/>
  <c r="V290" i="11"/>
  <c r="N290" i="11" s="1"/>
  <c r="U290" i="11"/>
  <c r="V289" i="11"/>
  <c r="N289" i="11" s="1"/>
  <c r="U289" i="11"/>
  <c r="V288" i="11"/>
  <c r="N288" i="11" s="1"/>
  <c r="U288" i="11"/>
  <c r="V287" i="11"/>
  <c r="N287" i="11" s="1"/>
  <c r="U287" i="11"/>
  <c r="V286" i="11"/>
  <c r="N286" i="11" s="1"/>
  <c r="U286" i="11"/>
  <c r="V285" i="11"/>
  <c r="N285" i="11" s="1"/>
  <c r="U285" i="11"/>
  <c r="V284" i="11"/>
  <c r="N284" i="11" s="1"/>
  <c r="U284" i="11"/>
  <c r="V283" i="11"/>
  <c r="N283" i="11" s="1"/>
  <c r="U283" i="11"/>
  <c r="V282" i="11"/>
  <c r="N282" i="11" s="1"/>
  <c r="H98" i="24" s="1"/>
  <c r="U282" i="11"/>
  <c r="V281" i="11"/>
  <c r="N281" i="11" s="1"/>
  <c r="U281" i="11"/>
  <c r="V280" i="11"/>
  <c r="N280" i="11" s="1"/>
  <c r="U280" i="11"/>
  <c r="V279" i="11"/>
  <c r="N279" i="11" s="1"/>
  <c r="U279" i="11"/>
  <c r="V278" i="11"/>
  <c r="N278" i="11" s="1"/>
  <c r="U278" i="11"/>
  <c r="V277" i="11"/>
  <c r="N277" i="11" s="1"/>
  <c r="U277" i="11"/>
  <c r="V276" i="11"/>
  <c r="N276" i="11" s="1"/>
  <c r="U276" i="11"/>
  <c r="V275" i="11"/>
  <c r="N275" i="11" s="1"/>
  <c r="U275" i="11"/>
  <c r="V274" i="11"/>
  <c r="N274" i="11" s="1"/>
  <c r="U274" i="11"/>
  <c r="V273" i="11"/>
  <c r="N273" i="11" s="1"/>
  <c r="U273" i="11"/>
  <c r="V272" i="11"/>
  <c r="N272" i="11" s="1"/>
  <c r="U272" i="11"/>
  <c r="V271" i="11"/>
  <c r="N271" i="11" s="1"/>
  <c r="U271" i="11"/>
  <c r="V270" i="11"/>
  <c r="N270" i="11" s="1"/>
  <c r="U270" i="11"/>
  <c r="V269" i="11"/>
  <c r="N269" i="11" s="1"/>
  <c r="U269" i="11"/>
  <c r="V268" i="11"/>
  <c r="N268" i="11" s="1"/>
  <c r="U268" i="11"/>
  <c r="V267" i="11"/>
  <c r="N267" i="11" s="1"/>
  <c r="U267" i="11"/>
  <c r="V266" i="11"/>
  <c r="N266" i="11" s="1"/>
  <c r="U266" i="11"/>
  <c r="V265" i="11"/>
  <c r="N265" i="11" s="1"/>
  <c r="U265" i="11"/>
  <c r="V264" i="11"/>
  <c r="N264" i="11" s="1"/>
  <c r="U264" i="11"/>
  <c r="V263" i="11"/>
  <c r="N263" i="11" s="1"/>
  <c r="U263" i="11"/>
  <c r="V262" i="11"/>
  <c r="N262" i="11" s="1"/>
  <c r="U262" i="11"/>
  <c r="V261" i="11"/>
  <c r="N261" i="11" s="1"/>
  <c r="U261" i="11"/>
  <c r="V260" i="11"/>
  <c r="N260" i="11" s="1"/>
  <c r="U260" i="11"/>
  <c r="V259" i="11"/>
  <c r="N259" i="11" s="1"/>
  <c r="U259" i="11"/>
  <c r="V258" i="11"/>
  <c r="N258" i="11" s="1"/>
  <c r="U258" i="11"/>
  <c r="V257" i="11"/>
  <c r="N257" i="11" s="1"/>
  <c r="U257" i="11"/>
  <c r="V256" i="11"/>
  <c r="N256" i="11" s="1"/>
  <c r="U256" i="11"/>
  <c r="V255" i="11"/>
  <c r="N255" i="11" s="1"/>
  <c r="U255" i="11"/>
  <c r="V254" i="11"/>
  <c r="N254" i="11" s="1"/>
  <c r="U254" i="11"/>
  <c r="V253" i="11"/>
  <c r="N253" i="11" s="1"/>
  <c r="U253" i="11"/>
  <c r="V252" i="11"/>
  <c r="N252" i="11" s="1"/>
  <c r="U252" i="11"/>
  <c r="V251" i="11"/>
  <c r="N251" i="11" s="1"/>
  <c r="U251" i="11"/>
  <c r="V250" i="11"/>
  <c r="N250" i="11" s="1"/>
  <c r="U250" i="11"/>
  <c r="V249" i="11"/>
  <c r="N249" i="11" s="1"/>
  <c r="U249" i="11"/>
  <c r="V248" i="11"/>
  <c r="N248" i="11" s="1"/>
  <c r="U248" i="11"/>
  <c r="V247" i="11"/>
  <c r="N247" i="11" s="1"/>
  <c r="U247" i="11"/>
  <c r="V246" i="11"/>
  <c r="N246" i="11" s="1"/>
  <c r="U246" i="11"/>
  <c r="V245" i="11"/>
  <c r="N245" i="11" s="1"/>
  <c r="U245" i="11"/>
  <c r="V244" i="11"/>
  <c r="N244" i="11" s="1"/>
  <c r="U244" i="11"/>
  <c r="V243" i="11"/>
  <c r="N243" i="11" s="1"/>
  <c r="U243" i="11"/>
  <c r="V242" i="11"/>
  <c r="N242" i="11" s="1"/>
  <c r="U242" i="11"/>
  <c r="V241" i="11"/>
  <c r="N241" i="11" s="1"/>
  <c r="U241" i="11"/>
  <c r="V240" i="11"/>
  <c r="N240" i="11" s="1"/>
  <c r="H97" i="24" s="1"/>
  <c r="U240" i="11"/>
  <c r="V239" i="11"/>
  <c r="N239" i="11" s="1"/>
  <c r="U239" i="11"/>
  <c r="V238" i="11"/>
  <c r="N238" i="11" s="1"/>
  <c r="H96" i="24" s="1"/>
  <c r="U238" i="11"/>
  <c r="V237" i="11"/>
  <c r="N237" i="11" s="1"/>
  <c r="U237" i="11"/>
  <c r="V236" i="11"/>
  <c r="N236" i="11" s="1"/>
  <c r="U236" i="11"/>
  <c r="V235" i="11"/>
  <c r="N235" i="11" s="1"/>
  <c r="U235" i="11"/>
  <c r="V234" i="11"/>
  <c r="N234" i="11" s="1"/>
  <c r="U234" i="11"/>
  <c r="V233" i="11"/>
  <c r="N233" i="11" s="1"/>
  <c r="U233" i="11"/>
  <c r="V232" i="11"/>
  <c r="N232" i="11" s="1"/>
  <c r="U232" i="11"/>
  <c r="V231" i="11"/>
  <c r="N231" i="11" s="1"/>
  <c r="U231" i="11"/>
  <c r="V230" i="11"/>
  <c r="N230" i="11" s="1"/>
  <c r="U230" i="11"/>
  <c r="V229" i="11"/>
  <c r="N229" i="11" s="1"/>
  <c r="U229" i="11"/>
  <c r="V228" i="11"/>
  <c r="N228" i="11" s="1"/>
  <c r="U228" i="11"/>
  <c r="V227" i="11"/>
  <c r="N227" i="11" s="1"/>
  <c r="U227" i="11"/>
  <c r="V226" i="11"/>
  <c r="N226" i="11" s="1"/>
  <c r="U226" i="11"/>
  <c r="V225" i="11"/>
  <c r="N225" i="11" s="1"/>
  <c r="U225" i="11"/>
  <c r="V224" i="11"/>
  <c r="N224" i="11" s="1"/>
  <c r="U224" i="11"/>
  <c r="V223" i="11"/>
  <c r="N223" i="11" s="1"/>
  <c r="U223" i="11"/>
  <c r="V222" i="11"/>
  <c r="N222" i="11" s="1"/>
  <c r="U222" i="11"/>
  <c r="V221" i="11"/>
  <c r="N221" i="11" s="1"/>
  <c r="U221" i="11"/>
  <c r="V220" i="11"/>
  <c r="N220" i="11" s="1"/>
  <c r="H94" i="24" s="1"/>
  <c r="U220" i="11"/>
  <c r="V219" i="11"/>
  <c r="N219" i="11" s="1"/>
  <c r="U219" i="11"/>
  <c r="V218" i="11"/>
  <c r="N218" i="11" s="1"/>
  <c r="U218" i="11"/>
  <c r="V217" i="11"/>
  <c r="N217" i="11" s="1"/>
  <c r="U217" i="11"/>
  <c r="V216" i="11"/>
  <c r="N216" i="11" s="1"/>
  <c r="U216" i="11"/>
  <c r="V215" i="11"/>
  <c r="N215" i="11" s="1"/>
  <c r="U215" i="11"/>
  <c r="V214" i="11"/>
  <c r="N214" i="11" s="1"/>
  <c r="U214" i="11"/>
  <c r="V213" i="11"/>
  <c r="N213" i="11" s="1"/>
  <c r="U213" i="11"/>
  <c r="V212" i="11"/>
  <c r="N212" i="11" s="1"/>
  <c r="U212" i="11"/>
  <c r="V211" i="11"/>
  <c r="N211" i="11" s="1"/>
  <c r="U211" i="11"/>
  <c r="V210" i="11"/>
  <c r="N210" i="11" s="1"/>
  <c r="U210" i="11"/>
  <c r="V209" i="11"/>
  <c r="N209" i="11" s="1"/>
  <c r="H93" i="24" s="1"/>
  <c r="U209" i="11"/>
  <c r="V208" i="11"/>
  <c r="N208" i="11" s="1"/>
  <c r="U208" i="11"/>
  <c r="V207" i="11"/>
  <c r="N207" i="11" s="1"/>
  <c r="U207" i="11"/>
  <c r="V206" i="11"/>
  <c r="N206" i="11" s="1"/>
  <c r="U206" i="11"/>
  <c r="V205" i="11"/>
  <c r="N205" i="11" s="1"/>
  <c r="U205" i="11"/>
  <c r="V204" i="11"/>
  <c r="N204" i="11" s="1"/>
  <c r="U204" i="11"/>
  <c r="V203" i="11"/>
  <c r="N203" i="11" s="1"/>
  <c r="U203" i="11"/>
  <c r="V202" i="11"/>
  <c r="N202" i="11" s="1"/>
  <c r="U202" i="11"/>
  <c r="V201" i="11"/>
  <c r="N201" i="11" s="1"/>
  <c r="H95" i="24" s="1"/>
  <c r="U201" i="11"/>
  <c r="V200" i="11"/>
  <c r="N200" i="11" s="1"/>
  <c r="U200" i="11"/>
  <c r="V199" i="11"/>
  <c r="N199" i="11" s="1"/>
  <c r="U199" i="11"/>
  <c r="V198" i="11"/>
  <c r="N198" i="11" s="1"/>
  <c r="U198" i="11"/>
  <c r="V197" i="11"/>
  <c r="N197" i="11" s="1"/>
  <c r="U197" i="11"/>
  <c r="V196" i="11"/>
  <c r="N196" i="11" s="1"/>
  <c r="U196" i="11"/>
  <c r="V195" i="11"/>
  <c r="N195" i="11" s="1"/>
  <c r="U195" i="11"/>
  <c r="V194" i="11"/>
  <c r="N194" i="11" s="1"/>
  <c r="U194" i="11"/>
  <c r="V193" i="11"/>
  <c r="N193" i="11" s="1"/>
  <c r="U193" i="11"/>
  <c r="V192" i="11"/>
  <c r="N192" i="11" s="1"/>
  <c r="U192" i="11"/>
  <c r="V191" i="11"/>
  <c r="N191" i="11" s="1"/>
  <c r="U191" i="11"/>
  <c r="V190" i="11"/>
  <c r="N190" i="11" s="1"/>
  <c r="U190" i="11"/>
  <c r="V189" i="11"/>
  <c r="N189" i="11" s="1"/>
  <c r="U189" i="11"/>
  <c r="V188" i="11"/>
  <c r="N188" i="11" s="1"/>
  <c r="U188" i="11"/>
  <c r="V187" i="11"/>
  <c r="N187" i="11" s="1"/>
  <c r="U187" i="11"/>
  <c r="V186" i="11"/>
  <c r="N186" i="11" s="1"/>
  <c r="U186" i="11"/>
  <c r="V185" i="11"/>
  <c r="N185" i="11" s="1"/>
  <c r="U185" i="11"/>
  <c r="V184" i="11"/>
  <c r="N184" i="11" s="1"/>
  <c r="U184" i="11"/>
  <c r="V183" i="11"/>
  <c r="N183" i="11" s="1"/>
  <c r="U183" i="11"/>
  <c r="V182" i="11"/>
  <c r="N182" i="11" s="1"/>
  <c r="U182" i="11"/>
  <c r="V181" i="11"/>
  <c r="N181" i="11" s="1"/>
  <c r="U181" i="11"/>
  <c r="V180" i="11"/>
  <c r="N180" i="11" s="1"/>
  <c r="U180" i="11"/>
  <c r="V179" i="11"/>
  <c r="N179" i="11" s="1"/>
  <c r="U179" i="11"/>
  <c r="V178" i="11"/>
  <c r="N178" i="11" s="1"/>
  <c r="U178" i="11"/>
  <c r="V177" i="11"/>
  <c r="N177" i="11" s="1"/>
  <c r="U177" i="11"/>
  <c r="V176" i="11"/>
  <c r="N176" i="11" s="1"/>
  <c r="U176" i="11"/>
  <c r="V175" i="11"/>
  <c r="N175" i="11" s="1"/>
  <c r="U175" i="11"/>
  <c r="V174" i="11"/>
  <c r="N174" i="11" s="1"/>
  <c r="U174" i="11"/>
  <c r="V173" i="11"/>
  <c r="N173" i="11" s="1"/>
  <c r="U173" i="11"/>
  <c r="V172" i="11"/>
  <c r="N172" i="11" s="1"/>
  <c r="U172" i="11"/>
  <c r="V171" i="11"/>
  <c r="N171" i="11" s="1"/>
  <c r="U171" i="11"/>
  <c r="V170" i="11"/>
  <c r="N170" i="11" s="1"/>
  <c r="U170" i="11"/>
  <c r="V169" i="11"/>
  <c r="N169" i="11" s="1"/>
  <c r="U169" i="11"/>
  <c r="V168" i="11"/>
  <c r="N168" i="11" s="1"/>
  <c r="U168" i="11"/>
  <c r="V167" i="11"/>
  <c r="N167" i="11" s="1"/>
  <c r="U167" i="11"/>
  <c r="V166" i="11"/>
  <c r="N166" i="11" s="1"/>
  <c r="U166" i="11"/>
  <c r="V165" i="11"/>
  <c r="N165" i="11" s="1"/>
  <c r="U165" i="11"/>
  <c r="V164" i="11"/>
  <c r="N164" i="11" s="1"/>
  <c r="U164" i="11"/>
  <c r="V163" i="11"/>
  <c r="N163" i="11" s="1"/>
  <c r="U163" i="11"/>
  <c r="V162" i="11"/>
  <c r="N162" i="11" s="1"/>
  <c r="U162" i="11"/>
  <c r="V161" i="11"/>
  <c r="N161" i="11" s="1"/>
  <c r="U161" i="11"/>
  <c r="V160" i="11"/>
  <c r="N160" i="11" s="1"/>
  <c r="U160" i="11"/>
  <c r="V159" i="11"/>
  <c r="N159" i="11" s="1"/>
  <c r="U159" i="11"/>
  <c r="V158" i="11"/>
  <c r="N158" i="11" s="1"/>
  <c r="U158" i="11"/>
  <c r="V157" i="11"/>
  <c r="N157" i="11" s="1"/>
  <c r="U157" i="11"/>
  <c r="V156" i="11"/>
  <c r="N156" i="11" s="1"/>
  <c r="U156" i="11"/>
  <c r="V155" i="11"/>
  <c r="N155" i="11" s="1"/>
  <c r="U155" i="11"/>
  <c r="V154" i="11"/>
  <c r="N154" i="11" s="1"/>
  <c r="U154" i="11"/>
  <c r="V153" i="11"/>
  <c r="N153" i="11" s="1"/>
  <c r="U153" i="11"/>
  <c r="V152" i="11"/>
  <c r="N152" i="11" s="1"/>
  <c r="U152" i="11"/>
  <c r="V151" i="11"/>
  <c r="N151" i="11" s="1"/>
  <c r="U151" i="11"/>
  <c r="V150" i="11"/>
  <c r="N150" i="11" s="1"/>
  <c r="M29" i="33" s="1"/>
  <c r="N29" i="33" s="1"/>
  <c r="U150" i="11"/>
  <c r="V149" i="11"/>
  <c r="N149" i="11" s="1"/>
  <c r="U149" i="11"/>
  <c r="V148" i="11"/>
  <c r="N148" i="11" s="1"/>
  <c r="U148" i="11"/>
  <c r="V147" i="11"/>
  <c r="N147" i="11" s="1"/>
  <c r="U147" i="11"/>
  <c r="V146" i="11"/>
  <c r="N146" i="11" s="1"/>
  <c r="U146" i="11"/>
  <c r="V145" i="11"/>
  <c r="N145" i="11" s="1"/>
  <c r="U145" i="11"/>
  <c r="V144" i="11"/>
  <c r="N144" i="11" s="1"/>
  <c r="U144" i="11"/>
  <c r="V143" i="11"/>
  <c r="N143" i="11" s="1"/>
  <c r="U143" i="11"/>
  <c r="V142" i="11"/>
  <c r="N142" i="11" s="1"/>
  <c r="U142" i="11"/>
  <c r="V141" i="11"/>
  <c r="N141" i="11" s="1"/>
  <c r="U141" i="11"/>
  <c r="V140" i="11"/>
  <c r="N140" i="11" s="1"/>
  <c r="H92" i="24" s="1"/>
  <c r="U140" i="11"/>
  <c r="V139" i="11"/>
  <c r="N139" i="11" s="1"/>
  <c r="U139" i="11"/>
  <c r="V138" i="11"/>
  <c r="N138" i="11" s="1"/>
  <c r="U138" i="11"/>
  <c r="V137" i="11"/>
  <c r="N137" i="11" s="1"/>
  <c r="U137" i="11"/>
  <c r="V136" i="11"/>
  <c r="N136" i="11" s="1"/>
  <c r="U136" i="11"/>
  <c r="V135" i="11"/>
  <c r="N135" i="11" s="1"/>
  <c r="U135" i="11"/>
  <c r="V134" i="11"/>
  <c r="N134" i="11" s="1"/>
  <c r="U134" i="11"/>
  <c r="V133" i="11"/>
  <c r="N133" i="11" s="1"/>
  <c r="U133" i="11"/>
  <c r="V132" i="11"/>
  <c r="N132" i="11" s="1"/>
  <c r="U132" i="11"/>
  <c r="V131" i="11"/>
  <c r="N131" i="11" s="1"/>
  <c r="U131" i="11"/>
  <c r="V130" i="11"/>
  <c r="N130" i="11" s="1"/>
  <c r="U130" i="11"/>
  <c r="V129" i="11"/>
  <c r="N129" i="11" s="1"/>
  <c r="U129" i="11"/>
  <c r="V128" i="11"/>
  <c r="N128" i="11" s="1"/>
  <c r="U128" i="11"/>
  <c r="V127" i="11"/>
  <c r="N127" i="11" s="1"/>
  <c r="U127" i="11"/>
  <c r="V126" i="11"/>
  <c r="N126" i="11" s="1"/>
  <c r="U126" i="11"/>
  <c r="V125" i="11"/>
  <c r="N125" i="11" s="1"/>
  <c r="U125" i="11"/>
  <c r="V124" i="11"/>
  <c r="N124" i="11" s="1"/>
  <c r="U124" i="11"/>
  <c r="V123" i="11"/>
  <c r="N123" i="11" s="1"/>
  <c r="U123" i="11"/>
  <c r="V122" i="11"/>
  <c r="N122" i="11" s="1"/>
  <c r="U122" i="11"/>
  <c r="V121" i="11"/>
  <c r="N121" i="11" s="1"/>
  <c r="U121" i="11"/>
  <c r="V120" i="11"/>
  <c r="N120" i="11" s="1"/>
  <c r="U120" i="11"/>
  <c r="V119" i="11"/>
  <c r="N119" i="11" s="1"/>
  <c r="U119" i="11"/>
  <c r="V118" i="11"/>
  <c r="N118" i="11" s="1"/>
  <c r="U118" i="11"/>
  <c r="V117" i="11"/>
  <c r="N117" i="11" s="1"/>
  <c r="U117" i="11"/>
  <c r="V116" i="11"/>
  <c r="N116" i="11" s="1"/>
  <c r="U116" i="11"/>
  <c r="V115" i="11"/>
  <c r="N115" i="11" s="1"/>
  <c r="U115" i="11"/>
  <c r="V114" i="11"/>
  <c r="N114" i="11" s="1"/>
  <c r="U114" i="11"/>
  <c r="V113" i="11"/>
  <c r="N113" i="11" s="1"/>
  <c r="U113" i="11"/>
  <c r="V112" i="11"/>
  <c r="N112" i="11" s="1"/>
  <c r="U112" i="11"/>
  <c r="V111" i="11"/>
  <c r="N111" i="11" s="1"/>
  <c r="U111" i="11"/>
  <c r="V110" i="11"/>
  <c r="N110" i="11" s="1"/>
  <c r="U110" i="11"/>
  <c r="V109" i="11"/>
  <c r="N109" i="11" s="1"/>
  <c r="U109" i="11"/>
  <c r="V108" i="11"/>
  <c r="N108" i="11" s="1"/>
  <c r="U108" i="11"/>
  <c r="V107" i="11"/>
  <c r="N107" i="11" s="1"/>
  <c r="U107" i="11"/>
  <c r="V106" i="11"/>
  <c r="N106" i="11" s="1"/>
  <c r="U106" i="11"/>
  <c r="V105" i="11"/>
  <c r="N105" i="11" s="1"/>
  <c r="U105" i="11"/>
  <c r="V104" i="11"/>
  <c r="N104" i="11" s="1"/>
  <c r="H91" i="24" s="1"/>
  <c r="U104" i="11"/>
  <c r="V103" i="11"/>
  <c r="N103" i="11" s="1"/>
  <c r="U103" i="11"/>
  <c r="V102" i="11"/>
  <c r="N102" i="11" s="1"/>
  <c r="U102" i="11"/>
  <c r="V101" i="11"/>
  <c r="N101" i="11" s="1"/>
  <c r="U101" i="11"/>
  <c r="V100" i="11"/>
  <c r="N100" i="11" s="1"/>
  <c r="U100" i="11"/>
  <c r="V99" i="11"/>
  <c r="N99" i="11" s="1"/>
  <c r="U99" i="11"/>
  <c r="V98" i="11"/>
  <c r="N98" i="11" s="1"/>
  <c r="U98" i="11"/>
  <c r="V97" i="11"/>
  <c r="N97" i="11" s="1"/>
  <c r="U97" i="11"/>
  <c r="V96" i="11"/>
  <c r="N96" i="11" s="1"/>
  <c r="U96" i="11"/>
  <c r="V95" i="11"/>
  <c r="N95" i="11" s="1"/>
  <c r="U95" i="11"/>
  <c r="V94" i="11"/>
  <c r="N94" i="11" s="1"/>
  <c r="U94" i="11"/>
  <c r="V93" i="11"/>
  <c r="N93" i="11" s="1"/>
  <c r="U93" i="11"/>
  <c r="V92" i="11"/>
  <c r="N92" i="11" s="1"/>
  <c r="U92" i="11"/>
  <c r="V91" i="11"/>
  <c r="N91" i="11" s="1"/>
  <c r="U91" i="11"/>
  <c r="V90" i="11"/>
  <c r="N90" i="11" s="1"/>
  <c r="U90" i="11"/>
  <c r="V89" i="11"/>
  <c r="N89" i="11" s="1"/>
  <c r="U89" i="11"/>
  <c r="V88" i="11"/>
  <c r="N88" i="11" s="1"/>
  <c r="U88" i="11"/>
  <c r="V87" i="11"/>
  <c r="N87" i="11" s="1"/>
  <c r="U87" i="11"/>
  <c r="V86" i="11"/>
  <c r="N86" i="11" s="1"/>
  <c r="U86" i="11"/>
  <c r="V85" i="11"/>
  <c r="N85" i="11" s="1"/>
  <c r="U85" i="11"/>
  <c r="V84" i="11"/>
  <c r="N84" i="11" s="1"/>
  <c r="U84" i="11"/>
  <c r="V83" i="11"/>
  <c r="N83" i="11" s="1"/>
  <c r="U83" i="11"/>
  <c r="V82" i="11"/>
  <c r="N82" i="11" s="1"/>
  <c r="U82" i="11"/>
  <c r="V81" i="11"/>
  <c r="N81" i="11" s="1"/>
  <c r="U81" i="11"/>
  <c r="V80" i="11"/>
  <c r="N80" i="11" s="1"/>
  <c r="U80" i="11"/>
  <c r="V79" i="11"/>
  <c r="N79" i="11" s="1"/>
  <c r="U79" i="11"/>
  <c r="V78" i="11"/>
  <c r="N78" i="11" s="1"/>
  <c r="U78" i="11"/>
  <c r="V77" i="11"/>
  <c r="N77" i="11" s="1"/>
  <c r="U77" i="11"/>
  <c r="V76" i="11"/>
  <c r="N76" i="11" s="1"/>
  <c r="U76" i="11"/>
  <c r="V75" i="11"/>
  <c r="N75" i="11" s="1"/>
  <c r="U75" i="11"/>
  <c r="V74" i="11"/>
  <c r="N74" i="11" s="1"/>
  <c r="U74" i="11"/>
  <c r="V73" i="11"/>
  <c r="N73" i="11" s="1"/>
  <c r="U73" i="11"/>
  <c r="V72" i="11"/>
  <c r="N72" i="11" s="1"/>
  <c r="U72" i="11"/>
  <c r="V71" i="11"/>
  <c r="N71" i="11" s="1"/>
  <c r="U71" i="11"/>
  <c r="V70" i="11"/>
  <c r="N70" i="11" s="1"/>
  <c r="U70" i="11"/>
  <c r="V69" i="11"/>
  <c r="N69" i="11" s="1"/>
  <c r="U69" i="11"/>
  <c r="V68" i="11"/>
  <c r="N68" i="11" s="1"/>
  <c r="U68" i="11"/>
  <c r="V67" i="11"/>
  <c r="N67" i="11" s="1"/>
  <c r="U67" i="11"/>
  <c r="V66" i="11"/>
  <c r="N66" i="11" s="1"/>
  <c r="U66" i="11"/>
  <c r="V65" i="11"/>
  <c r="N65" i="11" s="1"/>
  <c r="U65" i="11"/>
  <c r="V64" i="11"/>
  <c r="N64" i="11" s="1"/>
  <c r="U64" i="11"/>
  <c r="V63" i="11"/>
  <c r="N63" i="11" s="1"/>
  <c r="U63" i="11"/>
  <c r="V62" i="11"/>
  <c r="N62" i="11" s="1"/>
  <c r="U62" i="11"/>
  <c r="V61" i="11"/>
  <c r="N61" i="11" s="1"/>
  <c r="U61" i="11"/>
  <c r="V60" i="11"/>
  <c r="N60" i="11" s="1"/>
  <c r="U60" i="11"/>
  <c r="V59" i="11"/>
  <c r="N59" i="11" s="1"/>
  <c r="U59" i="11"/>
  <c r="V58" i="11"/>
  <c r="N58" i="11" s="1"/>
  <c r="U58" i="11"/>
  <c r="V57" i="11"/>
  <c r="N57" i="11" s="1"/>
  <c r="U57" i="11"/>
  <c r="V56" i="11"/>
  <c r="N56" i="11" s="1"/>
  <c r="U56" i="11"/>
  <c r="V55" i="11"/>
  <c r="N55" i="11" s="1"/>
  <c r="U55" i="11"/>
  <c r="V54" i="11"/>
  <c r="N54" i="11" s="1"/>
  <c r="U54" i="11"/>
  <c r="V53" i="11"/>
  <c r="N53" i="11" s="1"/>
  <c r="U53" i="11"/>
  <c r="V52" i="11"/>
  <c r="N52" i="11" s="1"/>
  <c r="U52" i="11"/>
  <c r="V51" i="11"/>
  <c r="N51" i="11" s="1"/>
  <c r="U51" i="11"/>
  <c r="V50" i="11"/>
  <c r="N50" i="11" s="1"/>
  <c r="U50" i="11"/>
  <c r="V49" i="11"/>
  <c r="N49" i="11" s="1"/>
  <c r="U49" i="11"/>
  <c r="V48" i="11"/>
  <c r="N48" i="11" s="1"/>
  <c r="U48" i="11"/>
  <c r="V47" i="11"/>
  <c r="N47" i="11" s="1"/>
  <c r="U47" i="11"/>
  <c r="V46" i="11"/>
  <c r="N46" i="11" s="1"/>
  <c r="U46" i="11"/>
  <c r="V45" i="11"/>
  <c r="N45" i="11" s="1"/>
  <c r="U45" i="11"/>
  <c r="V44" i="11"/>
  <c r="N44" i="11" s="1"/>
  <c r="U44" i="11"/>
  <c r="V43" i="11"/>
  <c r="N43" i="11" s="1"/>
  <c r="U43" i="11"/>
  <c r="V42" i="11"/>
  <c r="N42" i="11" s="1"/>
  <c r="U42" i="11"/>
  <c r="V41" i="11"/>
  <c r="N41" i="11" s="1"/>
  <c r="U41" i="11"/>
  <c r="V40" i="11"/>
  <c r="N40" i="11" s="1"/>
  <c r="U40" i="11"/>
  <c r="V39" i="11"/>
  <c r="N39" i="11" s="1"/>
  <c r="U39" i="11"/>
  <c r="V38" i="11"/>
  <c r="N38" i="11" s="1"/>
  <c r="U38" i="11"/>
  <c r="V37" i="11"/>
  <c r="N37" i="11" s="1"/>
  <c r="U37" i="11"/>
  <c r="V36" i="11"/>
  <c r="N36" i="11" s="1"/>
  <c r="U36" i="11"/>
  <c r="V35" i="11"/>
  <c r="N35" i="11" s="1"/>
  <c r="U35" i="11"/>
  <c r="V34" i="11"/>
  <c r="N34" i="11" s="1"/>
  <c r="U34" i="11"/>
  <c r="V33" i="11"/>
  <c r="N33" i="11" s="1"/>
  <c r="U33" i="11"/>
  <c r="V32" i="11"/>
  <c r="N32" i="11" s="1"/>
  <c r="U32" i="11"/>
  <c r="V31" i="11"/>
  <c r="N31" i="11" s="1"/>
  <c r="U31" i="11"/>
  <c r="V30" i="11"/>
  <c r="N30" i="11" s="1"/>
  <c r="U30" i="11"/>
  <c r="V29" i="11"/>
  <c r="N29" i="11" s="1"/>
  <c r="U29" i="11"/>
  <c r="V28" i="11"/>
  <c r="N28" i="11" s="1"/>
  <c r="U28" i="11"/>
  <c r="V27" i="11"/>
  <c r="N27" i="11" s="1"/>
  <c r="U27" i="11"/>
  <c r="V26" i="11"/>
  <c r="N26" i="11" s="1"/>
  <c r="U26" i="11"/>
  <c r="V25" i="11"/>
  <c r="N25" i="11" s="1"/>
  <c r="U25" i="11"/>
  <c r="V24" i="11"/>
  <c r="N24" i="11" s="1"/>
  <c r="U24" i="11"/>
  <c r="V23" i="11"/>
  <c r="N23" i="11" s="1"/>
  <c r="U23" i="11"/>
  <c r="V22" i="11"/>
  <c r="N22" i="11" s="1"/>
  <c r="U22" i="11"/>
  <c r="V21" i="11"/>
  <c r="N21" i="11" s="1"/>
  <c r="U21" i="11"/>
  <c r="V20" i="11"/>
  <c r="N20" i="11" s="1"/>
  <c r="U20" i="11"/>
  <c r="V19" i="11"/>
  <c r="N19" i="11" s="1"/>
  <c r="U19" i="11"/>
  <c r="V18" i="11"/>
  <c r="N18" i="11" s="1"/>
  <c r="U18" i="11"/>
  <c r="V17" i="11"/>
  <c r="N17" i="11" s="1"/>
  <c r="U17" i="11"/>
  <c r="V16" i="11"/>
  <c r="N16" i="11" s="1"/>
  <c r="U16" i="11"/>
  <c r="V15" i="11"/>
  <c r="N15" i="11" s="1"/>
  <c r="U15" i="11"/>
  <c r="V14" i="11"/>
  <c r="N14" i="11" s="1"/>
  <c r="U14" i="11"/>
  <c r="V13" i="11"/>
  <c r="N13" i="11" s="1"/>
  <c r="U13" i="11"/>
  <c r="V12" i="11"/>
  <c r="N12" i="11" s="1"/>
  <c r="U12" i="11"/>
  <c r="V11" i="11"/>
  <c r="N11" i="11" s="1"/>
  <c r="U11" i="11"/>
  <c r="V10" i="11"/>
  <c r="N10" i="11" s="1"/>
  <c r="U10" i="11"/>
  <c r="V9" i="11"/>
  <c r="N9" i="11" s="1"/>
  <c r="U9" i="11"/>
  <c r="V8" i="11"/>
  <c r="N8" i="11" s="1"/>
  <c r="M32" i="33" s="1"/>
  <c r="N32" i="33" s="1"/>
  <c r="U8" i="11"/>
  <c r="V7" i="11"/>
  <c r="N7" i="11" s="1"/>
  <c r="U7" i="11"/>
  <c r="V6" i="11"/>
  <c r="U6" i="11"/>
  <c r="B326" i="11"/>
  <c r="B325" i="11"/>
  <c r="B324" i="11"/>
  <c r="B323" i="11"/>
  <c r="B322" i="11"/>
  <c r="B321" i="11"/>
  <c r="B320" i="11"/>
  <c r="B319" i="11"/>
  <c r="B318" i="11"/>
  <c r="B317" i="11"/>
  <c r="B316" i="11"/>
  <c r="B315" i="11"/>
  <c r="B314" i="11"/>
  <c r="B313" i="11"/>
  <c r="B312" i="11"/>
  <c r="B311" i="11"/>
  <c r="B310" i="11"/>
  <c r="B309" i="11"/>
  <c r="B308" i="11"/>
  <c r="B307" i="11"/>
  <c r="B306" i="11"/>
  <c r="B305" i="11"/>
  <c r="B304" i="11"/>
  <c r="B303" i="11"/>
  <c r="B302" i="11"/>
  <c r="B301" i="11"/>
  <c r="B300" i="11"/>
  <c r="B299" i="11"/>
  <c r="B298" i="11"/>
  <c r="B297" i="11"/>
  <c r="B296" i="11"/>
  <c r="B295" i="11"/>
  <c r="B294" i="11"/>
  <c r="B293" i="11"/>
  <c r="B292" i="11"/>
  <c r="B291" i="11"/>
  <c r="B290" i="11"/>
  <c r="B289" i="11"/>
  <c r="B288" i="11"/>
  <c r="B287" i="11"/>
  <c r="B286" i="11"/>
  <c r="B285" i="11"/>
  <c r="B284" i="11"/>
  <c r="B283" i="11"/>
  <c r="B282" i="11"/>
  <c r="B281" i="11"/>
  <c r="B280" i="11"/>
  <c r="B279" i="11"/>
  <c r="B278" i="11"/>
  <c r="B277" i="11"/>
  <c r="B276" i="11"/>
  <c r="B275" i="11"/>
  <c r="B274" i="11"/>
  <c r="B273" i="11"/>
  <c r="B272" i="11"/>
  <c r="B271" i="11"/>
  <c r="B270" i="11"/>
  <c r="B269" i="11"/>
  <c r="B268" i="11"/>
  <c r="B267" i="11"/>
  <c r="B266" i="11"/>
  <c r="B265" i="11"/>
  <c r="B264" i="11"/>
  <c r="B263" i="11"/>
  <c r="B262" i="11"/>
  <c r="B261" i="11"/>
  <c r="B260" i="11"/>
  <c r="B259" i="11"/>
  <c r="B258" i="11"/>
  <c r="B257" i="11"/>
  <c r="B256" i="11"/>
  <c r="B255" i="11"/>
  <c r="B254" i="11"/>
  <c r="B253" i="11"/>
  <c r="B252" i="11"/>
  <c r="B251" i="11"/>
  <c r="B250" i="11"/>
  <c r="B249" i="11"/>
  <c r="B248" i="11"/>
  <c r="B247" i="11"/>
  <c r="B246" i="11"/>
  <c r="B245" i="11"/>
  <c r="B244" i="11"/>
  <c r="B243" i="11"/>
  <c r="B242" i="11"/>
  <c r="B241" i="11"/>
  <c r="B240" i="11"/>
  <c r="B239" i="11"/>
  <c r="B238" i="11"/>
  <c r="B237" i="11"/>
  <c r="B236" i="11"/>
  <c r="B235" i="11"/>
  <c r="B234" i="11"/>
  <c r="B233" i="11"/>
  <c r="B232" i="11"/>
  <c r="B231" i="11"/>
  <c r="B230" i="11"/>
  <c r="B229" i="11"/>
  <c r="B228" i="11"/>
  <c r="B227" i="11"/>
  <c r="B226" i="11"/>
  <c r="B225" i="11"/>
  <c r="B224" i="11"/>
  <c r="B223" i="11"/>
  <c r="B222" i="11"/>
  <c r="B221" i="11"/>
  <c r="B220" i="11"/>
  <c r="B219" i="11"/>
  <c r="B218" i="11"/>
  <c r="B217" i="11"/>
  <c r="B216" i="11"/>
  <c r="B215" i="11"/>
  <c r="B214" i="11"/>
  <c r="B213" i="11"/>
  <c r="B212" i="11"/>
  <c r="B211" i="11"/>
  <c r="B210" i="11"/>
  <c r="B209" i="11"/>
  <c r="B208" i="11"/>
  <c r="B207" i="11"/>
  <c r="B206" i="11"/>
  <c r="B205" i="11"/>
  <c r="B204" i="11"/>
  <c r="B203" i="11"/>
  <c r="B202" i="11"/>
  <c r="B201" i="11"/>
  <c r="B200" i="11"/>
  <c r="B199" i="11"/>
  <c r="B198" i="11"/>
  <c r="B197" i="11"/>
  <c r="B196" i="11"/>
  <c r="B195" i="11"/>
  <c r="B194" i="11"/>
  <c r="B193" i="11"/>
  <c r="B192" i="11"/>
  <c r="B191" i="11"/>
  <c r="B190" i="11"/>
  <c r="B189" i="11"/>
  <c r="B188" i="11"/>
  <c r="B187" i="11"/>
  <c r="B186" i="11"/>
  <c r="B185" i="11"/>
  <c r="B184" i="11"/>
  <c r="B183" i="11"/>
  <c r="B182" i="11"/>
  <c r="B181" i="11"/>
  <c r="B180" i="11"/>
  <c r="B179" i="11"/>
  <c r="B178" i="11"/>
  <c r="B177" i="11"/>
  <c r="B176" i="11"/>
  <c r="B175" i="11"/>
  <c r="B174" i="11"/>
  <c r="B173" i="11"/>
  <c r="B172" i="11"/>
  <c r="B171" i="11"/>
  <c r="B170" i="11"/>
  <c r="B169" i="11"/>
  <c r="B168" i="11"/>
  <c r="B167" i="11"/>
  <c r="B166" i="11"/>
  <c r="B165" i="11"/>
  <c r="B164" i="11"/>
  <c r="B163" i="11"/>
  <c r="B162" i="11"/>
  <c r="B161" i="11"/>
  <c r="B160" i="11"/>
  <c r="B159" i="11"/>
  <c r="B158" i="11"/>
  <c r="B157" i="11"/>
  <c r="B156" i="11"/>
  <c r="B155" i="11"/>
  <c r="B154" i="11"/>
  <c r="B153" i="11"/>
  <c r="B152" i="11"/>
  <c r="B151" i="11"/>
  <c r="B150" i="11"/>
  <c r="B149" i="11"/>
  <c r="B148" i="11"/>
  <c r="B147" i="11"/>
  <c r="B146" i="11"/>
  <c r="B145" i="11"/>
  <c r="B144" i="11"/>
  <c r="B143" i="11"/>
  <c r="B142" i="11"/>
  <c r="B141" i="11"/>
  <c r="B140" i="11"/>
  <c r="B139" i="11"/>
  <c r="B138" i="11"/>
  <c r="B137" i="11"/>
  <c r="B136" i="11"/>
  <c r="B135" i="11"/>
  <c r="B134" i="11"/>
  <c r="B133" i="11"/>
  <c r="B132" i="11"/>
  <c r="B131" i="11"/>
  <c r="B130" i="11"/>
  <c r="B129" i="11"/>
  <c r="B128" i="11"/>
  <c r="B127" i="11"/>
  <c r="B126" i="11"/>
  <c r="B125" i="11"/>
  <c r="B124" i="11"/>
  <c r="B123" i="11"/>
  <c r="B122" i="11"/>
  <c r="B121" i="11"/>
  <c r="B120" i="11"/>
  <c r="B119" i="11"/>
  <c r="B118" i="11"/>
  <c r="B117" i="11"/>
  <c r="B116" i="11"/>
  <c r="B115" i="11"/>
  <c r="B114" i="11"/>
  <c r="B113" i="11"/>
  <c r="B112" i="11"/>
  <c r="B111" i="11"/>
  <c r="B110" i="11"/>
  <c r="B109" i="11"/>
  <c r="B108" i="11"/>
  <c r="B107" i="11"/>
  <c r="B106" i="11"/>
  <c r="B105" i="11"/>
  <c r="B104" i="11"/>
  <c r="B103" i="11"/>
  <c r="B102" i="11"/>
  <c r="B101" i="11"/>
  <c r="B100" i="11"/>
  <c r="B99" i="11"/>
  <c r="B98" i="11"/>
  <c r="B97" i="11"/>
  <c r="B96" i="11"/>
  <c r="B95" i="11"/>
  <c r="B94" i="11"/>
  <c r="B93" i="11"/>
  <c r="B92" i="11"/>
  <c r="B91" i="11"/>
  <c r="B90" i="11"/>
  <c r="B89" i="11"/>
  <c r="B88" i="11"/>
  <c r="B87" i="11"/>
  <c r="B86" i="11"/>
  <c r="B85" i="11"/>
  <c r="B84" i="11"/>
  <c r="B83" i="11"/>
  <c r="B82" i="11"/>
  <c r="B81" i="11"/>
  <c r="B80" i="11"/>
  <c r="B79" i="11"/>
  <c r="B78" i="11"/>
  <c r="B77" i="11"/>
  <c r="B76" i="11"/>
  <c r="B75" i="11"/>
  <c r="B74" i="11"/>
  <c r="B73" i="11"/>
  <c r="B72" i="11"/>
  <c r="B71" i="11"/>
  <c r="B70" i="11"/>
  <c r="B69" i="11"/>
  <c r="B68" i="11"/>
  <c r="B67" i="11"/>
  <c r="B66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2" i="11"/>
  <c r="B11" i="11"/>
  <c r="B10" i="11"/>
  <c r="B9" i="11"/>
  <c r="B8" i="11"/>
  <c r="B7" i="11"/>
  <c r="B6" i="11"/>
  <c r="E21" i="17"/>
  <c r="E17" i="17"/>
  <c r="E5" i="17"/>
  <c r="M33" i="33" l="1"/>
  <c r="N33" i="33" s="1"/>
  <c r="M31" i="33"/>
  <c r="N31" i="33" s="1"/>
  <c r="M81" i="11"/>
  <c r="M82" i="11"/>
  <c r="M83" i="11"/>
  <c r="M84" i="11"/>
  <c r="M85" i="11"/>
  <c r="M86" i="11"/>
  <c r="M87" i="11"/>
  <c r="M88" i="11"/>
  <c r="M89" i="11"/>
  <c r="M90" i="11"/>
  <c r="M91" i="11"/>
  <c r="M92" i="11"/>
  <c r="M93" i="11"/>
  <c r="M94" i="11"/>
  <c r="M95" i="11"/>
  <c r="M96" i="11"/>
  <c r="M97" i="11"/>
  <c r="M98" i="11"/>
  <c r="M99" i="11"/>
  <c r="M100" i="11"/>
  <c r="M101" i="11"/>
  <c r="M102" i="11"/>
  <c r="M103" i="11"/>
  <c r="M104" i="11"/>
  <c r="M105" i="11"/>
  <c r="M106" i="11"/>
  <c r="M107" i="11"/>
  <c r="M108" i="11"/>
  <c r="M109" i="11"/>
  <c r="M110" i="11"/>
  <c r="M111" i="11"/>
  <c r="M112" i="11"/>
  <c r="M113" i="11"/>
  <c r="M114" i="11"/>
  <c r="M115" i="11"/>
  <c r="M116" i="11"/>
  <c r="M117" i="11"/>
  <c r="M118" i="11"/>
  <c r="M119" i="11"/>
  <c r="M120" i="11"/>
  <c r="M121" i="11"/>
  <c r="M122" i="11"/>
  <c r="M123" i="11"/>
  <c r="M124" i="11"/>
  <c r="M125" i="11"/>
  <c r="M126" i="11"/>
  <c r="M127" i="11"/>
  <c r="M128" i="11"/>
  <c r="M129" i="11"/>
  <c r="M130" i="11"/>
  <c r="M131" i="11"/>
  <c r="M132" i="11"/>
  <c r="M133" i="11"/>
  <c r="M134" i="11"/>
  <c r="M135" i="11"/>
  <c r="M136" i="11"/>
  <c r="M137" i="11"/>
  <c r="M138" i="11"/>
  <c r="M139" i="11"/>
  <c r="L139" i="11" s="1"/>
  <c r="M140" i="11"/>
  <c r="M141" i="11"/>
  <c r="L141" i="11" s="1"/>
  <c r="M142" i="11"/>
  <c r="M143" i="11"/>
  <c r="L143" i="11" s="1"/>
  <c r="M144" i="11"/>
  <c r="M145" i="11"/>
  <c r="M146" i="11"/>
  <c r="M147" i="11"/>
  <c r="M148" i="11"/>
  <c r="M149" i="11"/>
  <c r="M150" i="11"/>
  <c r="M151" i="11"/>
  <c r="M152" i="11"/>
  <c r="M153" i="11"/>
  <c r="M154" i="11"/>
  <c r="M155" i="11"/>
  <c r="M156" i="11"/>
  <c r="M157" i="11"/>
  <c r="M158" i="11"/>
  <c r="M159" i="11"/>
  <c r="M160" i="11"/>
  <c r="M161" i="11"/>
  <c r="M162" i="11"/>
  <c r="M163" i="11"/>
  <c r="M164" i="11"/>
  <c r="M165" i="11"/>
  <c r="M166" i="11"/>
  <c r="M167" i="11"/>
  <c r="M168" i="11"/>
  <c r="M169" i="11"/>
  <c r="M170" i="11"/>
  <c r="M171" i="11"/>
  <c r="M172" i="11"/>
  <c r="M173" i="11"/>
  <c r="M174" i="11"/>
  <c r="M175" i="11"/>
  <c r="M176" i="11"/>
  <c r="M177" i="11"/>
  <c r="M178" i="11"/>
  <c r="M179" i="11"/>
  <c r="M180" i="11"/>
  <c r="M181" i="11"/>
  <c r="M182" i="11"/>
  <c r="M183" i="11"/>
  <c r="M184" i="11"/>
  <c r="M185" i="11"/>
  <c r="M186" i="11"/>
  <c r="M187" i="11"/>
  <c r="M188" i="11"/>
  <c r="M189" i="11"/>
  <c r="M190" i="11"/>
  <c r="M191" i="11"/>
  <c r="M192" i="11"/>
  <c r="M193" i="11"/>
  <c r="M194" i="11"/>
  <c r="M195" i="11"/>
  <c r="M196" i="11"/>
  <c r="M197" i="11"/>
  <c r="M198" i="11"/>
  <c r="M199" i="11"/>
  <c r="M200" i="11"/>
  <c r="M201" i="11"/>
  <c r="G95" i="24" s="1"/>
  <c r="M202" i="11"/>
  <c r="M203" i="11"/>
  <c r="M204" i="11"/>
  <c r="M205" i="11"/>
  <c r="M206" i="11"/>
  <c r="M207" i="11"/>
  <c r="M208" i="11"/>
  <c r="M209" i="11"/>
  <c r="G93" i="24" s="1"/>
  <c r="M210" i="11"/>
  <c r="M211" i="11"/>
  <c r="M212" i="11"/>
  <c r="M213" i="11"/>
  <c r="M214" i="11"/>
  <c r="M215" i="11"/>
  <c r="M216" i="11"/>
  <c r="M217" i="11"/>
  <c r="M218" i="11"/>
  <c r="M219" i="11"/>
  <c r="M220" i="11"/>
  <c r="G94" i="24" s="1"/>
  <c r="M221" i="11"/>
  <c r="M222" i="11"/>
  <c r="M223" i="11"/>
  <c r="M224" i="11"/>
  <c r="M225" i="11"/>
  <c r="M226" i="11"/>
  <c r="M227" i="11"/>
  <c r="L227" i="11" s="1"/>
  <c r="M228" i="11"/>
  <c r="M229" i="11"/>
  <c r="M230" i="11"/>
  <c r="M231" i="11"/>
  <c r="M232" i="11"/>
  <c r="M233" i="11"/>
  <c r="M234" i="11"/>
  <c r="M235" i="11"/>
  <c r="M236" i="11"/>
  <c r="M237" i="11"/>
  <c r="M238" i="11"/>
  <c r="M239" i="11"/>
  <c r="M240" i="11"/>
  <c r="M241" i="11"/>
  <c r="L241" i="11" s="1"/>
  <c r="Q241" i="11" s="1"/>
  <c r="M242" i="11"/>
  <c r="M243" i="11"/>
  <c r="M244" i="11"/>
  <c r="M245" i="11"/>
  <c r="M246" i="11"/>
  <c r="M247" i="11"/>
  <c r="M248" i="11"/>
  <c r="M249" i="11"/>
  <c r="M250" i="11"/>
  <c r="M251" i="11"/>
  <c r="M252" i="11"/>
  <c r="M253" i="11"/>
  <c r="M254" i="11"/>
  <c r="M255" i="11"/>
  <c r="M256" i="11"/>
  <c r="M257" i="11"/>
  <c r="M258" i="11"/>
  <c r="M259" i="11"/>
  <c r="M260" i="11"/>
  <c r="M261" i="11"/>
  <c r="M262" i="11"/>
  <c r="M263" i="11"/>
  <c r="L263" i="11" s="1"/>
  <c r="M264" i="11"/>
  <c r="L264" i="11" s="1"/>
  <c r="Q264" i="11" s="1"/>
  <c r="M265" i="11"/>
  <c r="M266" i="11"/>
  <c r="M267" i="11"/>
  <c r="M268" i="11"/>
  <c r="M269" i="11"/>
  <c r="M270" i="11"/>
  <c r="M271" i="11"/>
  <c r="M272" i="11"/>
  <c r="M273" i="11"/>
  <c r="M274" i="11"/>
  <c r="M275" i="11"/>
  <c r="L275" i="11" s="1"/>
  <c r="Q275" i="11" s="1"/>
  <c r="M276" i="11"/>
  <c r="L276" i="11" s="1"/>
  <c r="Q276" i="11" s="1"/>
  <c r="M277" i="11"/>
  <c r="L277" i="11" s="1"/>
  <c r="Q277" i="11" s="1"/>
  <c r="M278" i="11"/>
  <c r="L278" i="11" s="1"/>
  <c r="M279" i="11"/>
  <c r="M280" i="11"/>
  <c r="M281" i="11"/>
  <c r="M282" i="11"/>
  <c r="G98" i="24" s="1"/>
  <c r="M283" i="11"/>
  <c r="M284" i="11"/>
  <c r="M285" i="11"/>
  <c r="M286" i="11"/>
  <c r="M287" i="11"/>
  <c r="M288" i="11"/>
  <c r="M289" i="11"/>
  <c r="M290" i="11"/>
  <c r="M291" i="11"/>
  <c r="M292" i="11"/>
  <c r="M293" i="11"/>
  <c r="M294" i="11"/>
  <c r="M295" i="11"/>
  <c r="M296" i="11"/>
  <c r="M297" i="11"/>
  <c r="M298" i="11"/>
  <c r="M299" i="11"/>
  <c r="M300" i="11"/>
  <c r="M301" i="11"/>
  <c r="M302" i="11"/>
  <c r="M303" i="11"/>
  <c r="M304" i="11"/>
  <c r="M305" i="11"/>
  <c r="M306" i="11"/>
  <c r="M307" i="11"/>
  <c r="M308" i="11"/>
  <c r="M309" i="11"/>
  <c r="M310" i="11"/>
  <c r="M311" i="11"/>
  <c r="R311" i="11" s="1"/>
  <c r="M312" i="11"/>
  <c r="M313" i="11"/>
  <c r="M314" i="11"/>
  <c r="M315" i="11"/>
  <c r="M316" i="11"/>
  <c r="M317" i="11"/>
  <c r="M318" i="11"/>
  <c r="M319" i="11"/>
  <c r="M320" i="11"/>
  <c r="M321" i="11"/>
  <c r="M322" i="11"/>
  <c r="L322" i="11" s="1"/>
  <c r="M323" i="11"/>
  <c r="M324" i="11"/>
  <c r="M325" i="11"/>
  <c r="M326" i="11"/>
  <c r="M7" i="11"/>
  <c r="M8" i="11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27" i="11"/>
  <c r="M28" i="11"/>
  <c r="M29" i="11"/>
  <c r="M30" i="11"/>
  <c r="M31" i="11"/>
  <c r="M32" i="11"/>
  <c r="M33" i="11"/>
  <c r="M34" i="11"/>
  <c r="M35" i="11"/>
  <c r="M36" i="11"/>
  <c r="M37" i="11"/>
  <c r="M38" i="11"/>
  <c r="M39" i="11"/>
  <c r="M40" i="11"/>
  <c r="M41" i="11"/>
  <c r="M42" i="11"/>
  <c r="M43" i="11"/>
  <c r="M44" i="11"/>
  <c r="M45" i="11"/>
  <c r="M46" i="11"/>
  <c r="M47" i="11"/>
  <c r="M48" i="11"/>
  <c r="M49" i="11"/>
  <c r="M50" i="11"/>
  <c r="M51" i="11"/>
  <c r="L51" i="11" s="1"/>
  <c r="M52" i="11"/>
  <c r="M53" i="11"/>
  <c r="M54" i="11"/>
  <c r="M55" i="11"/>
  <c r="M56" i="11"/>
  <c r="M57" i="11"/>
  <c r="M58" i="11"/>
  <c r="M59" i="11"/>
  <c r="M60" i="11"/>
  <c r="M61" i="11"/>
  <c r="M62" i="11"/>
  <c r="M63" i="11"/>
  <c r="M64" i="11"/>
  <c r="M65" i="11"/>
  <c r="M66" i="11"/>
  <c r="M67" i="11"/>
  <c r="M68" i="11"/>
  <c r="M69" i="11"/>
  <c r="M70" i="11"/>
  <c r="M71" i="11"/>
  <c r="M72" i="11"/>
  <c r="M73" i="11"/>
  <c r="M74" i="11"/>
  <c r="M75" i="11"/>
  <c r="M76" i="11"/>
  <c r="M77" i="11"/>
  <c r="M78" i="11"/>
  <c r="M79" i="11"/>
  <c r="M80" i="11"/>
  <c r="I88" i="24"/>
  <c r="E88" i="24"/>
  <c r="I87" i="24"/>
  <c r="E87" i="24"/>
  <c r="I86" i="24"/>
  <c r="E86" i="24"/>
  <c r="I85" i="24"/>
  <c r="E85" i="24"/>
  <c r="I84" i="24"/>
  <c r="E84" i="24"/>
  <c r="I83" i="24"/>
  <c r="E83" i="24"/>
  <c r="J82" i="24"/>
  <c r="I82" i="24"/>
  <c r="H82" i="24"/>
  <c r="G82" i="24"/>
  <c r="F82" i="24"/>
  <c r="E82" i="24"/>
  <c r="I81" i="24"/>
  <c r="E81" i="24"/>
  <c r="I80" i="24"/>
  <c r="E80" i="24"/>
  <c r="S322" i="11"/>
  <c r="S311" i="11"/>
  <c r="H88" i="24"/>
  <c r="S278" i="11"/>
  <c r="S277" i="11"/>
  <c r="S276" i="11"/>
  <c r="S275" i="11"/>
  <c r="S264" i="11"/>
  <c r="H86" i="24"/>
  <c r="H85" i="24"/>
  <c r="S241" i="11"/>
  <c r="S240" i="11"/>
  <c r="S144" i="11"/>
  <c r="S143" i="11"/>
  <c r="S142" i="11"/>
  <c r="S141" i="11"/>
  <c r="S140" i="11"/>
  <c r="S139" i="11"/>
  <c r="S138" i="11"/>
  <c r="S64" i="11"/>
  <c r="S51" i="11"/>
  <c r="T326" i="11"/>
  <c r="T325" i="11"/>
  <c r="T324" i="11"/>
  <c r="T323" i="11"/>
  <c r="T322" i="11"/>
  <c r="T321" i="11"/>
  <c r="T320" i="11"/>
  <c r="T319" i="11"/>
  <c r="T318" i="11"/>
  <c r="T317" i="11"/>
  <c r="T316" i="11"/>
  <c r="T315" i="11"/>
  <c r="T314" i="11"/>
  <c r="T313" i="11"/>
  <c r="T312" i="11"/>
  <c r="T311" i="11"/>
  <c r="T310" i="11"/>
  <c r="T309" i="11"/>
  <c r="T308" i="11"/>
  <c r="T307" i="11"/>
  <c r="T306" i="11"/>
  <c r="T305" i="11"/>
  <c r="T304" i="11"/>
  <c r="T303" i="11"/>
  <c r="T302" i="11"/>
  <c r="T301" i="11"/>
  <c r="T300" i="11"/>
  <c r="T299" i="11"/>
  <c r="T298" i="11"/>
  <c r="T297" i="11"/>
  <c r="T296" i="11"/>
  <c r="T295" i="11"/>
  <c r="T294" i="11"/>
  <c r="T293" i="11"/>
  <c r="T292" i="11"/>
  <c r="T291" i="11"/>
  <c r="T290" i="11"/>
  <c r="T289" i="11"/>
  <c r="T288" i="11"/>
  <c r="T287" i="11"/>
  <c r="T286" i="11"/>
  <c r="T285" i="11"/>
  <c r="T284" i="11"/>
  <c r="T283" i="11"/>
  <c r="T282" i="11"/>
  <c r="T281" i="11"/>
  <c r="T280" i="11"/>
  <c r="T279" i="11"/>
  <c r="T278" i="11"/>
  <c r="T277" i="11"/>
  <c r="T276" i="11"/>
  <c r="T275" i="11"/>
  <c r="T274" i="11"/>
  <c r="T273" i="11"/>
  <c r="T272" i="11"/>
  <c r="T271" i="11"/>
  <c r="T270" i="11"/>
  <c r="T269" i="11"/>
  <c r="T268" i="11"/>
  <c r="T267" i="11"/>
  <c r="T266" i="11"/>
  <c r="T265" i="11"/>
  <c r="T264" i="11"/>
  <c r="T263" i="11"/>
  <c r="T262" i="11"/>
  <c r="T261" i="11"/>
  <c r="T260" i="11"/>
  <c r="T259" i="11"/>
  <c r="T258" i="11"/>
  <c r="T257" i="11"/>
  <c r="T256" i="11"/>
  <c r="T255" i="11"/>
  <c r="T254" i="11"/>
  <c r="T253" i="11"/>
  <c r="T252" i="11"/>
  <c r="T251" i="11"/>
  <c r="T250" i="11"/>
  <c r="T249" i="11"/>
  <c r="T248" i="11"/>
  <c r="T247" i="11"/>
  <c r="T246" i="11"/>
  <c r="T245" i="11"/>
  <c r="T244" i="11"/>
  <c r="T243" i="11"/>
  <c r="T242" i="11"/>
  <c r="T241" i="11"/>
  <c r="T240" i="11"/>
  <c r="T239" i="11"/>
  <c r="T238" i="11"/>
  <c r="T237" i="11"/>
  <c r="T236" i="11"/>
  <c r="T235" i="11"/>
  <c r="T234" i="11"/>
  <c r="T233" i="11"/>
  <c r="T232" i="11"/>
  <c r="T231" i="11"/>
  <c r="T230" i="11"/>
  <c r="T229" i="11"/>
  <c r="T228" i="11"/>
  <c r="T227" i="11"/>
  <c r="T226" i="11"/>
  <c r="T225" i="11"/>
  <c r="T224" i="11"/>
  <c r="T223" i="11"/>
  <c r="T222" i="11"/>
  <c r="T221" i="11"/>
  <c r="T220" i="11"/>
  <c r="T219" i="11"/>
  <c r="T218" i="11"/>
  <c r="T217" i="11"/>
  <c r="T216" i="11"/>
  <c r="T215" i="11"/>
  <c r="T214" i="11"/>
  <c r="T213" i="11"/>
  <c r="T212" i="11"/>
  <c r="T211" i="11"/>
  <c r="T210" i="11"/>
  <c r="T209" i="11"/>
  <c r="T208" i="11"/>
  <c r="T207" i="11"/>
  <c r="T206" i="11"/>
  <c r="T205" i="11"/>
  <c r="T204" i="11"/>
  <c r="T203" i="11"/>
  <c r="T202" i="11"/>
  <c r="T201" i="11"/>
  <c r="T200" i="11"/>
  <c r="T199" i="11"/>
  <c r="T198" i="11"/>
  <c r="T197" i="11"/>
  <c r="T196" i="11"/>
  <c r="T195" i="11"/>
  <c r="T194" i="11"/>
  <c r="T193" i="11"/>
  <c r="T192" i="11"/>
  <c r="T191" i="11"/>
  <c r="T190" i="11"/>
  <c r="T189" i="11"/>
  <c r="T188" i="11"/>
  <c r="T187" i="11"/>
  <c r="T186" i="11"/>
  <c r="T185" i="11"/>
  <c r="T184" i="11"/>
  <c r="T183" i="11"/>
  <c r="T182" i="11"/>
  <c r="T181" i="11"/>
  <c r="T180" i="11"/>
  <c r="T179" i="11"/>
  <c r="T178" i="11"/>
  <c r="T177" i="11"/>
  <c r="T176" i="11"/>
  <c r="T175" i="11"/>
  <c r="T174" i="11"/>
  <c r="T173" i="11"/>
  <c r="T172" i="11"/>
  <c r="T171" i="11"/>
  <c r="T170" i="11"/>
  <c r="T169" i="11"/>
  <c r="T168" i="11"/>
  <c r="T167" i="11"/>
  <c r="T166" i="11"/>
  <c r="T165" i="11"/>
  <c r="T164" i="11"/>
  <c r="T163" i="11"/>
  <c r="T162" i="11"/>
  <c r="T161" i="11"/>
  <c r="T160" i="11"/>
  <c r="T159" i="11"/>
  <c r="T158" i="11"/>
  <c r="T157" i="11"/>
  <c r="T156" i="11"/>
  <c r="T155" i="11"/>
  <c r="T154" i="11"/>
  <c r="T153" i="11"/>
  <c r="T152" i="11"/>
  <c r="T151" i="11"/>
  <c r="T150" i="11"/>
  <c r="T149" i="11"/>
  <c r="T148" i="11"/>
  <c r="T147" i="11"/>
  <c r="T146" i="11"/>
  <c r="T145" i="11"/>
  <c r="T144" i="11"/>
  <c r="T143" i="11"/>
  <c r="T142" i="11"/>
  <c r="T141" i="11"/>
  <c r="T140" i="11"/>
  <c r="T139" i="11"/>
  <c r="T138" i="11"/>
  <c r="T137" i="11"/>
  <c r="T136" i="11"/>
  <c r="T135" i="11"/>
  <c r="T134" i="11"/>
  <c r="T133" i="11"/>
  <c r="T132" i="11"/>
  <c r="T131" i="11"/>
  <c r="T130" i="11"/>
  <c r="T129" i="11"/>
  <c r="T128" i="11"/>
  <c r="T127" i="11"/>
  <c r="T126" i="11"/>
  <c r="T125" i="11"/>
  <c r="T124" i="11"/>
  <c r="T123" i="11"/>
  <c r="T122" i="11"/>
  <c r="T121" i="11"/>
  <c r="T120" i="11"/>
  <c r="T119" i="11"/>
  <c r="T118" i="11"/>
  <c r="T117" i="11"/>
  <c r="T116" i="11"/>
  <c r="T115" i="11"/>
  <c r="T114" i="11"/>
  <c r="T113" i="11"/>
  <c r="T112" i="11"/>
  <c r="T111" i="11"/>
  <c r="T110" i="11"/>
  <c r="T109" i="11"/>
  <c r="T108" i="11"/>
  <c r="T107" i="11"/>
  <c r="T106" i="11"/>
  <c r="T105" i="11"/>
  <c r="T104" i="11"/>
  <c r="T103" i="11"/>
  <c r="T102" i="11"/>
  <c r="T101" i="11"/>
  <c r="T100" i="11"/>
  <c r="T99" i="11"/>
  <c r="T98" i="11"/>
  <c r="T97" i="11"/>
  <c r="T96" i="11"/>
  <c r="T95" i="11"/>
  <c r="T94" i="11"/>
  <c r="T93" i="11"/>
  <c r="T92" i="11"/>
  <c r="T91" i="11"/>
  <c r="T90" i="11"/>
  <c r="T89" i="11"/>
  <c r="T88" i="11"/>
  <c r="T87" i="11"/>
  <c r="T86" i="11"/>
  <c r="T85" i="11"/>
  <c r="T84" i="11"/>
  <c r="T83" i="11"/>
  <c r="T82" i="11"/>
  <c r="T81" i="11"/>
  <c r="T80" i="11"/>
  <c r="T79" i="11"/>
  <c r="T78" i="11"/>
  <c r="T77" i="11"/>
  <c r="T76" i="11"/>
  <c r="T75" i="11"/>
  <c r="T74" i="11"/>
  <c r="T73" i="11"/>
  <c r="T72" i="11"/>
  <c r="T71" i="11"/>
  <c r="T70" i="11"/>
  <c r="T69" i="11"/>
  <c r="T68" i="11"/>
  <c r="T67" i="11"/>
  <c r="T66" i="11"/>
  <c r="T65" i="11"/>
  <c r="T64" i="11"/>
  <c r="T63" i="11"/>
  <c r="T62" i="11"/>
  <c r="T61" i="11"/>
  <c r="T60" i="11"/>
  <c r="T59" i="11"/>
  <c r="T58" i="11"/>
  <c r="T57" i="11"/>
  <c r="T56" i="11"/>
  <c r="T55" i="11"/>
  <c r="T54" i="11"/>
  <c r="T53" i="11"/>
  <c r="T52" i="11"/>
  <c r="T51" i="11"/>
  <c r="T50" i="11"/>
  <c r="T49" i="11"/>
  <c r="T48" i="11"/>
  <c r="T47" i="11"/>
  <c r="T46" i="11"/>
  <c r="T45" i="11"/>
  <c r="T44" i="11"/>
  <c r="T43" i="11"/>
  <c r="T42" i="11"/>
  <c r="T41" i="11"/>
  <c r="T40" i="11"/>
  <c r="T39" i="11"/>
  <c r="T38" i="11"/>
  <c r="T37" i="11"/>
  <c r="T36" i="11"/>
  <c r="T35" i="11"/>
  <c r="T34" i="11"/>
  <c r="T33" i="11"/>
  <c r="T32" i="11"/>
  <c r="T31" i="11"/>
  <c r="T30" i="11"/>
  <c r="T29" i="11"/>
  <c r="T28" i="11"/>
  <c r="T27" i="11"/>
  <c r="T26" i="11"/>
  <c r="T25" i="11"/>
  <c r="T24" i="11"/>
  <c r="T23" i="11"/>
  <c r="T22" i="11"/>
  <c r="T21" i="11"/>
  <c r="T20" i="11"/>
  <c r="T19" i="11"/>
  <c r="T18" i="11"/>
  <c r="T17" i="11"/>
  <c r="T16" i="11"/>
  <c r="T15" i="11"/>
  <c r="T14" i="11"/>
  <c r="T13" i="11"/>
  <c r="T12" i="11"/>
  <c r="T11" i="11"/>
  <c r="T10" i="11"/>
  <c r="T9" i="11"/>
  <c r="T8" i="11"/>
  <c r="AA326" i="11"/>
  <c r="Z326" i="11"/>
  <c r="Y326" i="11"/>
  <c r="AA325" i="11"/>
  <c r="Z325" i="11"/>
  <c r="Y325" i="11"/>
  <c r="AA324" i="11"/>
  <c r="Z324" i="11"/>
  <c r="Y324" i="11"/>
  <c r="AA323" i="11"/>
  <c r="Z323" i="11"/>
  <c r="Y323" i="11"/>
  <c r="AA322" i="11"/>
  <c r="Z322" i="11"/>
  <c r="Y322" i="11"/>
  <c r="AA321" i="11"/>
  <c r="Z321" i="11"/>
  <c r="Y321" i="11"/>
  <c r="AA320" i="11"/>
  <c r="Z320" i="11"/>
  <c r="Y320" i="11"/>
  <c r="AA319" i="11"/>
  <c r="Z319" i="11"/>
  <c r="Y319" i="11"/>
  <c r="AA318" i="11"/>
  <c r="Z318" i="11"/>
  <c r="Y318" i="11"/>
  <c r="AA317" i="11"/>
  <c r="Z317" i="11"/>
  <c r="Y317" i="11"/>
  <c r="AA316" i="11"/>
  <c r="Z316" i="11"/>
  <c r="Y316" i="11"/>
  <c r="AA315" i="11"/>
  <c r="Z315" i="11"/>
  <c r="Y315" i="11"/>
  <c r="AA314" i="11"/>
  <c r="Z314" i="11"/>
  <c r="Y314" i="11"/>
  <c r="AA313" i="11"/>
  <c r="Z313" i="11"/>
  <c r="Y313" i="11"/>
  <c r="AA312" i="11"/>
  <c r="Z312" i="11"/>
  <c r="Y312" i="11"/>
  <c r="AA311" i="11"/>
  <c r="Z311" i="11"/>
  <c r="Y311" i="11"/>
  <c r="AA310" i="11"/>
  <c r="Z310" i="11"/>
  <c r="Y310" i="11"/>
  <c r="AA309" i="11"/>
  <c r="Z309" i="11"/>
  <c r="Y309" i="11"/>
  <c r="AA308" i="11"/>
  <c r="Z308" i="11"/>
  <c r="Y308" i="11"/>
  <c r="AA307" i="11"/>
  <c r="Z307" i="11"/>
  <c r="Y307" i="11"/>
  <c r="AA306" i="11"/>
  <c r="Z306" i="11"/>
  <c r="Y306" i="11"/>
  <c r="AA305" i="11"/>
  <c r="Z305" i="11"/>
  <c r="Y305" i="11"/>
  <c r="AA304" i="11"/>
  <c r="Z304" i="11"/>
  <c r="Y304" i="11"/>
  <c r="AA303" i="11"/>
  <c r="Z303" i="11"/>
  <c r="Y303" i="11"/>
  <c r="AA302" i="11"/>
  <c r="Z302" i="11"/>
  <c r="Y302" i="11"/>
  <c r="AA301" i="11"/>
  <c r="Z301" i="11"/>
  <c r="Y301" i="11"/>
  <c r="AA300" i="11"/>
  <c r="Z300" i="11"/>
  <c r="Y300" i="11"/>
  <c r="AA299" i="11"/>
  <c r="Z299" i="11"/>
  <c r="Y299" i="11"/>
  <c r="AA298" i="11"/>
  <c r="Z298" i="11"/>
  <c r="Y298" i="11"/>
  <c r="AA297" i="11"/>
  <c r="Z297" i="11"/>
  <c r="Y297" i="11"/>
  <c r="AA296" i="11"/>
  <c r="Z296" i="11"/>
  <c r="Y296" i="11"/>
  <c r="AA295" i="11"/>
  <c r="Z295" i="11"/>
  <c r="Y295" i="11"/>
  <c r="AA294" i="11"/>
  <c r="Z294" i="11"/>
  <c r="Y294" i="11"/>
  <c r="AA293" i="11"/>
  <c r="Z293" i="11"/>
  <c r="Y293" i="11"/>
  <c r="AA292" i="11"/>
  <c r="Z292" i="11"/>
  <c r="Y292" i="11"/>
  <c r="AA291" i="11"/>
  <c r="Z291" i="11"/>
  <c r="Y291" i="11"/>
  <c r="AA290" i="11"/>
  <c r="Z290" i="11"/>
  <c r="Y290" i="11"/>
  <c r="AA289" i="11"/>
  <c r="Z289" i="11"/>
  <c r="Y289" i="11"/>
  <c r="AA288" i="11"/>
  <c r="Z288" i="11"/>
  <c r="Y288" i="11"/>
  <c r="AA287" i="11"/>
  <c r="Z287" i="11"/>
  <c r="Y287" i="11"/>
  <c r="AA286" i="11"/>
  <c r="Z286" i="11"/>
  <c r="Y286" i="11"/>
  <c r="AA285" i="11"/>
  <c r="Z285" i="11"/>
  <c r="Y285" i="11"/>
  <c r="AA284" i="11"/>
  <c r="Z284" i="11"/>
  <c r="Y284" i="11"/>
  <c r="AA283" i="11"/>
  <c r="Z283" i="11"/>
  <c r="Y283" i="11"/>
  <c r="AA282" i="11"/>
  <c r="Z282" i="11"/>
  <c r="Y282" i="11"/>
  <c r="AA281" i="11"/>
  <c r="Z281" i="11"/>
  <c r="Y281" i="11"/>
  <c r="AA280" i="11"/>
  <c r="Z280" i="11"/>
  <c r="Y280" i="11"/>
  <c r="AA279" i="11"/>
  <c r="Z279" i="11"/>
  <c r="Y279" i="11"/>
  <c r="AA278" i="11"/>
  <c r="Z278" i="11"/>
  <c r="Y278" i="11"/>
  <c r="AA277" i="11"/>
  <c r="Z277" i="11"/>
  <c r="Y277" i="11"/>
  <c r="AA276" i="11"/>
  <c r="Z276" i="11"/>
  <c r="Y276" i="11"/>
  <c r="AA275" i="11"/>
  <c r="Z275" i="11"/>
  <c r="Y275" i="11"/>
  <c r="AA274" i="11"/>
  <c r="Z274" i="11"/>
  <c r="Y274" i="11"/>
  <c r="AA273" i="11"/>
  <c r="Z273" i="11"/>
  <c r="Y273" i="11"/>
  <c r="AA272" i="11"/>
  <c r="Z272" i="11"/>
  <c r="Y272" i="11"/>
  <c r="AA271" i="11"/>
  <c r="Z271" i="11"/>
  <c r="Y271" i="11"/>
  <c r="AA270" i="11"/>
  <c r="Z270" i="11"/>
  <c r="Y270" i="11"/>
  <c r="AA269" i="11"/>
  <c r="Z269" i="11"/>
  <c r="Y269" i="11"/>
  <c r="AA268" i="11"/>
  <c r="Z268" i="11"/>
  <c r="Y268" i="11"/>
  <c r="AA267" i="11"/>
  <c r="Z267" i="11"/>
  <c r="Y267" i="11"/>
  <c r="AA266" i="11"/>
  <c r="Z266" i="11"/>
  <c r="Y266" i="11"/>
  <c r="AA265" i="11"/>
  <c r="Z265" i="11"/>
  <c r="Y265" i="11"/>
  <c r="AA264" i="11"/>
  <c r="Z264" i="11"/>
  <c r="Y264" i="11"/>
  <c r="AA263" i="11"/>
  <c r="Z263" i="11"/>
  <c r="Y263" i="11"/>
  <c r="AA262" i="11"/>
  <c r="Z262" i="11"/>
  <c r="Y262" i="11"/>
  <c r="AA261" i="11"/>
  <c r="Z261" i="11"/>
  <c r="Y261" i="11"/>
  <c r="AA260" i="11"/>
  <c r="Z260" i="11"/>
  <c r="Y260" i="11"/>
  <c r="AA259" i="11"/>
  <c r="Z259" i="11"/>
  <c r="Y259" i="11"/>
  <c r="AA258" i="11"/>
  <c r="Z258" i="11"/>
  <c r="Y258" i="11"/>
  <c r="AA257" i="11"/>
  <c r="Z257" i="11"/>
  <c r="Y257" i="11"/>
  <c r="AA256" i="11"/>
  <c r="Z256" i="11"/>
  <c r="Y256" i="11"/>
  <c r="AA255" i="11"/>
  <c r="Z255" i="11"/>
  <c r="Y255" i="11"/>
  <c r="AA254" i="11"/>
  <c r="Z254" i="11"/>
  <c r="Y254" i="11"/>
  <c r="AA253" i="11"/>
  <c r="Z253" i="11"/>
  <c r="Y253" i="11"/>
  <c r="AA252" i="11"/>
  <c r="Z252" i="11"/>
  <c r="Y252" i="11"/>
  <c r="AA251" i="11"/>
  <c r="Z251" i="11"/>
  <c r="Y251" i="11"/>
  <c r="AA250" i="11"/>
  <c r="Z250" i="11"/>
  <c r="Y250" i="11"/>
  <c r="AA249" i="11"/>
  <c r="Z249" i="11"/>
  <c r="Y249" i="11"/>
  <c r="AA248" i="11"/>
  <c r="Z248" i="11"/>
  <c r="Y248" i="11"/>
  <c r="AA247" i="11"/>
  <c r="Z247" i="11"/>
  <c r="Y247" i="11"/>
  <c r="AA246" i="11"/>
  <c r="Z246" i="11"/>
  <c r="Y246" i="11"/>
  <c r="AA245" i="11"/>
  <c r="Z245" i="11"/>
  <c r="Y245" i="11"/>
  <c r="AA244" i="11"/>
  <c r="Z244" i="11"/>
  <c r="Y244" i="11"/>
  <c r="AA243" i="11"/>
  <c r="Z243" i="11"/>
  <c r="Y243" i="11"/>
  <c r="AA242" i="11"/>
  <c r="Z242" i="11"/>
  <c r="Y242" i="11"/>
  <c r="AA241" i="11"/>
  <c r="Z241" i="11"/>
  <c r="Y241" i="11"/>
  <c r="AA240" i="11"/>
  <c r="Z240" i="11"/>
  <c r="Y240" i="11"/>
  <c r="AA239" i="11"/>
  <c r="Z239" i="11"/>
  <c r="Y239" i="11"/>
  <c r="AA238" i="11"/>
  <c r="Z238" i="11"/>
  <c r="Y238" i="11"/>
  <c r="AA237" i="11"/>
  <c r="Z237" i="11"/>
  <c r="Y237" i="11"/>
  <c r="AA236" i="11"/>
  <c r="Z236" i="11"/>
  <c r="Y236" i="11"/>
  <c r="AA235" i="11"/>
  <c r="Z235" i="11"/>
  <c r="Y235" i="11"/>
  <c r="AA234" i="11"/>
  <c r="Z234" i="11"/>
  <c r="Y234" i="11"/>
  <c r="AA233" i="11"/>
  <c r="Z233" i="11"/>
  <c r="Y233" i="11"/>
  <c r="AA232" i="11"/>
  <c r="Z232" i="11"/>
  <c r="Y232" i="11"/>
  <c r="AA231" i="11"/>
  <c r="Z231" i="11"/>
  <c r="Y231" i="11"/>
  <c r="AA230" i="11"/>
  <c r="Z230" i="11"/>
  <c r="Y230" i="11"/>
  <c r="AA229" i="11"/>
  <c r="Z229" i="11"/>
  <c r="Y229" i="11"/>
  <c r="AA228" i="11"/>
  <c r="Z228" i="11"/>
  <c r="Y228" i="11"/>
  <c r="AA227" i="11"/>
  <c r="Z227" i="11"/>
  <c r="Y227" i="11"/>
  <c r="AA226" i="11"/>
  <c r="Z226" i="11"/>
  <c r="Y226" i="11"/>
  <c r="AA225" i="11"/>
  <c r="Z225" i="11"/>
  <c r="Y225" i="11"/>
  <c r="AA224" i="11"/>
  <c r="Z224" i="11"/>
  <c r="Y224" i="11"/>
  <c r="AA223" i="11"/>
  <c r="Z223" i="11"/>
  <c r="Y223" i="11"/>
  <c r="AA222" i="11"/>
  <c r="Z222" i="11"/>
  <c r="Y222" i="11"/>
  <c r="AA221" i="11"/>
  <c r="Z221" i="11"/>
  <c r="Y221" i="11"/>
  <c r="AA220" i="11"/>
  <c r="Z220" i="11"/>
  <c r="Y220" i="11"/>
  <c r="AA219" i="11"/>
  <c r="Z219" i="11"/>
  <c r="Y219" i="11"/>
  <c r="AA218" i="11"/>
  <c r="Z218" i="11"/>
  <c r="Y218" i="11"/>
  <c r="AA217" i="11"/>
  <c r="Z217" i="11"/>
  <c r="Y217" i="11"/>
  <c r="AA216" i="11"/>
  <c r="Z216" i="11"/>
  <c r="Y216" i="11"/>
  <c r="AA215" i="11"/>
  <c r="Z215" i="11"/>
  <c r="Y215" i="11"/>
  <c r="AA214" i="11"/>
  <c r="Z214" i="11"/>
  <c r="Y214" i="11"/>
  <c r="AA213" i="11"/>
  <c r="Z213" i="11"/>
  <c r="Y213" i="11"/>
  <c r="AA212" i="11"/>
  <c r="Z212" i="11"/>
  <c r="Y212" i="11"/>
  <c r="AA211" i="11"/>
  <c r="Z211" i="11"/>
  <c r="Y211" i="11"/>
  <c r="AA210" i="11"/>
  <c r="Z210" i="11"/>
  <c r="Y210" i="11"/>
  <c r="AA209" i="11"/>
  <c r="Z209" i="11"/>
  <c r="Y209" i="11"/>
  <c r="AA208" i="11"/>
  <c r="Z208" i="11"/>
  <c r="Y208" i="11"/>
  <c r="AA207" i="11"/>
  <c r="Z207" i="11"/>
  <c r="Y207" i="11"/>
  <c r="AA206" i="11"/>
  <c r="Z206" i="11"/>
  <c r="Y206" i="11"/>
  <c r="AA205" i="11"/>
  <c r="Z205" i="11"/>
  <c r="Y205" i="11"/>
  <c r="AA204" i="11"/>
  <c r="Z204" i="11"/>
  <c r="Y204" i="11"/>
  <c r="AA203" i="11"/>
  <c r="Z203" i="11"/>
  <c r="Y203" i="11"/>
  <c r="AA202" i="11"/>
  <c r="Z202" i="11"/>
  <c r="Y202" i="11"/>
  <c r="AA201" i="11"/>
  <c r="Z201" i="11"/>
  <c r="Y201" i="11"/>
  <c r="AA200" i="11"/>
  <c r="Z200" i="11"/>
  <c r="Y200" i="11"/>
  <c r="AA199" i="11"/>
  <c r="Z199" i="11"/>
  <c r="Y199" i="11"/>
  <c r="AA198" i="11"/>
  <c r="Z198" i="11"/>
  <c r="Y198" i="11"/>
  <c r="AA197" i="11"/>
  <c r="Z197" i="11"/>
  <c r="Y197" i="11"/>
  <c r="AA196" i="11"/>
  <c r="Z196" i="11"/>
  <c r="Y196" i="11"/>
  <c r="AA195" i="11"/>
  <c r="Z195" i="11"/>
  <c r="Y195" i="11"/>
  <c r="AA194" i="11"/>
  <c r="Z194" i="11"/>
  <c r="Y194" i="11"/>
  <c r="AA193" i="11"/>
  <c r="Z193" i="11"/>
  <c r="Y193" i="11"/>
  <c r="AA192" i="11"/>
  <c r="Z192" i="11"/>
  <c r="Y192" i="11"/>
  <c r="AA191" i="11"/>
  <c r="Z191" i="11"/>
  <c r="Y191" i="11"/>
  <c r="AA190" i="11"/>
  <c r="Z190" i="11"/>
  <c r="Y190" i="11"/>
  <c r="AA189" i="11"/>
  <c r="Z189" i="11"/>
  <c r="Y189" i="11"/>
  <c r="AA188" i="11"/>
  <c r="Z188" i="11"/>
  <c r="Y188" i="11"/>
  <c r="AA187" i="11"/>
  <c r="Z187" i="11"/>
  <c r="Y187" i="11"/>
  <c r="AA186" i="11"/>
  <c r="Z186" i="11"/>
  <c r="Y186" i="11"/>
  <c r="AA185" i="11"/>
  <c r="Z185" i="11"/>
  <c r="Y185" i="11"/>
  <c r="AA184" i="11"/>
  <c r="Z184" i="11"/>
  <c r="Y184" i="11"/>
  <c r="AA183" i="11"/>
  <c r="Z183" i="11"/>
  <c r="Y183" i="11"/>
  <c r="AA182" i="11"/>
  <c r="Z182" i="11"/>
  <c r="Y182" i="11"/>
  <c r="AA181" i="11"/>
  <c r="Z181" i="11"/>
  <c r="Y181" i="11"/>
  <c r="AA180" i="11"/>
  <c r="Z180" i="11"/>
  <c r="Y180" i="11"/>
  <c r="AA179" i="11"/>
  <c r="Z179" i="11"/>
  <c r="Y179" i="11"/>
  <c r="AA178" i="11"/>
  <c r="Z178" i="11"/>
  <c r="Y178" i="11"/>
  <c r="AA177" i="11"/>
  <c r="Z177" i="11"/>
  <c r="Y177" i="11"/>
  <c r="AA176" i="11"/>
  <c r="Z176" i="11"/>
  <c r="Y176" i="11"/>
  <c r="AA175" i="11"/>
  <c r="Z175" i="11"/>
  <c r="Y175" i="11"/>
  <c r="AA174" i="11"/>
  <c r="Z174" i="11"/>
  <c r="Y174" i="11"/>
  <c r="AA173" i="11"/>
  <c r="Z173" i="11"/>
  <c r="Y173" i="11"/>
  <c r="AA172" i="11"/>
  <c r="Z172" i="11"/>
  <c r="Y172" i="11"/>
  <c r="AA171" i="11"/>
  <c r="Z171" i="11"/>
  <c r="Y171" i="11"/>
  <c r="AA170" i="11"/>
  <c r="Z170" i="11"/>
  <c r="Y170" i="11"/>
  <c r="AA169" i="11"/>
  <c r="Z169" i="11"/>
  <c r="Y169" i="11"/>
  <c r="AA168" i="11"/>
  <c r="Z168" i="11"/>
  <c r="Y168" i="11"/>
  <c r="AA167" i="11"/>
  <c r="Z167" i="11"/>
  <c r="Y167" i="11"/>
  <c r="AA166" i="11"/>
  <c r="Z166" i="11"/>
  <c r="Y166" i="11"/>
  <c r="AA165" i="11"/>
  <c r="Z165" i="11"/>
  <c r="Y165" i="11"/>
  <c r="AA164" i="11"/>
  <c r="Z164" i="11"/>
  <c r="Y164" i="11"/>
  <c r="AA163" i="11"/>
  <c r="Z163" i="11"/>
  <c r="Y163" i="11"/>
  <c r="AA162" i="11"/>
  <c r="Z162" i="11"/>
  <c r="Y162" i="11"/>
  <c r="AA161" i="11"/>
  <c r="Z161" i="11"/>
  <c r="Y161" i="11"/>
  <c r="AA160" i="11"/>
  <c r="Z160" i="11"/>
  <c r="Y160" i="11"/>
  <c r="AA159" i="11"/>
  <c r="Z159" i="11"/>
  <c r="Y159" i="11"/>
  <c r="AA158" i="11"/>
  <c r="Z158" i="11"/>
  <c r="Y158" i="11"/>
  <c r="AA157" i="11"/>
  <c r="Z157" i="11"/>
  <c r="Y157" i="11"/>
  <c r="AA156" i="11"/>
  <c r="Z156" i="11"/>
  <c r="Y156" i="11"/>
  <c r="AA155" i="11"/>
  <c r="Z155" i="11"/>
  <c r="Y155" i="11"/>
  <c r="AA154" i="11"/>
  <c r="Z154" i="11"/>
  <c r="Y154" i="11"/>
  <c r="AA153" i="11"/>
  <c r="Z153" i="11"/>
  <c r="Y153" i="11"/>
  <c r="AA152" i="11"/>
  <c r="Z152" i="11"/>
  <c r="Y152" i="11"/>
  <c r="AA151" i="11"/>
  <c r="Z151" i="11"/>
  <c r="Y151" i="11"/>
  <c r="AA150" i="11"/>
  <c r="Z150" i="11"/>
  <c r="Y150" i="11"/>
  <c r="AA149" i="11"/>
  <c r="Z149" i="11"/>
  <c r="Y149" i="11"/>
  <c r="AA148" i="11"/>
  <c r="Z148" i="11"/>
  <c r="Y148" i="11"/>
  <c r="AA147" i="11"/>
  <c r="Z147" i="11"/>
  <c r="Y147" i="11"/>
  <c r="AA146" i="11"/>
  <c r="Z146" i="11"/>
  <c r="Y146" i="11"/>
  <c r="AA145" i="11"/>
  <c r="Z145" i="11"/>
  <c r="Y145" i="11"/>
  <c r="AA144" i="11"/>
  <c r="Z144" i="11"/>
  <c r="Y144" i="11"/>
  <c r="AA143" i="11"/>
  <c r="Z143" i="11"/>
  <c r="Y143" i="11"/>
  <c r="AA142" i="11"/>
  <c r="Z142" i="11"/>
  <c r="Y142" i="11"/>
  <c r="AA141" i="11"/>
  <c r="Z141" i="11"/>
  <c r="Y141" i="11"/>
  <c r="AA140" i="11"/>
  <c r="Z140" i="11"/>
  <c r="Y140" i="11"/>
  <c r="AA139" i="11"/>
  <c r="Z139" i="11"/>
  <c r="Y139" i="11"/>
  <c r="AA138" i="11"/>
  <c r="Z138" i="11"/>
  <c r="Y138" i="11"/>
  <c r="AA137" i="11"/>
  <c r="Z137" i="11"/>
  <c r="Y137" i="11"/>
  <c r="AA136" i="11"/>
  <c r="Z136" i="11"/>
  <c r="Y136" i="11"/>
  <c r="AA135" i="11"/>
  <c r="Z135" i="11"/>
  <c r="Y135" i="11"/>
  <c r="AA134" i="11"/>
  <c r="Z134" i="11"/>
  <c r="Y134" i="11"/>
  <c r="AA133" i="11"/>
  <c r="Z133" i="11"/>
  <c r="Y133" i="11"/>
  <c r="AA132" i="11"/>
  <c r="Z132" i="11"/>
  <c r="Y132" i="11"/>
  <c r="AA131" i="11"/>
  <c r="Z131" i="11"/>
  <c r="Y131" i="11"/>
  <c r="AA130" i="11"/>
  <c r="Z130" i="11"/>
  <c r="Y130" i="11"/>
  <c r="AA129" i="11"/>
  <c r="Z129" i="11"/>
  <c r="Y129" i="11"/>
  <c r="AA128" i="11"/>
  <c r="Z128" i="11"/>
  <c r="Y128" i="11"/>
  <c r="AA127" i="11"/>
  <c r="Z127" i="11"/>
  <c r="Y127" i="11"/>
  <c r="AA126" i="11"/>
  <c r="Z126" i="11"/>
  <c r="Y126" i="11"/>
  <c r="AA125" i="11"/>
  <c r="Z125" i="11"/>
  <c r="Y125" i="11"/>
  <c r="AA124" i="11"/>
  <c r="Z124" i="11"/>
  <c r="Y124" i="11"/>
  <c r="AA123" i="11"/>
  <c r="Z123" i="11"/>
  <c r="Y123" i="11"/>
  <c r="AA122" i="11"/>
  <c r="Z122" i="11"/>
  <c r="Y122" i="11"/>
  <c r="AA121" i="11"/>
  <c r="Z121" i="11"/>
  <c r="Y121" i="11"/>
  <c r="AA120" i="11"/>
  <c r="Z120" i="11"/>
  <c r="Y120" i="11"/>
  <c r="AA119" i="11"/>
  <c r="Z119" i="11"/>
  <c r="Y119" i="11"/>
  <c r="AA118" i="11"/>
  <c r="Z118" i="11"/>
  <c r="Y118" i="11"/>
  <c r="AA117" i="11"/>
  <c r="Z117" i="11"/>
  <c r="Y117" i="11"/>
  <c r="AA116" i="11"/>
  <c r="Z116" i="11"/>
  <c r="Y116" i="11"/>
  <c r="AA115" i="11"/>
  <c r="Z115" i="11"/>
  <c r="Y115" i="11"/>
  <c r="AA114" i="11"/>
  <c r="Z114" i="11"/>
  <c r="Y114" i="11"/>
  <c r="AA113" i="11"/>
  <c r="Z113" i="11"/>
  <c r="Y113" i="11"/>
  <c r="AA112" i="11"/>
  <c r="Z112" i="11"/>
  <c r="Y112" i="11"/>
  <c r="AA111" i="11"/>
  <c r="Z111" i="11"/>
  <c r="Y111" i="11"/>
  <c r="AA110" i="11"/>
  <c r="Z110" i="11"/>
  <c r="Y110" i="11"/>
  <c r="AA109" i="11"/>
  <c r="Z109" i="11"/>
  <c r="Y109" i="11"/>
  <c r="AA108" i="11"/>
  <c r="Z108" i="11"/>
  <c r="Y108" i="11"/>
  <c r="AA107" i="11"/>
  <c r="Z107" i="11"/>
  <c r="Y107" i="11"/>
  <c r="AA106" i="11"/>
  <c r="Z106" i="11"/>
  <c r="Y106" i="11"/>
  <c r="AA105" i="11"/>
  <c r="Z105" i="11"/>
  <c r="Y105" i="11"/>
  <c r="AA104" i="11"/>
  <c r="Z104" i="11"/>
  <c r="Y104" i="11"/>
  <c r="AA103" i="11"/>
  <c r="Z103" i="11"/>
  <c r="Y103" i="11"/>
  <c r="AA102" i="11"/>
  <c r="Z102" i="11"/>
  <c r="Y102" i="11"/>
  <c r="AA101" i="11"/>
  <c r="Z101" i="11"/>
  <c r="Y101" i="11"/>
  <c r="AA100" i="11"/>
  <c r="Z100" i="11"/>
  <c r="Y100" i="11"/>
  <c r="AA99" i="11"/>
  <c r="Z99" i="11"/>
  <c r="Y99" i="11"/>
  <c r="AA98" i="11"/>
  <c r="Z98" i="11"/>
  <c r="Y98" i="11"/>
  <c r="AA97" i="11"/>
  <c r="Z97" i="11"/>
  <c r="Y97" i="11"/>
  <c r="AA96" i="11"/>
  <c r="Z96" i="11"/>
  <c r="Y96" i="11"/>
  <c r="AA95" i="11"/>
  <c r="Z95" i="11"/>
  <c r="Y95" i="11"/>
  <c r="AA94" i="11"/>
  <c r="Z94" i="11"/>
  <c r="Y94" i="11"/>
  <c r="AA93" i="11"/>
  <c r="Z93" i="11"/>
  <c r="Y93" i="11"/>
  <c r="AA92" i="11"/>
  <c r="Z92" i="11"/>
  <c r="Y92" i="11"/>
  <c r="AA91" i="11"/>
  <c r="Z91" i="11"/>
  <c r="Y91" i="11"/>
  <c r="AA90" i="11"/>
  <c r="Z90" i="11"/>
  <c r="Y90" i="11"/>
  <c r="AA89" i="11"/>
  <c r="Z89" i="11"/>
  <c r="Y89" i="11"/>
  <c r="AA88" i="11"/>
  <c r="Z88" i="11"/>
  <c r="Y88" i="11"/>
  <c r="AA87" i="11"/>
  <c r="Z87" i="11"/>
  <c r="Y87" i="11"/>
  <c r="AA86" i="11"/>
  <c r="Z86" i="11"/>
  <c r="Y86" i="11"/>
  <c r="AA85" i="11"/>
  <c r="Z85" i="11"/>
  <c r="Y85" i="11"/>
  <c r="AA84" i="11"/>
  <c r="Z84" i="11"/>
  <c r="Y84" i="11"/>
  <c r="AA83" i="11"/>
  <c r="Z83" i="11"/>
  <c r="Y83" i="11"/>
  <c r="AA82" i="11"/>
  <c r="Z82" i="11"/>
  <c r="Y82" i="11"/>
  <c r="AA81" i="11"/>
  <c r="Z81" i="11"/>
  <c r="Y81" i="11"/>
  <c r="AA80" i="11"/>
  <c r="Z80" i="11"/>
  <c r="Y80" i="11"/>
  <c r="AA79" i="11"/>
  <c r="Z79" i="11"/>
  <c r="Y79" i="11"/>
  <c r="AA78" i="11"/>
  <c r="Z78" i="11"/>
  <c r="Y78" i="11"/>
  <c r="AA77" i="11"/>
  <c r="Z77" i="11"/>
  <c r="Y77" i="11"/>
  <c r="AA76" i="11"/>
  <c r="Z76" i="11"/>
  <c r="Y76" i="11"/>
  <c r="AA75" i="11"/>
  <c r="Z75" i="11"/>
  <c r="Y75" i="11"/>
  <c r="AA74" i="11"/>
  <c r="Z74" i="11"/>
  <c r="Y74" i="11"/>
  <c r="AA73" i="11"/>
  <c r="Z73" i="11"/>
  <c r="Y73" i="11"/>
  <c r="AA72" i="11"/>
  <c r="Z72" i="11"/>
  <c r="Y72" i="11"/>
  <c r="AA71" i="11"/>
  <c r="Z71" i="11"/>
  <c r="Y71" i="11"/>
  <c r="AA70" i="11"/>
  <c r="Z70" i="11"/>
  <c r="Y70" i="11"/>
  <c r="AA69" i="11"/>
  <c r="Z69" i="11"/>
  <c r="Y69" i="11"/>
  <c r="AA68" i="11"/>
  <c r="Z68" i="11"/>
  <c r="Y68" i="11"/>
  <c r="AA67" i="11"/>
  <c r="Z67" i="11"/>
  <c r="Y67" i="11"/>
  <c r="AA66" i="11"/>
  <c r="Z66" i="11"/>
  <c r="Y66" i="11"/>
  <c r="AA65" i="11"/>
  <c r="Z65" i="11"/>
  <c r="Y65" i="11"/>
  <c r="AA64" i="11"/>
  <c r="Z64" i="11"/>
  <c r="Y64" i="11"/>
  <c r="AA63" i="11"/>
  <c r="Z63" i="11"/>
  <c r="Y63" i="11"/>
  <c r="AA62" i="11"/>
  <c r="Z62" i="11"/>
  <c r="Y62" i="11"/>
  <c r="AA61" i="11"/>
  <c r="Z61" i="11"/>
  <c r="Y61" i="11"/>
  <c r="AA60" i="11"/>
  <c r="Z60" i="11"/>
  <c r="Y60" i="11"/>
  <c r="AA59" i="11"/>
  <c r="Z59" i="11"/>
  <c r="Y59" i="11"/>
  <c r="AA58" i="11"/>
  <c r="Z58" i="11"/>
  <c r="Y58" i="11"/>
  <c r="AA57" i="11"/>
  <c r="Z57" i="11"/>
  <c r="Y57" i="11"/>
  <c r="AA56" i="11"/>
  <c r="Z56" i="11"/>
  <c r="Y56" i="11"/>
  <c r="AA55" i="11"/>
  <c r="Z55" i="11"/>
  <c r="Y55" i="11"/>
  <c r="AA54" i="11"/>
  <c r="Z54" i="11"/>
  <c r="Y54" i="11"/>
  <c r="AA53" i="11"/>
  <c r="Z53" i="11"/>
  <c r="Y53" i="11"/>
  <c r="AA52" i="11"/>
  <c r="Z52" i="11"/>
  <c r="Y52" i="11"/>
  <c r="AA51" i="11"/>
  <c r="Z51" i="11"/>
  <c r="Y51" i="11"/>
  <c r="AA50" i="11"/>
  <c r="Z50" i="11"/>
  <c r="Y50" i="11"/>
  <c r="AA49" i="11"/>
  <c r="Z49" i="11"/>
  <c r="Y49" i="11"/>
  <c r="AA48" i="11"/>
  <c r="Z48" i="11"/>
  <c r="Y48" i="11"/>
  <c r="AA47" i="11"/>
  <c r="Z47" i="11"/>
  <c r="Y47" i="11"/>
  <c r="AA46" i="11"/>
  <c r="Z46" i="11"/>
  <c r="Y46" i="11"/>
  <c r="AA45" i="11"/>
  <c r="Z45" i="11"/>
  <c r="Y45" i="11"/>
  <c r="AA44" i="11"/>
  <c r="Z44" i="11"/>
  <c r="Y44" i="11"/>
  <c r="AA43" i="11"/>
  <c r="Z43" i="11"/>
  <c r="Y43" i="11"/>
  <c r="AA42" i="11"/>
  <c r="Z42" i="11"/>
  <c r="Y42" i="11"/>
  <c r="AA41" i="11"/>
  <c r="Z41" i="11"/>
  <c r="Y41" i="11"/>
  <c r="AA40" i="11"/>
  <c r="Z40" i="11"/>
  <c r="Y40" i="11"/>
  <c r="AA39" i="11"/>
  <c r="Z39" i="11"/>
  <c r="Y39" i="11"/>
  <c r="AA38" i="11"/>
  <c r="Z38" i="11"/>
  <c r="Y38" i="11"/>
  <c r="AA37" i="11"/>
  <c r="Z37" i="11"/>
  <c r="Y37" i="11"/>
  <c r="AA36" i="11"/>
  <c r="Z36" i="11"/>
  <c r="Y36" i="11"/>
  <c r="AA35" i="11"/>
  <c r="Z35" i="11"/>
  <c r="Y35" i="11"/>
  <c r="AA34" i="11"/>
  <c r="Z34" i="11"/>
  <c r="Y34" i="11"/>
  <c r="AA33" i="11"/>
  <c r="Z33" i="11"/>
  <c r="Y33" i="11"/>
  <c r="AA32" i="11"/>
  <c r="Z32" i="11"/>
  <c r="Y32" i="11"/>
  <c r="AA31" i="11"/>
  <c r="Z31" i="11"/>
  <c r="Y31" i="11"/>
  <c r="AA30" i="11"/>
  <c r="Z30" i="11"/>
  <c r="Y30" i="11"/>
  <c r="AA29" i="11"/>
  <c r="Z29" i="11"/>
  <c r="Y29" i="11"/>
  <c r="AA28" i="11"/>
  <c r="Z28" i="11"/>
  <c r="Y28" i="11"/>
  <c r="AA27" i="11"/>
  <c r="Z27" i="11"/>
  <c r="Y27" i="11"/>
  <c r="AA26" i="11"/>
  <c r="Z26" i="11"/>
  <c r="Y26" i="11"/>
  <c r="AA25" i="11"/>
  <c r="Z25" i="11"/>
  <c r="Y25" i="11"/>
  <c r="AA24" i="11"/>
  <c r="Z24" i="11"/>
  <c r="Y24" i="11"/>
  <c r="AA23" i="11"/>
  <c r="Z23" i="11"/>
  <c r="Y23" i="11"/>
  <c r="AA22" i="11"/>
  <c r="Z22" i="11"/>
  <c r="Y22" i="11"/>
  <c r="AA21" i="11"/>
  <c r="Z21" i="11"/>
  <c r="Y21" i="11"/>
  <c r="AA20" i="11"/>
  <c r="Z20" i="11"/>
  <c r="Y20" i="11"/>
  <c r="AA19" i="11"/>
  <c r="Z19" i="11"/>
  <c r="Y19" i="11"/>
  <c r="AA18" i="11"/>
  <c r="Z18" i="11"/>
  <c r="Y18" i="11"/>
  <c r="AA17" i="11"/>
  <c r="Z17" i="11"/>
  <c r="Y17" i="11"/>
  <c r="AA16" i="11"/>
  <c r="Z16" i="11"/>
  <c r="Y16" i="11"/>
  <c r="AA15" i="11"/>
  <c r="Z15" i="11"/>
  <c r="Y15" i="11"/>
  <c r="AA14" i="11"/>
  <c r="Z14" i="11"/>
  <c r="Y14" i="11"/>
  <c r="AA13" i="11"/>
  <c r="Z13" i="11"/>
  <c r="Y13" i="11"/>
  <c r="AA12" i="11"/>
  <c r="Z12" i="11"/>
  <c r="Y12" i="11"/>
  <c r="AA11" i="11"/>
  <c r="Z11" i="11"/>
  <c r="Y11" i="11"/>
  <c r="AA10" i="11"/>
  <c r="Z10" i="11"/>
  <c r="Y10" i="11"/>
  <c r="AA9" i="11"/>
  <c r="Z9" i="11"/>
  <c r="Y9" i="11"/>
  <c r="AA8" i="11"/>
  <c r="Z8" i="11"/>
  <c r="Y8" i="11"/>
  <c r="E14" i="24"/>
  <c r="E21" i="24"/>
  <c r="E32" i="5"/>
  <c r="V354" i="1"/>
  <c r="U354" i="1"/>
  <c r="T354" i="1"/>
  <c r="V353" i="1"/>
  <c r="U353" i="1"/>
  <c r="T353" i="1"/>
  <c r="V352" i="1"/>
  <c r="U352" i="1"/>
  <c r="T352" i="1"/>
  <c r="V351" i="1"/>
  <c r="U351" i="1"/>
  <c r="T351" i="1"/>
  <c r="V350" i="1"/>
  <c r="U350" i="1"/>
  <c r="T350" i="1"/>
  <c r="V349" i="1"/>
  <c r="U349" i="1"/>
  <c r="T349" i="1"/>
  <c r="V348" i="1"/>
  <c r="U348" i="1"/>
  <c r="T348" i="1"/>
  <c r="V347" i="1"/>
  <c r="U347" i="1"/>
  <c r="T347" i="1"/>
  <c r="V346" i="1"/>
  <c r="U346" i="1"/>
  <c r="T346" i="1"/>
  <c r="V345" i="1"/>
  <c r="U345" i="1"/>
  <c r="T345" i="1"/>
  <c r="V344" i="1"/>
  <c r="U344" i="1"/>
  <c r="T344" i="1"/>
  <c r="V343" i="1"/>
  <c r="U343" i="1"/>
  <c r="T343" i="1"/>
  <c r="V342" i="1"/>
  <c r="U342" i="1"/>
  <c r="T342" i="1"/>
  <c r="V341" i="1"/>
  <c r="U341" i="1"/>
  <c r="T341" i="1"/>
  <c r="V340" i="1"/>
  <c r="U340" i="1"/>
  <c r="T340" i="1"/>
  <c r="V339" i="1"/>
  <c r="U339" i="1"/>
  <c r="T339" i="1"/>
  <c r="V338" i="1"/>
  <c r="U338" i="1"/>
  <c r="T338" i="1"/>
  <c r="V337" i="1"/>
  <c r="U337" i="1"/>
  <c r="T337" i="1"/>
  <c r="V336" i="1"/>
  <c r="U336" i="1"/>
  <c r="T336" i="1"/>
  <c r="V335" i="1"/>
  <c r="U335" i="1"/>
  <c r="T335" i="1"/>
  <c r="V334" i="1"/>
  <c r="U334" i="1"/>
  <c r="T334" i="1"/>
  <c r="V333" i="1"/>
  <c r="U333" i="1"/>
  <c r="T333" i="1"/>
  <c r="V332" i="1"/>
  <c r="U332" i="1"/>
  <c r="T332" i="1"/>
  <c r="V331" i="1"/>
  <c r="U331" i="1"/>
  <c r="T331" i="1"/>
  <c r="V330" i="1"/>
  <c r="U330" i="1"/>
  <c r="T330" i="1"/>
  <c r="V329" i="1"/>
  <c r="U329" i="1"/>
  <c r="T329" i="1"/>
  <c r="V328" i="1"/>
  <c r="U328" i="1"/>
  <c r="T328" i="1"/>
  <c r="V327" i="1"/>
  <c r="U327" i="1"/>
  <c r="T327" i="1"/>
  <c r="V326" i="1"/>
  <c r="U326" i="1"/>
  <c r="T326" i="1"/>
  <c r="V325" i="1"/>
  <c r="U325" i="1"/>
  <c r="T325" i="1"/>
  <c r="V324" i="1"/>
  <c r="U324" i="1"/>
  <c r="T324" i="1"/>
  <c r="V323" i="1"/>
  <c r="U323" i="1"/>
  <c r="T323" i="1"/>
  <c r="V322" i="1"/>
  <c r="U322" i="1"/>
  <c r="T322" i="1"/>
  <c r="V321" i="1"/>
  <c r="U321" i="1"/>
  <c r="T321" i="1"/>
  <c r="V320" i="1"/>
  <c r="U320" i="1"/>
  <c r="T320" i="1"/>
  <c r="V319" i="1"/>
  <c r="U319" i="1"/>
  <c r="T319" i="1"/>
  <c r="V318" i="1"/>
  <c r="U318" i="1"/>
  <c r="T318" i="1"/>
  <c r="V317" i="1"/>
  <c r="U317" i="1"/>
  <c r="T317" i="1"/>
  <c r="V316" i="1"/>
  <c r="U316" i="1"/>
  <c r="T316" i="1"/>
  <c r="V315" i="1"/>
  <c r="U315" i="1"/>
  <c r="T315" i="1"/>
  <c r="V314" i="1"/>
  <c r="U314" i="1"/>
  <c r="T314" i="1"/>
  <c r="V313" i="1"/>
  <c r="U313" i="1"/>
  <c r="T313" i="1"/>
  <c r="V312" i="1"/>
  <c r="U312" i="1"/>
  <c r="T312" i="1"/>
  <c r="V311" i="1"/>
  <c r="U311" i="1"/>
  <c r="T311" i="1"/>
  <c r="V310" i="1"/>
  <c r="U310" i="1"/>
  <c r="T310" i="1"/>
  <c r="V309" i="1"/>
  <c r="U309" i="1"/>
  <c r="T309" i="1"/>
  <c r="V308" i="1"/>
  <c r="U308" i="1"/>
  <c r="T308" i="1"/>
  <c r="V307" i="1"/>
  <c r="U307" i="1"/>
  <c r="T307" i="1"/>
  <c r="V306" i="1"/>
  <c r="U306" i="1"/>
  <c r="T306" i="1"/>
  <c r="V305" i="1"/>
  <c r="U305" i="1"/>
  <c r="T305" i="1"/>
  <c r="V304" i="1"/>
  <c r="U304" i="1"/>
  <c r="T304" i="1"/>
  <c r="V303" i="1"/>
  <c r="U303" i="1"/>
  <c r="T303" i="1"/>
  <c r="V302" i="1"/>
  <c r="U302" i="1"/>
  <c r="T302" i="1"/>
  <c r="V301" i="1"/>
  <c r="U301" i="1"/>
  <c r="T301" i="1"/>
  <c r="V300" i="1"/>
  <c r="U300" i="1"/>
  <c r="T300" i="1"/>
  <c r="V299" i="1"/>
  <c r="U299" i="1"/>
  <c r="T299" i="1"/>
  <c r="V298" i="1"/>
  <c r="U298" i="1"/>
  <c r="T298" i="1"/>
  <c r="V297" i="1"/>
  <c r="U297" i="1"/>
  <c r="T297" i="1"/>
  <c r="V296" i="1"/>
  <c r="U296" i="1"/>
  <c r="T296" i="1"/>
  <c r="V295" i="1"/>
  <c r="U295" i="1"/>
  <c r="T295" i="1"/>
  <c r="V294" i="1"/>
  <c r="U294" i="1"/>
  <c r="T294" i="1"/>
  <c r="V293" i="1"/>
  <c r="U293" i="1"/>
  <c r="T293" i="1"/>
  <c r="V292" i="1"/>
  <c r="U292" i="1"/>
  <c r="T292" i="1"/>
  <c r="V291" i="1"/>
  <c r="U291" i="1"/>
  <c r="T291" i="1"/>
  <c r="V290" i="1"/>
  <c r="U290" i="1"/>
  <c r="T290" i="1"/>
  <c r="V289" i="1"/>
  <c r="U289" i="1"/>
  <c r="T289" i="1"/>
  <c r="V288" i="1"/>
  <c r="U288" i="1"/>
  <c r="T288" i="1"/>
  <c r="V287" i="1"/>
  <c r="U287" i="1"/>
  <c r="T287" i="1"/>
  <c r="V286" i="1"/>
  <c r="U286" i="1"/>
  <c r="T286" i="1"/>
  <c r="V285" i="1"/>
  <c r="U285" i="1"/>
  <c r="T285" i="1"/>
  <c r="V284" i="1"/>
  <c r="U284" i="1"/>
  <c r="T284" i="1"/>
  <c r="V283" i="1"/>
  <c r="U283" i="1"/>
  <c r="T283" i="1"/>
  <c r="V282" i="1"/>
  <c r="U282" i="1"/>
  <c r="T282" i="1"/>
  <c r="V281" i="1"/>
  <c r="U281" i="1"/>
  <c r="T281" i="1"/>
  <c r="V280" i="1"/>
  <c r="U280" i="1"/>
  <c r="T280" i="1"/>
  <c r="V279" i="1"/>
  <c r="U279" i="1"/>
  <c r="T279" i="1"/>
  <c r="V278" i="1"/>
  <c r="U278" i="1"/>
  <c r="T278" i="1"/>
  <c r="V277" i="1"/>
  <c r="U277" i="1"/>
  <c r="T277" i="1"/>
  <c r="V276" i="1"/>
  <c r="U276" i="1"/>
  <c r="T276" i="1"/>
  <c r="V275" i="1"/>
  <c r="U275" i="1"/>
  <c r="T275" i="1"/>
  <c r="V274" i="1"/>
  <c r="U274" i="1"/>
  <c r="T274" i="1"/>
  <c r="V273" i="1"/>
  <c r="U273" i="1"/>
  <c r="T273" i="1"/>
  <c r="V272" i="1"/>
  <c r="U272" i="1"/>
  <c r="T272" i="1"/>
  <c r="V271" i="1"/>
  <c r="U271" i="1"/>
  <c r="T271" i="1"/>
  <c r="V270" i="1"/>
  <c r="U270" i="1"/>
  <c r="T270" i="1"/>
  <c r="V269" i="1"/>
  <c r="U269" i="1"/>
  <c r="T269" i="1"/>
  <c r="V268" i="1"/>
  <c r="U268" i="1"/>
  <c r="T268" i="1"/>
  <c r="V267" i="1"/>
  <c r="U267" i="1"/>
  <c r="T267" i="1"/>
  <c r="V266" i="1"/>
  <c r="U266" i="1"/>
  <c r="T266" i="1"/>
  <c r="V265" i="1"/>
  <c r="U265" i="1"/>
  <c r="T265" i="1"/>
  <c r="V264" i="1"/>
  <c r="U264" i="1"/>
  <c r="T264" i="1"/>
  <c r="V263" i="1"/>
  <c r="U263" i="1"/>
  <c r="T263" i="1"/>
  <c r="V262" i="1"/>
  <c r="U262" i="1"/>
  <c r="T262" i="1"/>
  <c r="V261" i="1"/>
  <c r="U261" i="1"/>
  <c r="T261" i="1"/>
  <c r="V260" i="1"/>
  <c r="U260" i="1"/>
  <c r="T260" i="1"/>
  <c r="V259" i="1"/>
  <c r="U259" i="1"/>
  <c r="T259" i="1"/>
  <c r="V258" i="1"/>
  <c r="U258" i="1"/>
  <c r="T258" i="1"/>
  <c r="V257" i="1"/>
  <c r="U257" i="1"/>
  <c r="T257" i="1"/>
  <c r="V256" i="1"/>
  <c r="U256" i="1"/>
  <c r="T256" i="1"/>
  <c r="V255" i="1"/>
  <c r="U255" i="1"/>
  <c r="T255" i="1"/>
  <c r="V254" i="1"/>
  <c r="U254" i="1"/>
  <c r="T254" i="1"/>
  <c r="V253" i="1"/>
  <c r="U253" i="1"/>
  <c r="T253" i="1"/>
  <c r="V252" i="1"/>
  <c r="U252" i="1"/>
  <c r="T252" i="1"/>
  <c r="V251" i="1"/>
  <c r="U251" i="1"/>
  <c r="T251" i="1"/>
  <c r="V250" i="1"/>
  <c r="U250" i="1"/>
  <c r="T250" i="1"/>
  <c r="V249" i="1"/>
  <c r="U249" i="1"/>
  <c r="T249" i="1"/>
  <c r="V248" i="1"/>
  <c r="U248" i="1"/>
  <c r="T248" i="1"/>
  <c r="V247" i="1"/>
  <c r="U247" i="1"/>
  <c r="T247" i="1"/>
  <c r="V246" i="1"/>
  <c r="U246" i="1"/>
  <c r="T246" i="1"/>
  <c r="V245" i="1"/>
  <c r="U245" i="1"/>
  <c r="T245" i="1"/>
  <c r="V244" i="1"/>
  <c r="U244" i="1"/>
  <c r="T244" i="1"/>
  <c r="V243" i="1"/>
  <c r="U243" i="1"/>
  <c r="T243" i="1"/>
  <c r="V242" i="1"/>
  <c r="U242" i="1"/>
  <c r="T242" i="1"/>
  <c r="V241" i="1"/>
  <c r="U241" i="1"/>
  <c r="T241" i="1"/>
  <c r="V240" i="1"/>
  <c r="U240" i="1"/>
  <c r="T240" i="1"/>
  <c r="V239" i="1"/>
  <c r="U239" i="1"/>
  <c r="T239" i="1"/>
  <c r="V238" i="1"/>
  <c r="U238" i="1"/>
  <c r="T238" i="1"/>
  <c r="V237" i="1"/>
  <c r="U237" i="1"/>
  <c r="T237" i="1"/>
  <c r="V236" i="1"/>
  <c r="U236" i="1"/>
  <c r="T236" i="1"/>
  <c r="V235" i="1"/>
  <c r="U235" i="1"/>
  <c r="T235" i="1"/>
  <c r="V234" i="1"/>
  <c r="U234" i="1"/>
  <c r="T234" i="1"/>
  <c r="V233" i="1"/>
  <c r="U233" i="1"/>
  <c r="T233" i="1"/>
  <c r="V232" i="1"/>
  <c r="U232" i="1"/>
  <c r="T232" i="1"/>
  <c r="V231" i="1"/>
  <c r="U231" i="1"/>
  <c r="T231" i="1"/>
  <c r="V230" i="1"/>
  <c r="U230" i="1"/>
  <c r="T230" i="1"/>
  <c r="V229" i="1"/>
  <c r="U229" i="1"/>
  <c r="T229" i="1"/>
  <c r="V228" i="1"/>
  <c r="U228" i="1"/>
  <c r="T228" i="1"/>
  <c r="V227" i="1"/>
  <c r="U227" i="1"/>
  <c r="T227" i="1"/>
  <c r="V226" i="1"/>
  <c r="U226" i="1"/>
  <c r="T226" i="1"/>
  <c r="V225" i="1"/>
  <c r="U225" i="1"/>
  <c r="T225" i="1"/>
  <c r="V224" i="1"/>
  <c r="U224" i="1"/>
  <c r="T224" i="1"/>
  <c r="V223" i="1"/>
  <c r="U223" i="1"/>
  <c r="T223" i="1"/>
  <c r="V222" i="1"/>
  <c r="U222" i="1"/>
  <c r="T222" i="1"/>
  <c r="V221" i="1"/>
  <c r="U221" i="1"/>
  <c r="T221" i="1"/>
  <c r="V220" i="1"/>
  <c r="U220" i="1"/>
  <c r="T220" i="1"/>
  <c r="V219" i="1"/>
  <c r="U219" i="1"/>
  <c r="T219" i="1"/>
  <c r="V218" i="1"/>
  <c r="U218" i="1"/>
  <c r="T218" i="1"/>
  <c r="V217" i="1"/>
  <c r="U217" i="1"/>
  <c r="T217" i="1"/>
  <c r="V216" i="1"/>
  <c r="U216" i="1"/>
  <c r="T216" i="1"/>
  <c r="V215" i="1"/>
  <c r="U215" i="1"/>
  <c r="T215" i="1"/>
  <c r="V214" i="1"/>
  <c r="U214" i="1"/>
  <c r="T214" i="1"/>
  <c r="V213" i="1"/>
  <c r="U213" i="1"/>
  <c r="T213" i="1"/>
  <c r="V212" i="1"/>
  <c r="U212" i="1"/>
  <c r="T212" i="1"/>
  <c r="V211" i="1"/>
  <c r="U211" i="1"/>
  <c r="T211" i="1"/>
  <c r="V210" i="1"/>
  <c r="U210" i="1"/>
  <c r="T210" i="1"/>
  <c r="V209" i="1"/>
  <c r="U209" i="1"/>
  <c r="T209" i="1"/>
  <c r="V208" i="1"/>
  <c r="U208" i="1"/>
  <c r="T208" i="1"/>
  <c r="V207" i="1"/>
  <c r="U207" i="1"/>
  <c r="T207" i="1"/>
  <c r="V206" i="1"/>
  <c r="U206" i="1"/>
  <c r="T206" i="1"/>
  <c r="V205" i="1"/>
  <c r="U205" i="1"/>
  <c r="T205" i="1"/>
  <c r="V204" i="1"/>
  <c r="U204" i="1"/>
  <c r="T204" i="1"/>
  <c r="V203" i="1"/>
  <c r="U203" i="1"/>
  <c r="T203" i="1"/>
  <c r="V202" i="1"/>
  <c r="U202" i="1"/>
  <c r="T202" i="1"/>
  <c r="V201" i="1"/>
  <c r="U201" i="1"/>
  <c r="T201" i="1"/>
  <c r="V200" i="1"/>
  <c r="U200" i="1"/>
  <c r="T200" i="1"/>
  <c r="V199" i="1"/>
  <c r="U199" i="1"/>
  <c r="T199" i="1"/>
  <c r="V198" i="1"/>
  <c r="U198" i="1"/>
  <c r="T198" i="1"/>
  <c r="V197" i="1"/>
  <c r="U197" i="1"/>
  <c r="T197" i="1"/>
  <c r="V196" i="1"/>
  <c r="U196" i="1"/>
  <c r="T196" i="1"/>
  <c r="V195" i="1"/>
  <c r="U195" i="1"/>
  <c r="T195" i="1"/>
  <c r="V194" i="1"/>
  <c r="U194" i="1"/>
  <c r="T194" i="1"/>
  <c r="V193" i="1"/>
  <c r="U193" i="1"/>
  <c r="T193" i="1"/>
  <c r="V192" i="1"/>
  <c r="U192" i="1"/>
  <c r="T192" i="1"/>
  <c r="V191" i="1"/>
  <c r="U191" i="1"/>
  <c r="T191" i="1"/>
  <c r="V190" i="1"/>
  <c r="U190" i="1"/>
  <c r="T190" i="1"/>
  <c r="V189" i="1"/>
  <c r="U189" i="1"/>
  <c r="T189" i="1"/>
  <c r="V188" i="1"/>
  <c r="U188" i="1"/>
  <c r="T188" i="1"/>
  <c r="V187" i="1"/>
  <c r="U187" i="1"/>
  <c r="T187" i="1"/>
  <c r="V186" i="1"/>
  <c r="U186" i="1"/>
  <c r="T186" i="1"/>
  <c r="V185" i="1"/>
  <c r="U185" i="1"/>
  <c r="T185" i="1"/>
  <c r="V184" i="1"/>
  <c r="U184" i="1"/>
  <c r="T184" i="1"/>
  <c r="V183" i="1"/>
  <c r="U183" i="1"/>
  <c r="T183" i="1"/>
  <c r="V182" i="1"/>
  <c r="U182" i="1"/>
  <c r="T182" i="1"/>
  <c r="V181" i="1"/>
  <c r="U181" i="1"/>
  <c r="T181" i="1"/>
  <c r="V180" i="1"/>
  <c r="U180" i="1"/>
  <c r="T180" i="1"/>
  <c r="V179" i="1"/>
  <c r="U179" i="1"/>
  <c r="T179" i="1"/>
  <c r="V178" i="1"/>
  <c r="U178" i="1"/>
  <c r="T178" i="1"/>
  <c r="V177" i="1"/>
  <c r="U177" i="1"/>
  <c r="T177" i="1"/>
  <c r="V176" i="1"/>
  <c r="U176" i="1"/>
  <c r="T176" i="1"/>
  <c r="V175" i="1"/>
  <c r="U175" i="1"/>
  <c r="T175" i="1"/>
  <c r="V174" i="1"/>
  <c r="U174" i="1"/>
  <c r="T174" i="1"/>
  <c r="V173" i="1"/>
  <c r="U173" i="1"/>
  <c r="T173" i="1"/>
  <c r="V172" i="1"/>
  <c r="U172" i="1"/>
  <c r="T172" i="1"/>
  <c r="V171" i="1"/>
  <c r="U171" i="1"/>
  <c r="T171" i="1"/>
  <c r="V170" i="1"/>
  <c r="U170" i="1"/>
  <c r="T170" i="1"/>
  <c r="V169" i="1"/>
  <c r="U169" i="1"/>
  <c r="T169" i="1"/>
  <c r="V168" i="1"/>
  <c r="U168" i="1"/>
  <c r="T168" i="1"/>
  <c r="V167" i="1"/>
  <c r="U167" i="1"/>
  <c r="T167" i="1"/>
  <c r="V166" i="1"/>
  <c r="U166" i="1"/>
  <c r="T166" i="1"/>
  <c r="V165" i="1"/>
  <c r="U165" i="1"/>
  <c r="T165" i="1"/>
  <c r="V164" i="1"/>
  <c r="U164" i="1"/>
  <c r="T164" i="1"/>
  <c r="V163" i="1"/>
  <c r="U163" i="1"/>
  <c r="T163" i="1"/>
  <c r="V162" i="1"/>
  <c r="U162" i="1"/>
  <c r="T162" i="1"/>
  <c r="V161" i="1"/>
  <c r="U161" i="1"/>
  <c r="T161" i="1"/>
  <c r="V160" i="1"/>
  <c r="U160" i="1"/>
  <c r="T160" i="1"/>
  <c r="V159" i="1"/>
  <c r="U159" i="1"/>
  <c r="T159" i="1"/>
  <c r="V158" i="1"/>
  <c r="U158" i="1"/>
  <c r="T158" i="1"/>
  <c r="V157" i="1"/>
  <c r="U157" i="1"/>
  <c r="T157" i="1"/>
  <c r="V156" i="1"/>
  <c r="U156" i="1"/>
  <c r="T156" i="1"/>
  <c r="V155" i="1"/>
  <c r="U155" i="1"/>
  <c r="T155" i="1"/>
  <c r="V154" i="1"/>
  <c r="U154" i="1"/>
  <c r="T154" i="1"/>
  <c r="V153" i="1"/>
  <c r="U153" i="1"/>
  <c r="T153" i="1"/>
  <c r="V152" i="1"/>
  <c r="U152" i="1"/>
  <c r="T152" i="1"/>
  <c r="V151" i="1"/>
  <c r="U151" i="1"/>
  <c r="T151" i="1"/>
  <c r="V150" i="1"/>
  <c r="U150" i="1"/>
  <c r="T150" i="1"/>
  <c r="V149" i="1"/>
  <c r="U149" i="1"/>
  <c r="T149" i="1"/>
  <c r="V148" i="1"/>
  <c r="U148" i="1"/>
  <c r="T148" i="1"/>
  <c r="V147" i="1"/>
  <c r="U147" i="1"/>
  <c r="T147" i="1"/>
  <c r="V146" i="1"/>
  <c r="U146" i="1"/>
  <c r="T146" i="1"/>
  <c r="V145" i="1"/>
  <c r="U145" i="1"/>
  <c r="T145" i="1"/>
  <c r="V144" i="1"/>
  <c r="U144" i="1"/>
  <c r="T144" i="1"/>
  <c r="V143" i="1"/>
  <c r="U143" i="1"/>
  <c r="T143" i="1"/>
  <c r="V142" i="1"/>
  <c r="U142" i="1"/>
  <c r="T142" i="1"/>
  <c r="V141" i="1"/>
  <c r="U141" i="1"/>
  <c r="T141" i="1"/>
  <c r="V140" i="1"/>
  <c r="U140" i="1"/>
  <c r="T140" i="1"/>
  <c r="V139" i="1"/>
  <c r="U139" i="1"/>
  <c r="T139" i="1"/>
  <c r="V138" i="1"/>
  <c r="U138" i="1"/>
  <c r="T138" i="1"/>
  <c r="V137" i="1"/>
  <c r="U137" i="1"/>
  <c r="T137" i="1"/>
  <c r="V136" i="1"/>
  <c r="U136" i="1"/>
  <c r="T136" i="1"/>
  <c r="V135" i="1"/>
  <c r="U135" i="1"/>
  <c r="T135" i="1"/>
  <c r="V134" i="1"/>
  <c r="U134" i="1"/>
  <c r="T134" i="1"/>
  <c r="V133" i="1"/>
  <c r="U133" i="1"/>
  <c r="T133" i="1"/>
  <c r="V132" i="1"/>
  <c r="U132" i="1"/>
  <c r="T132" i="1"/>
  <c r="V131" i="1"/>
  <c r="U131" i="1"/>
  <c r="T131" i="1"/>
  <c r="V130" i="1"/>
  <c r="U130" i="1"/>
  <c r="T130" i="1"/>
  <c r="V129" i="1"/>
  <c r="U129" i="1"/>
  <c r="T129" i="1"/>
  <c r="V128" i="1"/>
  <c r="U128" i="1"/>
  <c r="T128" i="1"/>
  <c r="V127" i="1"/>
  <c r="U127" i="1"/>
  <c r="T127" i="1"/>
  <c r="V126" i="1"/>
  <c r="U126" i="1"/>
  <c r="T126" i="1"/>
  <c r="V125" i="1"/>
  <c r="U125" i="1"/>
  <c r="T125" i="1"/>
  <c r="V124" i="1"/>
  <c r="U124" i="1"/>
  <c r="T124" i="1"/>
  <c r="V123" i="1"/>
  <c r="U123" i="1"/>
  <c r="T123" i="1"/>
  <c r="V122" i="1"/>
  <c r="U122" i="1"/>
  <c r="T122" i="1"/>
  <c r="V121" i="1"/>
  <c r="U121" i="1"/>
  <c r="T121" i="1"/>
  <c r="V120" i="1"/>
  <c r="U120" i="1"/>
  <c r="T120" i="1"/>
  <c r="V119" i="1"/>
  <c r="U119" i="1"/>
  <c r="T119" i="1"/>
  <c r="V118" i="1"/>
  <c r="U118" i="1"/>
  <c r="T118" i="1"/>
  <c r="V117" i="1"/>
  <c r="U117" i="1"/>
  <c r="T117" i="1"/>
  <c r="V116" i="1"/>
  <c r="U116" i="1"/>
  <c r="T116" i="1"/>
  <c r="V115" i="1"/>
  <c r="U115" i="1"/>
  <c r="T115" i="1"/>
  <c r="V114" i="1"/>
  <c r="U114" i="1"/>
  <c r="T114" i="1"/>
  <c r="V113" i="1"/>
  <c r="U113" i="1"/>
  <c r="T113" i="1"/>
  <c r="V112" i="1"/>
  <c r="U112" i="1"/>
  <c r="T112" i="1"/>
  <c r="V111" i="1"/>
  <c r="U111" i="1"/>
  <c r="T111" i="1"/>
  <c r="V110" i="1"/>
  <c r="U110" i="1"/>
  <c r="T110" i="1"/>
  <c r="V109" i="1"/>
  <c r="U109" i="1"/>
  <c r="T109" i="1"/>
  <c r="V108" i="1"/>
  <c r="U108" i="1"/>
  <c r="T108" i="1"/>
  <c r="V107" i="1"/>
  <c r="U107" i="1"/>
  <c r="T107" i="1"/>
  <c r="V106" i="1"/>
  <c r="U106" i="1"/>
  <c r="T106" i="1"/>
  <c r="V105" i="1"/>
  <c r="U105" i="1"/>
  <c r="T105" i="1"/>
  <c r="V104" i="1"/>
  <c r="U104" i="1"/>
  <c r="T104" i="1"/>
  <c r="V103" i="1"/>
  <c r="U103" i="1"/>
  <c r="T103" i="1"/>
  <c r="V102" i="1"/>
  <c r="U102" i="1"/>
  <c r="T102" i="1"/>
  <c r="V101" i="1"/>
  <c r="U101" i="1"/>
  <c r="T101" i="1"/>
  <c r="V100" i="1"/>
  <c r="U100" i="1"/>
  <c r="T100" i="1"/>
  <c r="V99" i="1"/>
  <c r="U99" i="1"/>
  <c r="T99" i="1"/>
  <c r="V98" i="1"/>
  <c r="U98" i="1"/>
  <c r="T98" i="1"/>
  <c r="V97" i="1"/>
  <c r="U97" i="1"/>
  <c r="T97" i="1"/>
  <c r="V96" i="1"/>
  <c r="U96" i="1"/>
  <c r="T96" i="1"/>
  <c r="V95" i="1"/>
  <c r="U95" i="1"/>
  <c r="T95" i="1"/>
  <c r="V94" i="1"/>
  <c r="U94" i="1"/>
  <c r="T94" i="1"/>
  <c r="V93" i="1"/>
  <c r="U93" i="1"/>
  <c r="T93" i="1"/>
  <c r="V92" i="1"/>
  <c r="U92" i="1"/>
  <c r="T92" i="1"/>
  <c r="V91" i="1"/>
  <c r="U91" i="1"/>
  <c r="T91" i="1"/>
  <c r="V90" i="1"/>
  <c r="U90" i="1"/>
  <c r="T90" i="1"/>
  <c r="V89" i="1"/>
  <c r="U89" i="1"/>
  <c r="T89" i="1"/>
  <c r="V88" i="1"/>
  <c r="U88" i="1"/>
  <c r="T88" i="1"/>
  <c r="V87" i="1"/>
  <c r="U87" i="1"/>
  <c r="T87" i="1"/>
  <c r="V86" i="1"/>
  <c r="U86" i="1"/>
  <c r="T86" i="1"/>
  <c r="V85" i="1"/>
  <c r="U85" i="1"/>
  <c r="T85" i="1"/>
  <c r="V84" i="1"/>
  <c r="U84" i="1"/>
  <c r="T84" i="1"/>
  <c r="V83" i="1"/>
  <c r="U83" i="1"/>
  <c r="T83" i="1"/>
  <c r="V82" i="1"/>
  <c r="U82" i="1"/>
  <c r="T82" i="1"/>
  <c r="V81" i="1"/>
  <c r="U81" i="1"/>
  <c r="T81" i="1"/>
  <c r="V80" i="1"/>
  <c r="U80" i="1"/>
  <c r="T80" i="1"/>
  <c r="V79" i="1"/>
  <c r="U79" i="1"/>
  <c r="T79" i="1"/>
  <c r="V78" i="1"/>
  <c r="U78" i="1"/>
  <c r="T78" i="1"/>
  <c r="V77" i="1"/>
  <c r="U77" i="1"/>
  <c r="T77" i="1"/>
  <c r="V76" i="1"/>
  <c r="U76" i="1"/>
  <c r="T76" i="1"/>
  <c r="V75" i="1"/>
  <c r="U75" i="1"/>
  <c r="T75" i="1"/>
  <c r="V74" i="1"/>
  <c r="U74" i="1"/>
  <c r="T74" i="1"/>
  <c r="V73" i="1"/>
  <c r="U73" i="1"/>
  <c r="T73" i="1"/>
  <c r="V72" i="1"/>
  <c r="U72" i="1"/>
  <c r="T72" i="1"/>
  <c r="V71" i="1"/>
  <c r="U71" i="1"/>
  <c r="T71" i="1"/>
  <c r="V70" i="1"/>
  <c r="U70" i="1"/>
  <c r="T70" i="1"/>
  <c r="V69" i="1"/>
  <c r="U69" i="1"/>
  <c r="T69" i="1"/>
  <c r="V68" i="1"/>
  <c r="U68" i="1"/>
  <c r="T68" i="1"/>
  <c r="V67" i="1"/>
  <c r="U67" i="1"/>
  <c r="T67" i="1"/>
  <c r="V66" i="1"/>
  <c r="U66" i="1"/>
  <c r="T66" i="1"/>
  <c r="V65" i="1"/>
  <c r="U65" i="1"/>
  <c r="T65" i="1"/>
  <c r="V64" i="1"/>
  <c r="U64" i="1"/>
  <c r="T64" i="1"/>
  <c r="V63" i="1"/>
  <c r="U63" i="1"/>
  <c r="T63" i="1"/>
  <c r="V62" i="1"/>
  <c r="U62" i="1"/>
  <c r="T62" i="1"/>
  <c r="V61" i="1"/>
  <c r="U61" i="1"/>
  <c r="T61" i="1"/>
  <c r="V60" i="1"/>
  <c r="U60" i="1"/>
  <c r="T60" i="1"/>
  <c r="V59" i="1"/>
  <c r="U59" i="1"/>
  <c r="T59" i="1"/>
  <c r="V58" i="1"/>
  <c r="U58" i="1"/>
  <c r="T58" i="1"/>
  <c r="V57" i="1"/>
  <c r="U57" i="1"/>
  <c r="T57" i="1"/>
  <c r="V56" i="1"/>
  <c r="U56" i="1"/>
  <c r="T56" i="1"/>
  <c r="V55" i="1"/>
  <c r="U55" i="1"/>
  <c r="T55" i="1"/>
  <c r="V54" i="1"/>
  <c r="U54" i="1"/>
  <c r="T54" i="1"/>
  <c r="V53" i="1"/>
  <c r="U53" i="1"/>
  <c r="T53" i="1"/>
  <c r="V52" i="1"/>
  <c r="U52" i="1"/>
  <c r="T52" i="1"/>
  <c r="V51" i="1"/>
  <c r="U51" i="1"/>
  <c r="T51" i="1"/>
  <c r="V50" i="1"/>
  <c r="U50" i="1"/>
  <c r="T50" i="1"/>
  <c r="V49" i="1"/>
  <c r="U49" i="1"/>
  <c r="T49" i="1"/>
  <c r="V48" i="1"/>
  <c r="U48" i="1"/>
  <c r="T48" i="1"/>
  <c r="V47" i="1"/>
  <c r="U47" i="1"/>
  <c r="T47" i="1"/>
  <c r="V46" i="1"/>
  <c r="U46" i="1"/>
  <c r="T46" i="1"/>
  <c r="V45" i="1"/>
  <c r="U45" i="1"/>
  <c r="T45" i="1"/>
  <c r="V44" i="1"/>
  <c r="U44" i="1"/>
  <c r="T44" i="1"/>
  <c r="V43" i="1"/>
  <c r="U43" i="1"/>
  <c r="T43" i="1"/>
  <c r="V42" i="1"/>
  <c r="U42" i="1"/>
  <c r="T42" i="1"/>
  <c r="V41" i="1"/>
  <c r="U41" i="1"/>
  <c r="T41" i="1"/>
  <c r="V40" i="1"/>
  <c r="U40" i="1"/>
  <c r="T40" i="1"/>
  <c r="V39" i="1"/>
  <c r="U39" i="1"/>
  <c r="T39" i="1"/>
  <c r="V38" i="1"/>
  <c r="U38" i="1"/>
  <c r="T38" i="1"/>
  <c r="V37" i="1"/>
  <c r="U37" i="1"/>
  <c r="T37" i="1"/>
  <c r="V36" i="1"/>
  <c r="U36" i="1"/>
  <c r="T36" i="1"/>
  <c r="V35" i="1"/>
  <c r="U35" i="1"/>
  <c r="T35" i="1"/>
  <c r="V34" i="1"/>
  <c r="U34" i="1"/>
  <c r="T34" i="1"/>
  <c r="V33" i="1"/>
  <c r="U33" i="1"/>
  <c r="T33" i="1"/>
  <c r="V32" i="1"/>
  <c r="U32" i="1"/>
  <c r="T32" i="1"/>
  <c r="V31" i="1"/>
  <c r="U31" i="1"/>
  <c r="T31" i="1"/>
  <c r="V30" i="1"/>
  <c r="U30" i="1"/>
  <c r="T30" i="1"/>
  <c r="V29" i="1"/>
  <c r="U29" i="1"/>
  <c r="T29" i="1"/>
  <c r="V28" i="1"/>
  <c r="U28" i="1"/>
  <c r="T28" i="1"/>
  <c r="V27" i="1"/>
  <c r="U27" i="1"/>
  <c r="T27" i="1"/>
  <c r="Q354" i="1"/>
  <c r="P354" i="1"/>
  <c r="Q353" i="1"/>
  <c r="P353" i="1"/>
  <c r="Q352" i="1"/>
  <c r="P352" i="1"/>
  <c r="Q351" i="1"/>
  <c r="P351" i="1"/>
  <c r="Q350" i="1"/>
  <c r="P350" i="1"/>
  <c r="Q349" i="1"/>
  <c r="P349" i="1"/>
  <c r="Q348" i="1"/>
  <c r="P348" i="1"/>
  <c r="Q347" i="1"/>
  <c r="P347" i="1"/>
  <c r="Q346" i="1"/>
  <c r="P346" i="1"/>
  <c r="Q345" i="1"/>
  <c r="P345" i="1"/>
  <c r="Q344" i="1"/>
  <c r="P344" i="1"/>
  <c r="Q343" i="1"/>
  <c r="P343" i="1"/>
  <c r="Q342" i="1"/>
  <c r="P342" i="1"/>
  <c r="Q341" i="1"/>
  <c r="P341" i="1"/>
  <c r="Q340" i="1"/>
  <c r="P340" i="1"/>
  <c r="Q339" i="1"/>
  <c r="P339" i="1"/>
  <c r="Q338" i="1"/>
  <c r="P338" i="1"/>
  <c r="Q337" i="1"/>
  <c r="P337" i="1"/>
  <c r="Q336" i="1"/>
  <c r="P336" i="1"/>
  <c r="Q335" i="1"/>
  <c r="P335" i="1"/>
  <c r="Q334" i="1"/>
  <c r="P334" i="1"/>
  <c r="Q333" i="1"/>
  <c r="P333" i="1"/>
  <c r="Q332" i="1"/>
  <c r="P332" i="1"/>
  <c r="Q331" i="1"/>
  <c r="P331" i="1"/>
  <c r="Q330" i="1"/>
  <c r="P330" i="1"/>
  <c r="Q329" i="1"/>
  <c r="P329" i="1"/>
  <c r="Q328" i="1"/>
  <c r="P328" i="1"/>
  <c r="Q327" i="1"/>
  <c r="P327" i="1"/>
  <c r="Q326" i="1"/>
  <c r="P326" i="1"/>
  <c r="Q325" i="1"/>
  <c r="P325" i="1"/>
  <c r="Q324" i="1"/>
  <c r="P324" i="1"/>
  <c r="Q323" i="1"/>
  <c r="P323" i="1"/>
  <c r="Q322" i="1"/>
  <c r="P322" i="1"/>
  <c r="Q321" i="1"/>
  <c r="P321" i="1"/>
  <c r="Q320" i="1"/>
  <c r="P320" i="1"/>
  <c r="Q319" i="1"/>
  <c r="P319" i="1"/>
  <c r="Q318" i="1"/>
  <c r="P318" i="1"/>
  <c r="Q317" i="1"/>
  <c r="P317" i="1"/>
  <c r="Q316" i="1"/>
  <c r="P316" i="1"/>
  <c r="Q315" i="1"/>
  <c r="P315" i="1"/>
  <c r="Q314" i="1"/>
  <c r="P314" i="1"/>
  <c r="Q313" i="1"/>
  <c r="P313" i="1"/>
  <c r="Q312" i="1"/>
  <c r="P312" i="1"/>
  <c r="Q311" i="1"/>
  <c r="P311" i="1"/>
  <c r="Q310" i="1"/>
  <c r="P310" i="1"/>
  <c r="Q309" i="1"/>
  <c r="P309" i="1"/>
  <c r="Q308" i="1"/>
  <c r="P308" i="1"/>
  <c r="Q307" i="1"/>
  <c r="P307" i="1"/>
  <c r="Q306" i="1"/>
  <c r="P306" i="1"/>
  <c r="Q305" i="1"/>
  <c r="P305" i="1"/>
  <c r="Q304" i="1"/>
  <c r="P304" i="1"/>
  <c r="Q303" i="1"/>
  <c r="P303" i="1"/>
  <c r="Q302" i="1"/>
  <c r="P302" i="1"/>
  <c r="Q301" i="1"/>
  <c r="P301" i="1"/>
  <c r="Q300" i="1"/>
  <c r="P300" i="1"/>
  <c r="Q299" i="1"/>
  <c r="P299" i="1"/>
  <c r="Q298" i="1"/>
  <c r="P298" i="1"/>
  <c r="Q297" i="1"/>
  <c r="P297" i="1"/>
  <c r="Q296" i="1"/>
  <c r="P296" i="1"/>
  <c r="Q295" i="1"/>
  <c r="P295" i="1"/>
  <c r="Q294" i="1"/>
  <c r="P294" i="1"/>
  <c r="Q293" i="1"/>
  <c r="P293" i="1"/>
  <c r="Q292" i="1"/>
  <c r="P292" i="1"/>
  <c r="Q291" i="1"/>
  <c r="P291" i="1"/>
  <c r="Q290" i="1"/>
  <c r="P290" i="1"/>
  <c r="Q289" i="1"/>
  <c r="P289" i="1"/>
  <c r="Q288" i="1"/>
  <c r="P288" i="1"/>
  <c r="Q287" i="1"/>
  <c r="P287" i="1"/>
  <c r="Q286" i="1"/>
  <c r="P286" i="1"/>
  <c r="Q285" i="1"/>
  <c r="P285" i="1"/>
  <c r="Q284" i="1"/>
  <c r="P284" i="1"/>
  <c r="Q283" i="1"/>
  <c r="P283" i="1"/>
  <c r="Q282" i="1"/>
  <c r="P282" i="1"/>
  <c r="Q281" i="1"/>
  <c r="P281" i="1"/>
  <c r="Q280" i="1"/>
  <c r="P280" i="1"/>
  <c r="Q279" i="1"/>
  <c r="P279" i="1"/>
  <c r="Q278" i="1"/>
  <c r="P278" i="1"/>
  <c r="Q277" i="1"/>
  <c r="P277" i="1"/>
  <c r="Q276" i="1"/>
  <c r="P276" i="1"/>
  <c r="Q275" i="1"/>
  <c r="P275" i="1"/>
  <c r="Q274" i="1"/>
  <c r="P274" i="1"/>
  <c r="Q273" i="1"/>
  <c r="P273" i="1"/>
  <c r="Q272" i="1"/>
  <c r="P272" i="1"/>
  <c r="Q271" i="1"/>
  <c r="P271" i="1"/>
  <c r="Q270" i="1"/>
  <c r="P270" i="1"/>
  <c r="Q269" i="1"/>
  <c r="P269" i="1"/>
  <c r="Q268" i="1"/>
  <c r="P268" i="1"/>
  <c r="Q267" i="1"/>
  <c r="P267" i="1"/>
  <c r="Q266" i="1"/>
  <c r="P266" i="1"/>
  <c r="Q265" i="1"/>
  <c r="P265" i="1"/>
  <c r="Q264" i="1"/>
  <c r="P264" i="1"/>
  <c r="Q263" i="1"/>
  <c r="P263" i="1"/>
  <c r="Q262" i="1"/>
  <c r="P262" i="1"/>
  <c r="Q261" i="1"/>
  <c r="P261" i="1"/>
  <c r="Q260" i="1"/>
  <c r="P260" i="1"/>
  <c r="Q259" i="1"/>
  <c r="P259" i="1"/>
  <c r="Q258" i="1"/>
  <c r="P258" i="1"/>
  <c r="Q257" i="1"/>
  <c r="P257" i="1"/>
  <c r="Q256" i="1"/>
  <c r="P256" i="1"/>
  <c r="Q255" i="1"/>
  <c r="P255" i="1"/>
  <c r="Q254" i="1"/>
  <c r="P254" i="1"/>
  <c r="Q253" i="1"/>
  <c r="P253" i="1"/>
  <c r="Q252" i="1"/>
  <c r="P252" i="1"/>
  <c r="Q251" i="1"/>
  <c r="P251" i="1"/>
  <c r="Q250" i="1"/>
  <c r="P250" i="1"/>
  <c r="Q249" i="1"/>
  <c r="P249" i="1"/>
  <c r="Q248" i="1"/>
  <c r="P248" i="1"/>
  <c r="Q247" i="1"/>
  <c r="P247" i="1"/>
  <c r="Q246" i="1"/>
  <c r="P246" i="1"/>
  <c r="Q245" i="1"/>
  <c r="P245" i="1"/>
  <c r="Q244" i="1"/>
  <c r="P244" i="1"/>
  <c r="Q243" i="1"/>
  <c r="P243" i="1"/>
  <c r="Q242" i="1"/>
  <c r="P242" i="1"/>
  <c r="Q241" i="1"/>
  <c r="P241" i="1"/>
  <c r="Q240" i="1"/>
  <c r="P240" i="1"/>
  <c r="Q239" i="1"/>
  <c r="P239" i="1"/>
  <c r="Q238" i="1"/>
  <c r="P238" i="1"/>
  <c r="Q237" i="1"/>
  <c r="P237" i="1"/>
  <c r="Q236" i="1"/>
  <c r="P236" i="1"/>
  <c r="Q235" i="1"/>
  <c r="P235" i="1"/>
  <c r="Q234" i="1"/>
  <c r="P234" i="1"/>
  <c r="Q233" i="1"/>
  <c r="P233" i="1"/>
  <c r="Q232" i="1"/>
  <c r="P232" i="1"/>
  <c r="Q231" i="1"/>
  <c r="P231" i="1"/>
  <c r="Q230" i="1"/>
  <c r="P230" i="1"/>
  <c r="Q229" i="1"/>
  <c r="P229" i="1"/>
  <c r="Q228" i="1"/>
  <c r="P228" i="1"/>
  <c r="Q227" i="1"/>
  <c r="P227" i="1"/>
  <c r="Q226" i="1"/>
  <c r="P226" i="1"/>
  <c r="Q225" i="1"/>
  <c r="P225" i="1"/>
  <c r="Q224" i="1"/>
  <c r="P224" i="1"/>
  <c r="Q223" i="1"/>
  <c r="P223" i="1"/>
  <c r="Q222" i="1"/>
  <c r="P222" i="1"/>
  <c r="Q221" i="1"/>
  <c r="P221" i="1"/>
  <c r="Q220" i="1"/>
  <c r="P220" i="1"/>
  <c r="Q219" i="1"/>
  <c r="P219" i="1"/>
  <c r="Q218" i="1"/>
  <c r="P218" i="1"/>
  <c r="Q217" i="1"/>
  <c r="P217" i="1"/>
  <c r="Q216" i="1"/>
  <c r="P216" i="1"/>
  <c r="Q215" i="1"/>
  <c r="P215" i="1"/>
  <c r="Q214" i="1"/>
  <c r="P214" i="1"/>
  <c r="Q213" i="1"/>
  <c r="P213" i="1"/>
  <c r="Q212" i="1"/>
  <c r="P212" i="1"/>
  <c r="Q211" i="1"/>
  <c r="P211" i="1"/>
  <c r="Q210" i="1"/>
  <c r="P210" i="1"/>
  <c r="Q209" i="1"/>
  <c r="P209" i="1"/>
  <c r="Q208" i="1"/>
  <c r="P208" i="1"/>
  <c r="Q207" i="1"/>
  <c r="P207" i="1"/>
  <c r="Q206" i="1"/>
  <c r="P206" i="1"/>
  <c r="Q205" i="1"/>
  <c r="P205" i="1"/>
  <c r="Q204" i="1"/>
  <c r="P204" i="1"/>
  <c r="Q203" i="1"/>
  <c r="P203" i="1"/>
  <c r="Q202" i="1"/>
  <c r="P202" i="1"/>
  <c r="Q201" i="1"/>
  <c r="P201" i="1"/>
  <c r="Q200" i="1"/>
  <c r="P200" i="1"/>
  <c r="Q199" i="1"/>
  <c r="P199" i="1"/>
  <c r="Q198" i="1"/>
  <c r="P198" i="1"/>
  <c r="Q197" i="1"/>
  <c r="P197" i="1"/>
  <c r="Q196" i="1"/>
  <c r="P196" i="1"/>
  <c r="Q195" i="1"/>
  <c r="P195" i="1"/>
  <c r="Q194" i="1"/>
  <c r="P194" i="1"/>
  <c r="Q193" i="1"/>
  <c r="P193" i="1"/>
  <c r="Q192" i="1"/>
  <c r="P192" i="1"/>
  <c r="Q191" i="1"/>
  <c r="P191" i="1"/>
  <c r="Q190" i="1"/>
  <c r="P190" i="1"/>
  <c r="Q189" i="1"/>
  <c r="P189" i="1"/>
  <c r="Q188" i="1"/>
  <c r="P188" i="1"/>
  <c r="Q187" i="1"/>
  <c r="P187" i="1"/>
  <c r="Q186" i="1"/>
  <c r="P186" i="1"/>
  <c r="Q185" i="1"/>
  <c r="P185" i="1"/>
  <c r="Q184" i="1"/>
  <c r="P184" i="1"/>
  <c r="Q183" i="1"/>
  <c r="P183" i="1"/>
  <c r="Q182" i="1"/>
  <c r="P182" i="1"/>
  <c r="Q181" i="1"/>
  <c r="P181" i="1"/>
  <c r="Q180" i="1"/>
  <c r="P180" i="1"/>
  <c r="Q179" i="1"/>
  <c r="P179" i="1"/>
  <c r="Q178" i="1"/>
  <c r="P178" i="1"/>
  <c r="Q177" i="1"/>
  <c r="P177" i="1"/>
  <c r="Q176" i="1"/>
  <c r="P176" i="1"/>
  <c r="Q175" i="1"/>
  <c r="P175" i="1"/>
  <c r="Q174" i="1"/>
  <c r="P174" i="1"/>
  <c r="Q173" i="1"/>
  <c r="P173" i="1"/>
  <c r="Q172" i="1"/>
  <c r="P172" i="1"/>
  <c r="Q171" i="1"/>
  <c r="P171" i="1"/>
  <c r="Q170" i="1"/>
  <c r="P170" i="1"/>
  <c r="Q169" i="1"/>
  <c r="P169" i="1"/>
  <c r="Q168" i="1"/>
  <c r="P168" i="1"/>
  <c r="Q167" i="1"/>
  <c r="P167" i="1"/>
  <c r="Q166" i="1"/>
  <c r="P166" i="1"/>
  <c r="Q165" i="1"/>
  <c r="P165" i="1"/>
  <c r="Q164" i="1"/>
  <c r="P164" i="1"/>
  <c r="Q163" i="1"/>
  <c r="P163" i="1"/>
  <c r="Q162" i="1"/>
  <c r="P162" i="1"/>
  <c r="Q161" i="1"/>
  <c r="P161" i="1"/>
  <c r="Q160" i="1"/>
  <c r="P160" i="1"/>
  <c r="Q159" i="1"/>
  <c r="P159" i="1"/>
  <c r="Q158" i="1"/>
  <c r="P158" i="1"/>
  <c r="Q157" i="1"/>
  <c r="P157" i="1"/>
  <c r="Q156" i="1"/>
  <c r="P156" i="1"/>
  <c r="Q155" i="1"/>
  <c r="P155" i="1"/>
  <c r="Q154" i="1"/>
  <c r="P154" i="1"/>
  <c r="Q153" i="1"/>
  <c r="P153" i="1"/>
  <c r="Q152" i="1"/>
  <c r="P152" i="1"/>
  <c r="Q151" i="1"/>
  <c r="P151" i="1"/>
  <c r="Q150" i="1"/>
  <c r="P150" i="1"/>
  <c r="Q149" i="1"/>
  <c r="P149" i="1"/>
  <c r="Q148" i="1"/>
  <c r="P148" i="1"/>
  <c r="Q147" i="1"/>
  <c r="P147" i="1"/>
  <c r="Q146" i="1"/>
  <c r="P146" i="1"/>
  <c r="Q145" i="1"/>
  <c r="P145" i="1"/>
  <c r="Q144" i="1"/>
  <c r="P144" i="1"/>
  <c r="Q143" i="1"/>
  <c r="P143" i="1"/>
  <c r="Q142" i="1"/>
  <c r="P142" i="1"/>
  <c r="Q141" i="1"/>
  <c r="P141" i="1"/>
  <c r="Q140" i="1"/>
  <c r="P140" i="1"/>
  <c r="Q139" i="1"/>
  <c r="P139" i="1"/>
  <c r="Q138" i="1"/>
  <c r="P138" i="1"/>
  <c r="Q137" i="1"/>
  <c r="P137" i="1"/>
  <c r="Q136" i="1"/>
  <c r="P136" i="1"/>
  <c r="Q135" i="1"/>
  <c r="P135" i="1"/>
  <c r="Q134" i="1"/>
  <c r="P134" i="1"/>
  <c r="Q133" i="1"/>
  <c r="P133" i="1"/>
  <c r="Q132" i="1"/>
  <c r="P132" i="1"/>
  <c r="Q131" i="1"/>
  <c r="P131" i="1"/>
  <c r="Q130" i="1"/>
  <c r="P130" i="1"/>
  <c r="Q129" i="1"/>
  <c r="P129" i="1"/>
  <c r="Q128" i="1"/>
  <c r="P128" i="1"/>
  <c r="Q127" i="1"/>
  <c r="P127" i="1"/>
  <c r="Q126" i="1"/>
  <c r="P126" i="1"/>
  <c r="Q125" i="1"/>
  <c r="P125" i="1"/>
  <c r="Q124" i="1"/>
  <c r="P124" i="1"/>
  <c r="Q123" i="1"/>
  <c r="P123" i="1"/>
  <c r="Q122" i="1"/>
  <c r="P122" i="1"/>
  <c r="Q121" i="1"/>
  <c r="P121" i="1"/>
  <c r="Q120" i="1"/>
  <c r="P120" i="1"/>
  <c r="Q119" i="1"/>
  <c r="P119" i="1"/>
  <c r="Q118" i="1"/>
  <c r="P118" i="1"/>
  <c r="Q117" i="1"/>
  <c r="P117" i="1"/>
  <c r="Q116" i="1"/>
  <c r="P116" i="1"/>
  <c r="Q115" i="1"/>
  <c r="P115" i="1"/>
  <c r="Q114" i="1"/>
  <c r="P114" i="1"/>
  <c r="Q113" i="1"/>
  <c r="P113" i="1"/>
  <c r="Q112" i="1"/>
  <c r="P112" i="1"/>
  <c r="Q111" i="1"/>
  <c r="P111" i="1"/>
  <c r="Q110" i="1"/>
  <c r="P110" i="1"/>
  <c r="Q109" i="1"/>
  <c r="P109" i="1"/>
  <c r="Q108" i="1"/>
  <c r="P108" i="1"/>
  <c r="Q107" i="1"/>
  <c r="P107" i="1"/>
  <c r="Q106" i="1"/>
  <c r="P106" i="1"/>
  <c r="Q105" i="1"/>
  <c r="P105" i="1"/>
  <c r="Q104" i="1"/>
  <c r="P104" i="1"/>
  <c r="Q103" i="1"/>
  <c r="P103" i="1"/>
  <c r="Q102" i="1"/>
  <c r="P102" i="1"/>
  <c r="Q101" i="1"/>
  <c r="P101" i="1"/>
  <c r="Q100" i="1"/>
  <c r="P100" i="1"/>
  <c r="Q99" i="1"/>
  <c r="P99" i="1"/>
  <c r="Q98" i="1"/>
  <c r="P98" i="1"/>
  <c r="Q97" i="1"/>
  <c r="P97" i="1"/>
  <c r="Q96" i="1"/>
  <c r="P96" i="1"/>
  <c r="Q95" i="1"/>
  <c r="P95" i="1"/>
  <c r="Q94" i="1"/>
  <c r="P94" i="1"/>
  <c r="Q93" i="1"/>
  <c r="P93" i="1"/>
  <c r="Q92" i="1"/>
  <c r="P92" i="1"/>
  <c r="Q91" i="1"/>
  <c r="P91" i="1"/>
  <c r="Q90" i="1"/>
  <c r="P90" i="1"/>
  <c r="Q89" i="1"/>
  <c r="P89" i="1"/>
  <c r="Q88" i="1"/>
  <c r="P88" i="1"/>
  <c r="Q87" i="1"/>
  <c r="P87" i="1"/>
  <c r="Q86" i="1"/>
  <c r="P86" i="1"/>
  <c r="Q85" i="1"/>
  <c r="P85" i="1"/>
  <c r="Q84" i="1"/>
  <c r="P84" i="1"/>
  <c r="Q83" i="1"/>
  <c r="P83" i="1"/>
  <c r="Q82" i="1"/>
  <c r="P82" i="1"/>
  <c r="Q81" i="1"/>
  <c r="P81" i="1"/>
  <c r="Q80" i="1"/>
  <c r="P80" i="1"/>
  <c r="Q79" i="1"/>
  <c r="P79" i="1"/>
  <c r="Q78" i="1"/>
  <c r="P78" i="1"/>
  <c r="Q77" i="1"/>
  <c r="P77" i="1"/>
  <c r="Q76" i="1"/>
  <c r="P76" i="1"/>
  <c r="Q75" i="1"/>
  <c r="P75" i="1"/>
  <c r="Q74" i="1"/>
  <c r="P74" i="1"/>
  <c r="Q73" i="1"/>
  <c r="P73" i="1"/>
  <c r="Q72" i="1"/>
  <c r="P72" i="1"/>
  <c r="Q71" i="1"/>
  <c r="P71" i="1"/>
  <c r="Q70" i="1"/>
  <c r="P70" i="1"/>
  <c r="Q69" i="1"/>
  <c r="P69" i="1"/>
  <c r="Q68" i="1"/>
  <c r="P68" i="1"/>
  <c r="Q67" i="1"/>
  <c r="P67" i="1"/>
  <c r="Q66" i="1"/>
  <c r="P66" i="1"/>
  <c r="Q65" i="1"/>
  <c r="P65" i="1"/>
  <c r="Q64" i="1"/>
  <c r="P64" i="1"/>
  <c r="Q63" i="1"/>
  <c r="P63" i="1"/>
  <c r="Q62" i="1"/>
  <c r="P62" i="1"/>
  <c r="Q61" i="1"/>
  <c r="P61" i="1"/>
  <c r="Q60" i="1"/>
  <c r="P60" i="1"/>
  <c r="Q59" i="1"/>
  <c r="P59" i="1"/>
  <c r="Q58" i="1"/>
  <c r="P58" i="1"/>
  <c r="Q57" i="1"/>
  <c r="P57" i="1"/>
  <c r="Q56" i="1"/>
  <c r="P56" i="1"/>
  <c r="Q55" i="1"/>
  <c r="P55" i="1"/>
  <c r="Q54" i="1"/>
  <c r="P54" i="1"/>
  <c r="Q53" i="1"/>
  <c r="P53" i="1"/>
  <c r="Q52" i="1"/>
  <c r="P52" i="1"/>
  <c r="Q51" i="1"/>
  <c r="P51" i="1"/>
  <c r="Q50" i="1"/>
  <c r="P50" i="1"/>
  <c r="Q49" i="1"/>
  <c r="P49" i="1"/>
  <c r="Q48" i="1"/>
  <c r="P48" i="1"/>
  <c r="Q47" i="1"/>
  <c r="P47" i="1"/>
  <c r="Q46" i="1"/>
  <c r="P46" i="1"/>
  <c r="Q45" i="1"/>
  <c r="P45" i="1"/>
  <c r="Q44" i="1"/>
  <c r="P44" i="1"/>
  <c r="Q43" i="1"/>
  <c r="P43" i="1"/>
  <c r="Q42" i="1"/>
  <c r="P42" i="1"/>
  <c r="Q41" i="1"/>
  <c r="P41" i="1"/>
  <c r="Q40" i="1"/>
  <c r="P40" i="1"/>
  <c r="Q39" i="1"/>
  <c r="P39" i="1"/>
  <c r="Q38" i="1"/>
  <c r="P38" i="1"/>
  <c r="Q37" i="1"/>
  <c r="P37" i="1"/>
  <c r="Q36" i="1"/>
  <c r="P36" i="1"/>
  <c r="Q35" i="1"/>
  <c r="P35" i="1"/>
  <c r="Q34" i="1"/>
  <c r="P34" i="1"/>
  <c r="Q33" i="1"/>
  <c r="P33" i="1"/>
  <c r="Q32" i="1"/>
  <c r="P32" i="1"/>
  <c r="Q31" i="1"/>
  <c r="P31" i="1"/>
  <c r="Q30" i="1"/>
  <c r="P30" i="1"/>
  <c r="Q29" i="1"/>
  <c r="P29" i="1"/>
  <c r="Q28" i="1"/>
  <c r="P28" i="1"/>
  <c r="Q27" i="1"/>
  <c r="P27" i="1"/>
  <c r="J354" i="1"/>
  <c r="I354" i="1"/>
  <c r="H354" i="1"/>
  <c r="G354" i="1"/>
  <c r="F354" i="1"/>
  <c r="J353" i="1"/>
  <c r="I353" i="1"/>
  <c r="H353" i="1"/>
  <c r="G353" i="1"/>
  <c r="F353" i="1"/>
  <c r="J352" i="1"/>
  <c r="I352" i="1"/>
  <c r="H352" i="1"/>
  <c r="G352" i="1"/>
  <c r="F352" i="1"/>
  <c r="J351" i="1"/>
  <c r="I351" i="1"/>
  <c r="H351" i="1"/>
  <c r="G351" i="1"/>
  <c r="F351" i="1"/>
  <c r="J350" i="1"/>
  <c r="I350" i="1"/>
  <c r="H350" i="1"/>
  <c r="G350" i="1"/>
  <c r="F350" i="1"/>
  <c r="J349" i="1"/>
  <c r="I349" i="1"/>
  <c r="H349" i="1"/>
  <c r="G349" i="1"/>
  <c r="F349" i="1"/>
  <c r="J348" i="1"/>
  <c r="I348" i="1"/>
  <c r="H348" i="1"/>
  <c r="G348" i="1"/>
  <c r="F348" i="1"/>
  <c r="J347" i="1"/>
  <c r="I347" i="1"/>
  <c r="H347" i="1"/>
  <c r="G347" i="1"/>
  <c r="F347" i="1"/>
  <c r="J346" i="1"/>
  <c r="I346" i="1"/>
  <c r="H346" i="1"/>
  <c r="G346" i="1"/>
  <c r="F346" i="1"/>
  <c r="J345" i="1"/>
  <c r="I345" i="1"/>
  <c r="H345" i="1"/>
  <c r="G345" i="1"/>
  <c r="F345" i="1"/>
  <c r="J344" i="1"/>
  <c r="I344" i="1"/>
  <c r="H344" i="1"/>
  <c r="G344" i="1"/>
  <c r="F344" i="1"/>
  <c r="J343" i="1"/>
  <c r="I343" i="1"/>
  <c r="H343" i="1"/>
  <c r="G343" i="1"/>
  <c r="F343" i="1"/>
  <c r="J342" i="1"/>
  <c r="I342" i="1"/>
  <c r="H342" i="1"/>
  <c r="G342" i="1"/>
  <c r="F342" i="1"/>
  <c r="J341" i="1"/>
  <c r="I341" i="1"/>
  <c r="H341" i="1"/>
  <c r="G341" i="1"/>
  <c r="F341" i="1"/>
  <c r="J340" i="1"/>
  <c r="I340" i="1"/>
  <c r="H340" i="1"/>
  <c r="G340" i="1"/>
  <c r="F340" i="1"/>
  <c r="J339" i="1"/>
  <c r="I339" i="1"/>
  <c r="H339" i="1"/>
  <c r="G339" i="1"/>
  <c r="F339" i="1"/>
  <c r="J338" i="1"/>
  <c r="I338" i="1"/>
  <c r="H338" i="1"/>
  <c r="G338" i="1"/>
  <c r="F338" i="1"/>
  <c r="J337" i="1"/>
  <c r="I337" i="1"/>
  <c r="H337" i="1"/>
  <c r="G337" i="1"/>
  <c r="F337" i="1"/>
  <c r="J336" i="1"/>
  <c r="I336" i="1"/>
  <c r="H336" i="1"/>
  <c r="G336" i="1"/>
  <c r="F336" i="1"/>
  <c r="J335" i="1"/>
  <c r="I335" i="1"/>
  <c r="H335" i="1"/>
  <c r="G335" i="1"/>
  <c r="F335" i="1"/>
  <c r="J334" i="1"/>
  <c r="I334" i="1"/>
  <c r="H334" i="1"/>
  <c r="G334" i="1"/>
  <c r="F334" i="1"/>
  <c r="J333" i="1"/>
  <c r="I333" i="1"/>
  <c r="H333" i="1"/>
  <c r="G333" i="1"/>
  <c r="F333" i="1"/>
  <c r="J332" i="1"/>
  <c r="I332" i="1"/>
  <c r="H332" i="1"/>
  <c r="G332" i="1"/>
  <c r="F332" i="1"/>
  <c r="J331" i="1"/>
  <c r="I331" i="1"/>
  <c r="H331" i="1"/>
  <c r="G331" i="1"/>
  <c r="F331" i="1"/>
  <c r="J330" i="1"/>
  <c r="I330" i="1"/>
  <c r="H330" i="1"/>
  <c r="G330" i="1"/>
  <c r="F330" i="1"/>
  <c r="J329" i="1"/>
  <c r="I329" i="1"/>
  <c r="H329" i="1"/>
  <c r="G329" i="1"/>
  <c r="F329" i="1"/>
  <c r="J328" i="1"/>
  <c r="I328" i="1"/>
  <c r="H328" i="1"/>
  <c r="G328" i="1"/>
  <c r="F328" i="1"/>
  <c r="J327" i="1"/>
  <c r="I327" i="1"/>
  <c r="H327" i="1"/>
  <c r="G327" i="1"/>
  <c r="F327" i="1"/>
  <c r="J326" i="1"/>
  <c r="I326" i="1"/>
  <c r="H326" i="1"/>
  <c r="G326" i="1"/>
  <c r="F326" i="1"/>
  <c r="J325" i="1"/>
  <c r="I325" i="1"/>
  <c r="H325" i="1"/>
  <c r="G325" i="1"/>
  <c r="F325" i="1"/>
  <c r="J324" i="1"/>
  <c r="I324" i="1"/>
  <c r="H324" i="1"/>
  <c r="G324" i="1"/>
  <c r="F324" i="1"/>
  <c r="J323" i="1"/>
  <c r="I323" i="1"/>
  <c r="H323" i="1"/>
  <c r="G323" i="1"/>
  <c r="F323" i="1"/>
  <c r="J322" i="1"/>
  <c r="I322" i="1"/>
  <c r="H322" i="1"/>
  <c r="G322" i="1"/>
  <c r="F322" i="1"/>
  <c r="J321" i="1"/>
  <c r="I321" i="1"/>
  <c r="H321" i="1"/>
  <c r="G321" i="1"/>
  <c r="F321" i="1"/>
  <c r="J320" i="1"/>
  <c r="I320" i="1"/>
  <c r="H320" i="1"/>
  <c r="G320" i="1"/>
  <c r="F320" i="1"/>
  <c r="J319" i="1"/>
  <c r="I319" i="1"/>
  <c r="H319" i="1"/>
  <c r="G319" i="1"/>
  <c r="F319" i="1"/>
  <c r="J318" i="1"/>
  <c r="I318" i="1"/>
  <c r="H318" i="1"/>
  <c r="G318" i="1"/>
  <c r="F318" i="1"/>
  <c r="J317" i="1"/>
  <c r="I317" i="1"/>
  <c r="H317" i="1"/>
  <c r="G317" i="1"/>
  <c r="F317" i="1"/>
  <c r="J316" i="1"/>
  <c r="I316" i="1"/>
  <c r="H316" i="1"/>
  <c r="G316" i="1"/>
  <c r="F316" i="1"/>
  <c r="J315" i="1"/>
  <c r="I315" i="1"/>
  <c r="H315" i="1"/>
  <c r="G315" i="1"/>
  <c r="F315" i="1"/>
  <c r="J314" i="1"/>
  <c r="I314" i="1"/>
  <c r="H314" i="1"/>
  <c r="G314" i="1"/>
  <c r="F314" i="1"/>
  <c r="J313" i="1"/>
  <c r="I313" i="1"/>
  <c r="H313" i="1"/>
  <c r="G313" i="1"/>
  <c r="F313" i="1"/>
  <c r="J312" i="1"/>
  <c r="I312" i="1"/>
  <c r="H312" i="1"/>
  <c r="G312" i="1"/>
  <c r="F312" i="1"/>
  <c r="J311" i="1"/>
  <c r="I311" i="1"/>
  <c r="H311" i="1"/>
  <c r="G311" i="1"/>
  <c r="F311" i="1"/>
  <c r="J310" i="1"/>
  <c r="I310" i="1"/>
  <c r="H310" i="1"/>
  <c r="G310" i="1"/>
  <c r="F310" i="1"/>
  <c r="J309" i="1"/>
  <c r="I309" i="1"/>
  <c r="H309" i="1"/>
  <c r="G309" i="1"/>
  <c r="F309" i="1"/>
  <c r="J308" i="1"/>
  <c r="I308" i="1"/>
  <c r="H308" i="1"/>
  <c r="G308" i="1"/>
  <c r="F308" i="1"/>
  <c r="J307" i="1"/>
  <c r="I307" i="1"/>
  <c r="H307" i="1"/>
  <c r="G307" i="1"/>
  <c r="F307" i="1"/>
  <c r="J306" i="1"/>
  <c r="I306" i="1"/>
  <c r="H306" i="1"/>
  <c r="G306" i="1"/>
  <c r="F306" i="1"/>
  <c r="J305" i="1"/>
  <c r="I305" i="1"/>
  <c r="H305" i="1"/>
  <c r="G305" i="1"/>
  <c r="F305" i="1"/>
  <c r="J304" i="1"/>
  <c r="I304" i="1"/>
  <c r="H304" i="1"/>
  <c r="G304" i="1"/>
  <c r="F304" i="1"/>
  <c r="J303" i="1"/>
  <c r="I303" i="1"/>
  <c r="H303" i="1"/>
  <c r="G303" i="1"/>
  <c r="F303" i="1"/>
  <c r="J302" i="1"/>
  <c r="I302" i="1"/>
  <c r="H302" i="1"/>
  <c r="G302" i="1"/>
  <c r="F302" i="1"/>
  <c r="J301" i="1"/>
  <c r="I301" i="1"/>
  <c r="H301" i="1"/>
  <c r="G301" i="1"/>
  <c r="F301" i="1"/>
  <c r="J300" i="1"/>
  <c r="I300" i="1"/>
  <c r="H300" i="1"/>
  <c r="G300" i="1"/>
  <c r="F300" i="1"/>
  <c r="J299" i="1"/>
  <c r="I299" i="1"/>
  <c r="H299" i="1"/>
  <c r="G299" i="1"/>
  <c r="F299" i="1"/>
  <c r="J298" i="1"/>
  <c r="I298" i="1"/>
  <c r="H298" i="1"/>
  <c r="G298" i="1"/>
  <c r="F298" i="1"/>
  <c r="J297" i="1"/>
  <c r="I297" i="1"/>
  <c r="H297" i="1"/>
  <c r="G297" i="1"/>
  <c r="F297" i="1"/>
  <c r="J296" i="1"/>
  <c r="I296" i="1"/>
  <c r="H296" i="1"/>
  <c r="G296" i="1"/>
  <c r="F296" i="1"/>
  <c r="J295" i="1"/>
  <c r="I295" i="1"/>
  <c r="H295" i="1"/>
  <c r="G295" i="1"/>
  <c r="F295" i="1"/>
  <c r="J294" i="1"/>
  <c r="I294" i="1"/>
  <c r="H294" i="1"/>
  <c r="G294" i="1"/>
  <c r="F294" i="1"/>
  <c r="J293" i="1"/>
  <c r="I293" i="1"/>
  <c r="H293" i="1"/>
  <c r="G293" i="1"/>
  <c r="F293" i="1"/>
  <c r="J292" i="1"/>
  <c r="I292" i="1"/>
  <c r="H292" i="1"/>
  <c r="G292" i="1"/>
  <c r="F292" i="1"/>
  <c r="J291" i="1"/>
  <c r="I291" i="1"/>
  <c r="H291" i="1"/>
  <c r="G291" i="1"/>
  <c r="F291" i="1"/>
  <c r="J290" i="1"/>
  <c r="I290" i="1"/>
  <c r="H290" i="1"/>
  <c r="G290" i="1"/>
  <c r="F290" i="1"/>
  <c r="J289" i="1"/>
  <c r="I289" i="1"/>
  <c r="H289" i="1"/>
  <c r="G289" i="1"/>
  <c r="F289" i="1"/>
  <c r="J288" i="1"/>
  <c r="I288" i="1"/>
  <c r="H288" i="1"/>
  <c r="G288" i="1"/>
  <c r="F288" i="1"/>
  <c r="J287" i="1"/>
  <c r="I287" i="1"/>
  <c r="H287" i="1"/>
  <c r="G287" i="1"/>
  <c r="F287" i="1"/>
  <c r="J286" i="1"/>
  <c r="I286" i="1"/>
  <c r="H286" i="1"/>
  <c r="G286" i="1"/>
  <c r="F286" i="1"/>
  <c r="J285" i="1"/>
  <c r="I285" i="1"/>
  <c r="H285" i="1"/>
  <c r="G285" i="1"/>
  <c r="F285" i="1"/>
  <c r="J284" i="1"/>
  <c r="I284" i="1"/>
  <c r="H284" i="1"/>
  <c r="G284" i="1"/>
  <c r="F284" i="1"/>
  <c r="J283" i="1"/>
  <c r="I283" i="1"/>
  <c r="H283" i="1"/>
  <c r="G283" i="1"/>
  <c r="F283" i="1"/>
  <c r="J282" i="1"/>
  <c r="I282" i="1"/>
  <c r="H282" i="1"/>
  <c r="G282" i="1"/>
  <c r="F282" i="1"/>
  <c r="J281" i="1"/>
  <c r="I281" i="1"/>
  <c r="H281" i="1"/>
  <c r="G281" i="1"/>
  <c r="F281" i="1"/>
  <c r="J280" i="1"/>
  <c r="I280" i="1"/>
  <c r="H280" i="1"/>
  <c r="G280" i="1"/>
  <c r="F280" i="1"/>
  <c r="J279" i="1"/>
  <c r="I279" i="1"/>
  <c r="H279" i="1"/>
  <c r="G279" i="1"/>
  <c r="F279" i="1"/>
  <c r="J278" i="1"/>
  <c r="I278" i="1"/>
  <c r="H278" i="1"/>
  <c r="G278" i="1"/>
  <c r="F278" i="1"/>
  <c r="J277" i="1"/>
  <c r="I277" i="1"/>
  <c r="H277" i="1"/>
  <c r="G277" i="1"/>
  <c r="F277" i="1"/>
  <c r="J276" i="1"/>
  <c r="I276" i="1"/>
  <c r="H276" i="1"/>
  <c r="G276" i="1"/>
  <c r="F276" i="1"/>
  <c r="J275" i="1"/>
  <c r="I275" i="1"/>
  <c r="H275" i="1"/>
  <c r="G275" i="1"/>
  <c r="F275" i="1"/>
  <c r="J274" i="1"/>
  <c r="I274" i="1"/>
  <c r="H274" i="1"/>
  <c r="G274" i="1"/>
  <c r="F274" i="1"/>
  <c r="J273" i="1"/>
  <c r="I273" i="1"/>
  <c r="H273" i="1"/>
  <c r="G273" i="1"/>
  <c r="F273" i="1"/>
  <c r="J272" i="1"/>
  <c r="I272" i="1"/>
  <c r="H272" i="1"/>
  <c r="G272" i="1"/>
  <c r="F272" i="1"/>
  <c r="J271" i="1"/>
  <c r="I271" i="1"/>
  <c r="H271" i="1"/>
  <c r="G271" i="1"/>
  <c r="F271" i="1"/>
  <c r="J270" i="1"/>
  <c r="I270" i="1"/>
  <c r="H270" i="1"/>
  <c r="G270" i="1"/>
  <c r="F270" i="1"/>
  <c r="J269" i="1"/>
  <c r="I269" i="1"/>
  <c r="H269" i="1"/>
  <c r="G269" i="1"/>
  <c r="F269" i="1"/>
  <c r="J268" i="1"/>
  <c r="I268" i="1"/>
  <c r="H268" i="1"/>
  <c r="G268" i="1"/>
  <c r="F268" i="1"/>
  <c r="J267" i="1"/>
  <c r="I267" i="1"/>
  <c r="H267" i="1"/>
  <c r="G267" i="1"/>
  <c r="F267" i="1"/>
  <c r="J266" i="1"/>
  <c r="I266" i="1"/>
  <c r="H266" i="1"/>
  <c r="G266" i="1"/>
  <c r="F266" i="1"/>
  <c r="J265" i="1"/>
  <c r="I265" i="1"/>
  <c r="H265" i="1"/>
  <c r="G265" i="1"/>
  <c r="F265" i="1"/>
  <c r="J264" i="1"/>
  <c r="I264" i="1"/>
  <c r="H264" i="1"/>
  <c r="G264" i="1"/>
  <c r="F264" i="1"/>
  <c r="J263" i="1"/>
  <c r="I263" i="1"/>
  <c r="H263" i="1"/>
  <c r="G263" i="1"/>
  <c r="F263" i="1"/>
  <c r="J262" i="1"/>
  <c r="I262" i="1"/>
  <c r="H262" i="1"/>
  <c r="G262" i="1"/>
  <c r="F262" i="1"/>
  <c r="J261" i="1"/>
  <c r="I261" i="1"/>
  <c r="H261" i="1"/>
  <c r="G261" i="1"/>
  <c r="F261" i="1"/>
  <c r="J260" i="1"/>
  <c r="I260" i="1"/>
  <c r="H260" i="1"/>
  <c r="G260" i="1"/>
  <c r="F260" i="1"/>
  <c r="J259" i="1"/>
  <c r="I259" i="1"/>
  <c r="H259" i="1"/>
  <c r="G259" i="1"/>
  <c r="F259" i="1"/>
  <c r="J258" i="1"/>
  <c r="I258" i="1"/>
  <c r="H258" i="1"/>
  <c r="G258" i="1"/>
  <c r="F258" i="1"/>
  <c r="J257" i="1"/>
  <c r="I257" i="1"/>
  <c r="H257" i="1"/>
  <c r="G257" i="1"/>
  <c r="F257" i="1"/>
  <c r="J256" i="1"/>
  <c r="I256" i="1"/>
  <c r="H256" i="1"/>
  <c r="G256" i="1"/>
  <c r="F256" i="1"/>
  <c r="J255" i="1"/>
  <c r="I255" i="1"/>
  <c r="H255" i="1"/>
  <c r="G255" i="1"/>
  <c r="F255" i="1"/>
  <c r="J254" i="1"/>
  <c r="I254" i="1"/>
  <c r="H254" i="1"/>
  <c r="G254" i="1"/>
  <c r="F254" i="1"/>
  <c r="J253" i="1"/>
  <c r="I253" i="1"/>
  <c r="H253" i="1"/>
  <c r="G253" i="1"/>
  <c r="F253" i="1"/>
  <c r="J252" i="1"/>
  <c r="I252" i="1"/>
  <c r="H252" i="1"/>
  <c r="G252" i="1"/>
  <c r="F252" i="1"/>
  <c r="J251" i="1"/>
  <c r="I251" i="1"/>
  <c r="H251" i="1"/>
  <c r="G251" i="1"/>
  <c r="F251" i="1"/>
  <c r="J250" i="1"/>
  <c r="I250" i="1"/>
  <c r="H250" i="1"/>
  <c r="G250" i="1"/>
  <c r="F250" i="1"/>
  <c r="J249" i="1"/>
  <c r="I249" i="1"/>
  <c r="H249" i="1"/>
  <c r="G249" i="1"/>
  <c r="F249" i="1"/>
  <c r="J248" i="1"/>
  <c r="I248" i="1"/>
  <c r="H248" i="1"/>
  <c r="G248" i="1"/>
  <c r="F248" i="1"/>
  <c r="J247" i="1"/>
  <c r="I247" i="1"/>
  <c r="H247" i="1"/>
  <c r="G247" i="1"/>
  <c r="F247" i="1"/>
  <c r="J246" i="1"/>
  <c r="I246" i="1"/>
  <c r="H246" i="1"/>
  <c r="G246" i="1"/>
  <c r="F246" i="1"/>
  <c r="J245" i="1"/>
  <c r="I245" i="1"/>
  <c r="H245" i="1"/>
  <c r="G245" i="1"/>
  <c r="F245" i="1"/>
  <c r="J244" i="1"/>
  <c r="I244" i="1"/>
  <c r="H244" i="1"/>
  <c r="G244" i="1"/>
  <c r="F244" i="1"/>
  <c r="J243" i="1"/>
  <c r="I243" i="1"/>
  <c r="H243" i="1"/>
  <c r="G243" i="1"/>
  <c r="F243" i="1"/>
  <c r="J242" i="1"/>
  <c r="I242" i="1"/>
  <c r="H242" i="1"/>
  <c r="G242" i="1"/>
  <c r="F242" i="1"/>
  <c r="J241" i="1"/>
  <c r="I241" i="1"/>
  <c r="H241" i="1"/>
  <c r="G241" i="1"/>
  <c r="F241" i="1"/>
  <c r="J240" i="1"/>
  <c r="I240" i="1"/>
  <c r="H240" i="1"/>
  <c r="G240" i="1"/>
  <c r="F240" i="1"/>
  <c r="J239" i="1"/>
  <c r="I239" i="1"/>
  <c r="H239" i="1"/>
  <c r="G239" i="1"/>
  <c r="F239" i="1"/>
  <c r="J238" i="1"/>
  <c r="I238" i="1"/>
  <c r="H238" i="1"/>
  <c r="G238" i="1"/>
  <c r="F238" i="1"/>
  <c r="J237" i="1"/>
  <c r="I237" i="1"/>
  <c r="H237" i="1"/>
  <c r="G237" i="1"/>
  <c r="F237" i="1"/>
  <c r="J236" i="1"/>
  <c r="I236" i="1"/>
  <c r="H236" i="1"/>
  <c r="G236" i="1"/>
  <c r="F236" i="1"/>
  <c r="J235" i="1"/>
  <c r="I235" i="1"/>
  <c r="H235" i="1"/>
  <c r="G235" i="1"/>
  <c r="F235" i="1"/>
  <c r="J234" i="1"/>
  <c r="I234" i="1"/>
  <c r="H234" i="1"/>
  <c r="G234" i="1"/>
  <c r="F234" i="1"/>
  <c r="J233" i="1"/>
  <c r="I233" i="1"/>
  <c r="H233" i="1"/>
  <c r="G233" i="1"/>
  <c r="F233" i="1"/>
  <c r="J232" i="1"/>
  <c r="I232" i="1"/>
  <c r="H232" i="1"/>
  <c r="G232" i="1"/>
  <c r="F232" i="1"/>
  <c r="J231" i="1"/>
  <c r="I231" i="1"/>
  <c r="H231" i="1"/>
  <c r="G231" i="1"/>
  <c r="F231" i="1"/>
  <c r="J230" i="1"/>
  <c r="I230" i="1"/>
  <c r="H230" i="1"/>
  <c r="G230" i="1"/>
  <c r="F230" i="1"/>
  <c r="J229" i="1"/>
  <c r="I229" i="1"/>
  <c r="H229" i="1"/>
  <c r="G229" i="1"/>
  <c r="F229" i="1"/>
  <c r="J228" i="1"/>
  <c r="I228" i="1"/>
  <c r="H228" i="1"/>
  <c r="G228" i="1"/>
  <c r="F228" i="1"/>
  <c r="J227" i="1"/>
  <c r="I227" i="1"/>
  <c r="H227" i="1"/>
  <c r="G227" i="1"/>
  <c r="F227" i="1"/>
  <c r="J226" i="1"/>
  <c r="I226" i="1"/>
  <c r="H226" i="1"/>
  <c r="G226" i="1"/>
  <c r="F226" i="1"/>
  <c r="J225" i="1"/>
  <c r="I225" i="1"/>
  <c r="H225" i="1"/>
  <c r="G225" i="1"/>
  <c r="F225" i="1"/>
  <c r="J224" i="1"/>
  <c r="I224" i="1"/>
  <c r="H224" i="1"/>
  <c r="G224" i="1"/>
  <c r="F224" i="1"/>
  <c r="J223" i="1"/>
  <c r="I223" i="1"/>
  <c r="H223" i="1"/>
  <c r="G223" i="1"/>
  <c r="F223" i="1"/>
  <c r="J222" i="1"/>
  <c r="I222" i="1"/>
  <c r="H222" i="1"/>
  <c r="G222" i="1"/>
  <c r="F222" i="1"/>
  <c r="J221" i="1"/>
  <c r="I221" i="1"/>
  <c r="H221" i="1"/>
  <c r="G221" i="1"/>
  <c r="F221" i="1"/>
  <c r="J220" i="1"/>
  <c r="I220" i="1"/>
  <c r="H220" i="1"/>
  <c r="G220" i="1"/>
  <c r="F220" i="1"/>
  <c r="J219" i="1"/>
  <c r="I219" i="1"/>
  <c r="H219" i="1"/>
  <c r="G219" i="1"/>
  <c r="F219" i="1"/>
  <c r="J218" i="1"/>
  <c r="I218" i="1"/>
  <c r="H218" i="1"/>
  <c r="G218" i="1"/>
  <c r="F218" i="1"/>
  <c r="J217" i="1"/>
  <c r="I217" i="1"/>
  <c r="H217" i="1"/>
  <c r="G217" i="1"/>
  <c r="F217" i="1"/>
  <c r="J216" i="1"/>
  <c r="I216" i="1"/>
  <c r="H216" i="1"/>
  <c r="G216" i="1"/>
  <c r="F216" i="1"/>
  <c r="J215" i="1"/>
  <c r="I215" i="1"/>
  <c r="H215" i="1"/>
  <c r="G215" i="1"/>
  <c r="F215" i="1"/>
  <c r="J214" i="1"/>
  <c r="I214" i="1"/>
  <c r="H214" i="1"/>
  <c r="G214" i="1"/>
  <c r="F214" i="1"/>
  <c r="J213" i="1"/>
  <c r="I213" i="1"/>
  <c r="H213" i="1"/>
  <c r="G213" i="1"/>
  <c r="F213" i="1"/>
  <c r="J212" i="1"/>
  <c r="I212" i="1"/>
  <c r="H212" i="1"/>
  <c r="G212" i="1"/>
  <c r="F212" i="1"/>
  <c r="J211" i="1"/>
  <c r="I211" i="1"/>
  <c r="H211" i="1"/>
  <c r="G211" i="1"/>
  <c r="F211" i="1"/>
  <c r="J210" i="1"/>
  <c r="I210" i="1"/>
  <c r="H210" i="1"/>
  <c r="G210" i="1"/>
  <c r="F210" i="1"/>
  <c r="J209" i="1"/>
  <c r="I209" i="1"/>
  <c r="H209" i="1"/>
  <c r="G209" i="1"/>
  <c r="F209" i="1"/>
  <c r="J208" i="1"/>
  <c r="I208" i="1"/>
  <c r="H208" i="1"/>
  <c r="G208" i="1"/>
  <c r="F208" i="1"/>
  <c r="J207" i="1"/>
  <c r="I207" i="1"/>
  <c r="H207" i="1"/>
  <c r="G207" i="1"/>
  <c r="F207" i="1"/>
  <c r="J206" i="1"/>
  <c r="I206" i="1"/>
  <c r="H206" i="1"/>
  <c r="G206" i="1"/>
  <c r="F206" i="1"/>
  <c r="J205" i="1"/>
  <c r="I205" i="1"/>
  <c r="H205" i="1"/>
  <c r="G205" i="1"/>
  <c r="F205" i="1"/>
  <c r="J204" i="1"/>
  <c r="I204" i="1"/>
  <c r="H204" i="1"/>
  <c r="G204" i="1"/>
  <c r="F204" i="1"/>
  <c r="J203" i="1"/>
  <c r="I203" i="1"/>
  <c r="H203" i="1"/>
  <c r="G203" i="1"/>
  <c r="F203" i="1"/>
  <c r="J202" i="1"/>
  <c r="I202" i="1"/>
  <c r="H202" i="1"/>
  <c r="G202" i="1"/>
  <c r="F202" i="1"/>
  <c r="J201" i="1"/>
  <c r="I201" i="1"/>
  <c r="H201" i="1"/>
  <c r="G201" i="1"/>
  <c r="F201" i="1"/>
  <c r="J200" i="1"/>
  <c r="I200" i="1"/>
  <c r="H200" i="1"/>
  <c r="G200" i="1"/>
  <c r="F200" i="1"/>
  <c r="J199" i="1"/>
  <c r="I199" i="1"/>
  <c r="H199" i="1"/>
  <c r="G199" i="1"/>
  <c r="F199" i="1"/>
  <c r="J198" i="1"/>
  <c r="I198" i="1"/>
  <c r="H198" i="1"/>
  <c r="G198" i="1"/>
  <c r="F198" i="1"/>
  <c r="J197" i="1"/>
  <c r="I197" i="1"/>
  <c r="H197" i="1"/>
  <c r="G197" i="1"/>
  <c r="F197" i="1"/>
  <c r="J196" i="1"/>
  <c r="I196" i="1"/>
  <c r="H196" i="1"/>
  <c r="G196" i="1"/>
  <c r="F196" i="1"/>
  <c r="J195" i="1"/>
  <c r="I195" i="1"/>
  <c r="H195" i="1"/>
  <c r="G195" i="1"/>
  <c r="F195" i="1"/>
  <c r="J194" i="1"/>
  <c r="I194" i="1"/>
  <c r="H194" i="1"/>
  <c r="G194" i="1"/>
  <c r="F194" i="1"/>
  <c r="J193" i="1"/>
  <c r="I193" i="1"/>
  <c r="H193" i="1"/>
  <c r="G193" i="1"/>
  <c r="F193" i="1"/>
  <c r="J192" i="1"/>
  <c r="I192" i="1"/>
  <c r="H192" i="1"/>
  <c r="G192" i="1"/>
  <c r="F192" i="1"/>
  <c r="J191" i="1"/>
  <c r="I191" i="1"/>
  <c r="H191" i="1"/>
  <c r="G191" i="1"/>
  <c r="F191" i="1"/>
  <c r="J190" i="1"/>
  <c r="I190" i="1"/>
  <c r="H190" i="1"/>
  <c r="G190" i="1"/>
  <c r="F190" i="1"/>
  <c r="J189" i="1"/>
  <c r="I189" i="1"/>
  <c r="H189" i="1"/>
  <c r="G189" i="1"/>
  <c r="F189" i="1"/>
  <c r="J188" i="1"/>
  <c r="I188" i="1"/>
  <c r="H188" i="1"/>
  <c r="G188" i="1"/>
  <c r="F188" i="1"/>
  <c r="J187" i="1"/>
  <c r="I187" i="1"/>
  <c r="H187" i="1"/>
  <c r="G187" i="1"/>
  <c r="F187" i="1"/>
  <c r="J186" i="1"/>
  <c r="I186" i="1"/>
  <c r="H186" i="1"/>
  <c r="G186" i="1"/>
  <c r="F186" i="1"/>
  <c r="J185" i="1"/>
  <c r="I185" i="1"/>
  <c r="H185" i="1"/>
  <c r="G185" i="1"/>
  <c r="F185" i="1"/>
  <c r="J184" i="1"/>
  <c r="I184" i="1"/>
  <c r="H184" i="1"/>
  <c r="G184" i="1"/>
  <c r="F184" i="1"/>
  <c r="J183" i="1"/>
  <c r="I183" i="1"/>
  <c r="H183" i="1"/>
  <c r="G183" i="1"/>
  <c r="F183" i="1"/>
  <c r="J182" i="1"/>
  <c r="I182" i="1"/>
  <c r="H182" i="1"/>
  <c r="G182" i="1"/>
  <c r="F182" i="1"/>
  <c r="J181" i="1"/>
  <c r="I181" i="1"/>
  <c r="H181" i="1"/>
  <c r="G181" i="1"/>
  <c r="F181" i="1"/>
  <c r="J180" i="1"/>
  <c r="I180" i="1"/>
  <c r="H180" i="1"/>
  <c r="G180" i="1"/>
  <c r="F180" i="1"/>
  <c r="J179" i="1"/>
  <c r="I179" i="1"/>
  <c r="H179" i="1"/>
  <c r="G179" i="1"/>
  <c r="F179" i="1"/>
  <c r="J178" i="1"/>
  <c r="I178" i="1"/>
  <c r="H178" i="1"/>
  <c r="G178" i="1"/>
  <c r="F178" i="1"/>
  <c r="J177" i="1"/>
  <c r="I177" i="1"/>
  <c r="H177" i="1"/>
  <c r="G177" i="1"/>
  <c r="F177" i="1"/>
  <c r="J176" i="1"/>
  <c r="I176" i="1"/>
  <c r="H176" i="1"/>
  <c r="G176" i="1"/>
  <c r="F176" i="1"/>
  <c r="J175" i="1"/>
  <c r="I175" i="1"/>
  <c r="H175" i="1"/>
  <c r="G175" i="1"/>
  <c r="F175" i="1"/>
  <c r="J174" i="1"/>
  <c r="I174" i="1"/>
  <c r="H174" i="1"/>
  <c r="G174" i="1"/>
  <c r="F174" i="1"/>
  <c r="J173" i="1"/>
  <c r="I173" i="1"/>
  <c r="H173" i="1"/>
  <c r="G173" i="1"/>
  <c r="F173" i="1"/>
  <c r="J172" i="1"/>
  <c r="I172" i="1"/>
  <c r="H172" i="1"/>
  <c r="G172" i="1"/>
  <c r="F172" i="1"/>
  <c r="J171" i="1"/>
  <c r="I171" i="1"/>
  <c r="H171" i="1"/>
  <c r="G171" i="1"/>
  <c r="F171" i="1"/>
  <c r="J170" i="1"/>
  <c r="I170" i="1"/>
  <c r="H170" i="1"/>
  <c r="G170" i="1"/>
  <c r="F170" i="1"/>
  <c r="J169" i="1"/>
  <c r="I169" i="1"/>
  <c r="H169" i="1"/>
  <c r="G169" i="1"/>
  <c r="F169" i="1"/>
  <c r="J168" i="1"/>
  <c r="I168" i="1"/>
  <c r="H168" i="1"/>
  <c r="G168" i="1"/>
  <c r="F168" i="1"/>
  <c r="J167" i="1"/>
  <c r="I167" i="1"/>
  <c r="H167" i="1"/>
  <c r="G167" i="1"/>
  <c r="F167" i="1"/>
  <c r="J166" i="1"/>
  <c r="I166" i="1"/>
  <c r="H166" i="1"/>
  <c r="G166" i="1"/>
  <c r="F166" i="1"/>
  <c r="J165" i="1"/>
  <c r="I165" i="1"/>
  <c r="H165" i="1"/>
  <c r="G165" i="1"/>
  <c r="F165" i="1"/>
  <c r="J164" i="1"/>
  <c r="I164" i="1"/>
  <c r="H164" i="1"/>
  <c r="G164" i="1"/>
  <c r="F164" i="1"/>
  <c r="J163" i="1"/>
  <c r="I163" i="1"/>
  <c r="H163" i="1"/>
  <c r="G163" i="1"/>
  <c r="F163" i="1"/>
  <c r="J162" i="1"/>
  <c r="I162" i="1"/>
  <c r="H162" i="1"/>
  <c r="G162" i="1"/>
  <c r="F162" i="1"/>
  <c r="J161" i="1"/>
  <c r="I161" i="1"/>
  <c r="H161" i="1"/>
  <c r="G161" i="1"/>
  <c r="F161" i="1"/>
  <c r="J160" i="1"/>
  <c r="I160" i="1"/>
  <c r="H160" i="1"/>
  <c r="G160" i="1"/>
  <c r="F160" i="1"/>
  <c r="J159" i="1"/>
  <c r="I159" i="1"/>
  <c r="H159" i="1"/>
  <c r="G159" i="1"/>
  <c r="F159" i="1"/>
  <c r="J158" i="1"/>
  <c r="I158" i="1"/>
  <c r="H158" i="1"/>
  <c r="G158" i="1"/>
  <c r="F158" i="1"/>
  <c r="J157" i="1"/>
  <c r="I157" i="1"/>
  <c r="H157" i="1"/>
  <c r="G157" i="1"/>
  <c r="F157" i="1"/>
  <c r="J156" i="1"/>
  <c r="I156" i="1"/>
  <c r="H156" i="1"/>
  <c r="G156" i="1"/>
  <c r="F156" i="1"/>
  <c r="J155" i="1"/>
  <c r="I155" i="1"/>
  <c r="H155" i="1"/>
  <c r="G155" i="1"/>
  <c r="F155" i="1"/>
  <c r="J154" i="1"/>
  <c r="I154" i="1"/>
  <c r="H154" i="1"/>
  <c r="G154" i="1"/>
  <c r="F154" i="1"/>
  <c r="J153" i="1"/>
  <c r="I153" i="1"/>
  <c r="H153" i="1"/>
  <c r="G153" i="1"/>
  <c r="F153" i="1"/>
  <c r="J152" i="1"/>
  <c r="I152" i="1"/>
  <c r="H152" i="1"/>
  <c r="G152" i="1"/>
  <c r="F152" i="1"/>
  <c r="J151" i="1"/>
  <c r="I151" i="1"/>
  <c r="H151" i="1"/>
  <c r="G151" i="1"/>
  <c r="F151" i="1"/>
  <c r="J150" i="1"/>
  <c r="I150" i="1"/>
  <c r="H150" i="1"/>
  <c r="G150" i="1"/>
  <c r="F150" i="1"/>
  <c r="J149" i="1"/>
  <c r="I149" i="1"/>
  <c r="H149" i="1"/>
  <c r="G149" i="1"/>
  <c r="F149" i="1"/>
  <c r="J148" i="1"/>
  <c r="I148" i="1"/>
  <c r="H148" i="1"/>
  <c r="G148" i="1"/>
  <c r="F148" i="1"/>
  <c r="J147" i="1"/>
  <c r="I147" i="1"/>
  <c r="H147" i="1"/>
  <c r="G147" i="1"/>
  <c r="F147" i="1"/>
  <c r="J146" i="1"/>
  <c r="I146" i="1"/>
  <c r="H146" i="1"/>
  <c r="G146" i="1"/>
  <c r="F146" i="1"/>
  <c r="J145" i="1"/>
  <c r="I145" i="1"/>
  <c r="H145" i="1"/>
  <c r="G145" i="1"/>
  <c r="F145" i="1"/>
  <c r="J144" i="1"/>
  <c r="I144" i="1"/>
  <c r="H144" i="1"/>
  <c r="G144" i="1"/>
  <c r="F144" i="1"/>
  <c r="J143" i="1"/>
  <c r="I143" i="1"/>
  <c r="H143" i="1"/>
  <c r="G143" i="1"/>
  <c r="F143" i="1"/>
  <c r="J142" i="1"/>
  <c r="I142" i="1"/>
  <c r="H142" i="1"/>
  <c r="G142" i="1"/>
  <c r="F142" i="1"/>
  <c r="J141" i="1"/>
  <c r="I141" i="1"/>
  <c r="H141" i="1"/>
  <c r="G141" i="1"/>
  <c r="F141" i="1"/>
  <c r="J140" i="1"/>
  <c r="I140" i="1"/>
  <c r="H140" i="1"/>
  <c r="G140" i="1"/>
  <c r="F140" i="1"/>
  <c r="J139" i="1"/>
  <c r="I139" i="1"/>
  <c r="H139" i="1"/>
  <c r="G139" i="1"/>
  <c r="F139" i="1"/>
  <c r="J138" i="1"/>
  <c r="I138" i="1"/>
  <c r="H138" i="1"/>
  <c r="G138" i="1"/>
  <c r="F138" i="1"/>
  <c r="J137" i="1"/>
  <c r="I137" i="1"/>
  <c r="H137" i="1"/>
  <c r="G137" i="1"/>
  <c r="F137" i="1"/>
  <c r="J136" i="1"/>
  <c r="I136" i="1"/>
  <c r="H136" i="1"/>
  <c r="G136" i="1"/>
  <c r="F136" i="1"/>
  <c r="J135" i="1"/>
  <c r="I135" i="1"/>
  <c r="H135" i="1"/>
  <c r="G135" i="1"/>
  <c r="F135" i="1"/>
  <c r="J134" i="1"/>
  <c r="I134" i="1"/>
  <c r="H134" i="1"/>
  <c r="G134" i="1"/>
  <c r="F134" i="1"/>
  <c r="J133" i="1"/>
  <c r="I133" i="1"/>
  <c r="H133" i="1"/>
  <c r="G133" i="1"/>
  <c r="F133" i="1"/>
  <c r="J132" i="1"/>
  <c r="I132" i="1"/>
  <c r="H132" i="1"/>
  <c r="G132" i="1"/>
  <c r="F132" i="1"/>
  <c r="J131" i="1"/>
  <c r="I131" i="1"/>
  <c r="H131" i="1"/>
  <c r="G131" i="1"/>
  <c r="F131" i="1"/>
  <c r="J130" i="1"/>
  <c r="I130" i="1"/>
  <c r="H130" i="1"/>
  <c r="G130" i="1"/>
  <c r="F130" i="1"/>
  <c r="J129" i="1"/>
  <c r="I129" i="1"/>
  <c r="H129" i="1"/>
  <c r="G129" i="1"/>
  <c r="F129" i="1"/>
  <c r="J128" i="1"/>
  <c r="I128" i="1"/>
  <c r="H128" i="1"/>
  <c r="G128" i="1"/>
  <c r="F128" i="1"/>
  <c r="J127" i="1"/>
  <c r="I127" i="1"/>
  <c r="H127" i="1"/>
  <c r="G127" i="1"/>
  <c r="F127" i="1"/>
  <c r="J126" i="1"/>
  <c r="I126" i="1"/>
  <c r="H126" i="1"/>
  <c r="G126" i="1"/>
  <c r="F126" i="1"/>
  <c r="J125" i="1"/>
  <c r="I125" i="1"/>
  <c r="H125" i="1"/>
  <c r="G125" i="1"/>
  <c r="F125" i="1"/>
  <c r="J124" i="1"/>
  <c r="I124" i="1"/>
  <c r="H124" i="1"/>
  <c r="G124" i="1"/>
  <c r="F124" i="1"/>
  <c r="J123" i="1"/>
  <c r="I123" i="1"/>
  <c r="H123" i="1"/>
  <c r="G123" i="1"/>
  <c r="F123" i="1"/>
  <c r="J122" i="1"/>
  <c r="I122" i="1"/>
  <c r="H122" i="1"/>
  <c r="G122" i="1"/>
  <c r="F122" i="1"/>
  <c r="J121" i="1"/>
  <c r="I121" i="1"/>
  <c r="H121" i="1"/>
  <c r="G121" i="1"/>
  <c r="F121" i="1"/>
  <c r="J120" i="1"/>
  <c r="I120" i="1"/>
  <c r="H120" i="1"/>
  <c r="G120" i="1"/>
  <c r="F120" i="1"/>
  <c r="J119" i="1"/>
  <c r="I119" i="1"/>
  <c r="H119" i="1"/>
  <c r="G119" i="1"/>
  <c r="F119" i="1"/>
  <c r="J118" i="1"/>
  <c r="I118" i="1"/>
  <c r="H118" i="1"/>
  <c r="G118" i="1"/>
  <c r="F118" i="1"/>
  <c r="J117" i="1"/>
  <c r="I117" i="1"/>
  <c r="H117" i="1"/>
  <c r="G117" i="1"/>
  <c r="F117" i="1"/>
  <c r="J116" i="1"/>
  <c r="I116" i="1"/>
  <c r="H116" i="1"/>
  <c r="G116" i="1"/>
  <c r="F116" i="1"/>
  <c r="J115" i="1"/>
  <c r="I115" i="1"/>
  <c r="H115" i="1"/>
  <c r="G115" i="1"/>
  <c r="F115" i="1"/>
  <c r="J114" i="1"/>
  <c r="I114" i="1"/>
  <c r="H114" i="1"/>
  <c r="G114" i="1"/>
  <c r="F114" i="1"/>
  <c r="J113" i="1"/>
  <c r="I113" i="1"/>
  <c r="H113" i="1"/>
  <c r="G113" i="1"/>
  <c r="F113" i="1"/>
  <c r="J112" i="1"/>
  <c r="I112" i="1"/>
  <c r="H112" i="1"/>
  <c r="G112" i="1"/>
  <c r="F112" i="1"/>
  <c r="J111" i="1"/>
  <c r="I111" i="1"/>
  <c r="H111" i="1"/>
  <c r="G111" i="1"/>
  <c r="F111" i="1"/>
  <c r="J110" i="1"/>
  <c r="I110" i="1"/>
  <c r="H110" i="1"/>
  <c r="G110" i="1"/>
  <c r="F110" i="1"/>
  <c r="J109" i="1"/>
  <c r="I109" i="1"/>
  <c r="H109" i="1"/>
  <c r="G109" i="1"/>
  <c r="F109" i="1"/>
  <c r="J108" i="1"/>
  <c r="I108" i="1"/>
  <c r="H108" i="1"/>
  <c r="G108" i="1"/>
  <c r="F108" i="1"/>
  <c r="J107" i="1"/>
  <c r="I107" i="1"/>
  <c r="H107" i="1"/>
  <c r="G107" i="1"/>
  <c r="F107" i="1"/>
  <c r="J106" i="1"/>
  <c r="I106" i="1"/>
  <c r="H106" i="1"/>
  <c r="G106" i="1"/>
  <c r="F106" i="1"/>
  <c r="J105" i="1"/>
  <c r="I105" i="1"/>
  <c r="H105" i="1"/>
  <c r="G105" i="1"/>
  <c r="F105" i="1"/>
  <c r="J104" i="1"/>
  <c r="I104" i="1"/>
  <c r="H104" i="1"/>
  <c r="G104" i="1"/>
  <c r="F104" i="1"/>
  <c r="J103" i="1"/>
  <c r="I103" i="1"/>
  <c r="H103" i="1"/>
  <c r="G103" i="1"/>
  <c r="F103" i="1"/>
  <c r="J102" i="1"/>
  <c r="I102" i="1"/>
  <c r="H102" i="1"/>
  <c r="G102" i="1"/>
  <c r="F102" i="1"/>
  <c r="J101" i="1"/>
  <c r="I101" i="1"/>
  <c r="H101" i="1"/>
  <c r="G101" i="1"/>
  <c r="F101" i="1"/>
  <c r="J100" i="1"/>
  <c r="I100" i="1"/>
  <c r="H100" i="1"/>
  <c r="G100" i="1"/>
  <c r="F100" i="1"/>
  <c r="J99" i="1"/>
  <c r="I99" i="1"/>
  <c r="H99" i="1"/>
  <c r="G99" i="1"/>
  <c r="F99" i="1"/>
  <c r="J98" i="1"/>
  <c r="I98" i="1"/>
  <c r="H98" i="1"/>
  <c r="G98" i="1"/>
  <c r="F98" i="1"/>
  <c r="J97" i="1"/>
  <c r="I97" i="1"/>
  <c r="H97" i="1"/>
  <c r="G97" i="1"/>
  <c r="F97" i="1"/>
  <c r="J96" i="1"/>
  <c r="I96" i="1"/>
  <c r="H96" i="1"/>
  <c r="G96" i="1"/>
  <c r="F96" i="1"/>
  <c r="J95" i="1"/>
  <c r="I95" i="1"/>
  <c r="H95" i="1"/>
  <c r="G95" i="1"/>
  <c r="F95" i="1"/>
  <c r="J94" i="1"/>
  <c r="I94" i="1"/>
  <c r="H94" i="1"/>
  <c r="G94" i="1"/>
  <c r="F94" i="1"/>
  <c r="J93" i="1"/>
  <c r="I93" i="1"/>
  <c r="H93" i="1"/>
  <c r="G93" i="1"/>
  <c r="F93" i="1"/>
  <c r="J92" i="1"/>
  <c r="I92" i="1"/>
  <c r="H92" i="1"/>
  <c r="G92" i="1"/>
  <c r="F92" i="1"/>
  <c r="J91" i="1"/>
  <c r="I91" i="1"/>
  <c r="H91" i="1"/>
  <c r="G91" i="1"/>
  <c r="F91" i="1"/>
  <c r="J90" i="1"/>
  <c r="I90" i="1"/>
  <c r="H90" i="1"/>
  <c r="G90" i="1"/>
  <c r="F90" i="1"/>
  <c r="J89" i="1"/>
  <c r="I89" i="1"/>
  <c r="H89" i="1"/>
  <c r="G89" i="1"/>
  <c r="F89" i="1"/>
  <c r="J88" i="1"/>
  <c r="I88" i="1"/>
  <c r="H88" i="1"/>
  <c r="G88" i="1"/>
  <c r="F88" i="1"/>
  <c r="J87" i="1"/>
  <c r="I87" i="1"/>
  <c r="H87" i="1"/>
  <c r="G87" i="1"/>
  <c r="F87" i="1"/>
  <c r="J86" i="1"/>
  <c r="I86" i="1"/>
  <c r="H86" i="1"/>
  <c r="G86" i="1"/>
  <c r="F86" i="1"/>
  <c r="J85" i="1"/>
  <c r="I85" i="1"/>
  <c r="H85" i="1"/>
  <c r="G85" i="1"/>
  <c r="F85" i="1"/>
  <c r="J84" i="1"/>
  <c r="I84" i="1"/>
  <c r="H84" i="1"/>
  <c r="G84" i="1"/>
  <c r="F84" i="1"/>
  <c r="J83" i="1"/>
  <c r="I83" i="1"/>
  <c r="H83" i="1"/>
  <c r="G83" i="1"/>
  <c r="F83" i="1"/>
  <c r="J82" i="1"/>
  <c r="I82" i="1"/>
  <c r="H82" i="1"/>
  <c r="G82" i="1"/>
  <c r="F82" i="1"/>
  <c r="J81" i="1"/>
  <c r="I81" i="1"/>
  <c r="H81" i="1"/>
  <c r="G81" i="1"/>
  <c r="F81" i="1"/>
  <c r="J80" i="1"/>
  <c r="I80" i="1"/>
  <c r="H80" i="1"/>
  <c r="G80" i="1"/>
  <c r="F80" i="1"/>
  <c r="J79" i="1"/>
  <c r="I79" i="1"/>
  <c r="H79" i="1"/>
  <c r="G79" i="1"/>
  <c r="F79" i="1"/>
  <c r="J78" i="1"/>
  <c r="I78" i="1"/>
  <c r="H78" i="1"/>
  <c r="G78" i="1"/>
  <c r="F78" i="1"/>
  <c r="J77" i="1"/>
  <c r="I77" i="1"/>
  <c r="H77" i="1"/>
  <c r="G77" i="1"/>
  <c r="F77" i="1"/>
  <c r="J76" i="1"/>
  <c r="I76" i="1"/>
  <c r="H76" i="1"/>
  <c r="G76" i="1"/>
  <c r="F76" i="1"/>
  <c r="J75" i="1"/>
  <c r="I75" i="1"/>
  <c r="H75" i="1"/>
  <c r="G75" i="1"/>
  <c r="F75" i="1"/>
  <c r="J74" i="1"/>
  <c r="I74" i="1"/>
  <c r="H74" i="1"/>
  <c r="G74" i="1"/>
  <c r="F74" i="1"/>
  <c r="J73" i="1"/>
  <c r="I73" i="1"/>
  <c r="H73" i="1"/>
  <c r="G73" i="1"/>
  <c r="F73" i="1"/>
  <c r="J72" i="1"/>
  <c r="I72" i="1"/>
  <c r="H72" i="1"/>
  <c r="G72" i="1"/>
  <c r="F72" i="1"/>
  <c r="J71" i="1"/>
  <c r="I71" i="1"/>
  <c r="H71" i="1"/>
  <c r="G71" i="1"/>
  <c r="F71" i="1"/>
  <c r="J70" i="1"/>
  <c r="I70" i="1"/>
  <c r="H70" i="1"/>
  <c r="G70" i="1"/>
  <c r="F70" i="1"/>
  <c r="J69" i="1"/>
  <c r="I69" i="1"/>
  <c r="H69" i="1"/>
  <c r="G69" i="1"/>
  <c r="F69" i="1"/>
  <c r="J68" i="1"/>
  <c r="I68" i="1"/>
  <c r="H68" i="1"/>
  <c r="G68" i="1"/>
  <c r="F68" i="1"/>
  <c r="J67" i="1"/>
  <c r="I67" i="1"/>
  <c r="H67" i="1"/>
  <c r="G67" i="1"/>
  <c r="F67" i="1"/>
  <c r="J66" i="1"/>
  <c r="I66" i="1"/>
  <c r="H66" i="1"/>
  <c r="G66" i="1"/>
  <c r="F66" i="1"/>
  <c r="J65" i="1"/>
  <c r="I65" i="1"/>
  <c r="H65" i="1"/>
  <c r="G65" i="1"/>
  <c r="F65" i="1"/>
  <c r="J64" i="1"/>
  <c r="I64" i="1"/>
  <c r="H64" i="1"/>
  <c r="G64" i="1"/>
  <c r="F64" i="1"/>
  <c r="J63" i="1"/>
  <c r="I63" i="1"/>
  <c r="H63" i="1"/>
  <c r="G63" i="1"/>
  <c r="F63" i="1"/>
  <c r="J62" i="1"/>
  <c r="I62" i="1"/>
  <c r="H62" i="1"/>
  <c r="G62" i="1"/>
  <c r="F62" i="1"/>
  <c r="J61" i="1"/>
  <c r="I61" i="1"/>
  <c r="H61" i="1"/>
  <c r="G61" i="1"/>
  <c r="F61" i="1"/>
  <c r="J60" i="1"/>
  <c r="I60" i="1"/>
  <c r="H60" i="1"/>
  <c r="G60" i="1"/>
  <c r="F60" i="1"/>
  <c r="J59" i="1"/>
  <c r="I59" i="1"/>
  <c r="H59" i="1"/>
  <c r="G59" i="1"/>
  <c r="F59" i="1"/>
  <c r="J58" i="1"/>
  <c r="I58" i="1"/>
  <c r="H58" i="1"/>
  <c r="G58" i="1"/>
  <c r="F58" i="1"/>
  <c r="J57" i="1"/>
  <c r="I57" i="1"/>
  <c r="H57" i="1"/>
  <c r="G57" i="1"/>
  <c r="F57" i="1"/>
  <c r="J56" i="1"/>
  <c r="I56" i="1"/>
  <c r="H56" i="1"/>
  <c r="G56" i="1"/>
  <c r="F56" i="1"/>
  <c r="J55" i="1"/>
  <c r="I55" i="1"/>
  <c r="H55" i="1"/>
  <c r="G55" i="1"/>
  <c r="F55" i="1"/>
  <c r="J54" i="1"/>
  <c r="I54" i="1"/>
  <c r="H54" i="1"/>
  <c r="G54" i="1"/>
  <c r="F54" i="1"/>
  <c r="J53" i="1"/>
  <c r="I53" i="1"/>
  <c r="H53" i="1"/>
  <c r="G53" i="1"/>
  <c r="F53" i="1"/>
  <c r="J52" i="1"/>
  <c r="I52" i="1"/>
  <c r="H52" i="1"/>
  <c r="G52" i="1"/>
  <c r="F52" i="1"/>
  <c r="J51" i="1"/>
  <c r="I51" i="1"/>
  <c r="H51" i="1"/>
  <c r="G51" i="1"/>
  <c r="F51" i="1"/>
  <c r="J50" i="1"/>
  <c r="I50" i="1"/>
  <c r="H50" i="1"/>
  <c r="G50" i="1"/>
  <c r="F50" i="1"/>
  <c r="J49" i="1"/>
  <c r="I49" i="1"/>
  <c r="H49" i="1"/>
  <c r="G49" i="1"/>
  <c r="F49" i="1"/>
  <c r="J48" i="1"/>
  <c r="I48" i="1"/>
  <c r="H48" i="1"/>
  <c r="G48" i="1"/>
  <c r="F48" i="1"/>
  <c r="J47" i="1"/>
  <c r="I47" i="1"/>
  <c r="H47" i="1"/>
  <c r="G47" i="1"/>
  <c r="F47" i="1"/>
  <c r="J46" i="1"/>
  <c r="I46" i="1"/>
  <c r="H46" i="1"/>
  <c r="G46" i="1"/>
  <c r="F46" i="1"/>
  <c r="J45" i="1"/>
  <c r="I45" i="1"/>
  <c r="H45" i="1"/>
  <c r="G45" i="1"/>
  <c r="F45" i="1"/>
  <c r="J44" i="1"/>
  <c r="I44" i="1"/>
  <c r="H44" i="1"/>
  <c r="G44" i="1"/>
  <c r="F44" i="1"/>
  <c r="J43" i="1"/>
  <c r="I43" i="1"/>
  <c r="H43" i="1"/>
  <c r="G43" i="1"/>
  <c r="F43" i="1"/>
  <c r="J42" i="1"/>
  <c r="I42" i="1"/>
  <c r="H42" i="1"/>
  <c r="G42" i="1"/>
  <c r="F42" i="1"/>
  <c r="J41" i="1"/>
  <c r="I41" i="1"/>
  <c r="H41" i="1"/>
  <c r="G41" i="1"/>
  <c r="F41" i="1"/>
  <c r="J40" i="1"/>
  <c r="I40" i="1"/>
  <c r="H40" i="1"/>
  <c r="G40" i="1"/>
  <c r="F40" i="1"/>
  <c r="J39" i="1"/>
  <c r="I39" i="1"/>
  <c r="H39" i="1"/>
  <c r="G39" i="1"/>
  <c r="F39" i="1"/>
  <c r="J38" i="1"/>
  <c r="I38" i="1"/>
  <c r="H38" i="1"/>
  <c r="G38" i="1"/>
  <c r="F38" i="1"/>
  <c r="J37" i="1"/>
  <c r="I37" i="1"/>
  <c r="H37" i="1"/>
  <c r="G37" i="1"/>
  <c r="F37" i="1"/>
  <c r="J36" i="1"/>
  <c r="I36" i="1"/>
  <c r="H36" i="1"/>
  <c r="G36" i="1"/>
  <c r="F36" i="1"/>
  <c r="J35" i="1"/>
  <c r="I35" i="1"/>
  <c r="H35" i="1"/>
  <c r="G35" i="1"/>
  <c r="F35" i="1"/>
  <c r="J34" i="1"/>
  <c r="I34" i="1"/>
  <c r="H34" i="1"/>
  <c r="G34" i="1"/>
  <c r="F34" i="1"/>
  <c r="J33" i="1"/>
  <c r="I33" i="1"/>
  <c r="H33" i="1"/>
  <c r="G33" i="1"/>
  <c r="F33" i="1"/>
  <c r="J32" i="1"/>
  <c r="I32" i="1"/>
  <c r="H32" i="1"/>
  <c r="G32" i="1"/>
  <c r="F32" i="1"/>
  <c r="J31" i="1"/>
  <c r="I31" i="1"/>
  <c r="H31" i="1"/>
  <c r="G31" i="1"/>
  <c r="F31" i="1"/>
  <c r="J30" i="1"/>
  <c r="I30" i="1"/>
  <c r="H30" i="1"/>
  <c r="G30" i="1"/>
  <c r="F30" i="1"/>
  <c r="J29" i="1"/>
  <c r="I29" i="1"/>
  <c r="H29" i="1"/>
  <c r="G29" i="1"/>
  <c r="F29" i="1"/>
  <c r="J28" i="1"/>
  <c r="I28" i="1"/>
  <c r="H28" i="1"/>
  <c r="G28" i="1"/>
  <c r="F28" i="1"/>
  <c r="J27" i="1"/>
  <c r="I27" i="1"/>
  <c r="H27" i="1"/>
  <c r="G27" i="1"/>
  <c r="F27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E11" i="24"/>
  <c r="I11" i="24"/>
  <c r="E12" i="24"/>
  <c r="I12" i="24"/>
  <c r="E13" i="24"/>
  <c r="I13" i="24"/>
  <c r="I14" i="24"/>
  <c r="E15" i="24"/>
  <c r="I15" i="24"/>
  <c r="E16" i="24"/>
  <c r="F16" i="24"/>
  <c r="G16" i="24"/>
  <c r="H16" i="24"/>
  <c r="I16" i="24"/>
  <c r="J16" i="24"/>
  <c r="E17" i="24"/>
  <c r="F17" i="24"/>
  <c r="G17" i="24"/>
  <c r="H17" i="24"/>
  <c r="I17" i="24"/>
  <c r="J17" i="24"/>
  <c r="E18" i="24"/>
  <c r="I18" i="24"/>
  <c r="E19" i="24"/>
  <c r="I19" i="24"/>
  <c r="E20" i="24"/>
  <c r="I20" i="24"/>
  <c r="I21" i="24"/>
  <c r="E10" i="24"/>
  <c r="E22" i="24"/>
  <c r="E23" i="24"/>
  <c r="E24" i="24"/>
  <c r="E25" i="24"/>
  <c r="E26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1" i="24"/>
  <c r="E42" i="24"/>
  <c r="E43" i="24"/>
  <c r="E44" i="24"/>
  <c r="E45" i="24"/>
  <c r="E46" i="24"/>
  <c r="E47" i="24"/>
  <c r="E48" i="24"/>
  <c r="E49" i="24"/>
  <c r="E50" i="24"/>
  <c r="E51" i="24"/>
  <c r="E52" i="24"/>
  <c r="E53" i="24"/>
  <c r="E54" i="24"/>
  <c r="E55" i="24"/>
  <c r="E56" i="24"/>
  <c r="E57" i="24"/>
  <c r="E58" i="24"/>
  <c r="E59" i="24"/>
  <c r="E60" i="24"/>
  <c r="E61" i="24"/>
  <c r="E62" i="24"/>
  <c r="E63" i="24"/>
  <c r="E64" i="24"/>
  <c r="E65" i="24"/>
  <c r="E66" i="24"/>
  <c r="E67" i="24"/>
  <c r="E68" i="24"/>
  <c r="E69" i="24"/>
  <c r="E70" i="24"/>
  <c r="E71" i="24"/>
  <c r="E72" i="24"/>
  <c r="E73" i="24"/>
  <c r="E74" i="24"/>
  <c r="E75" i="24"/>
  <c r="E76" i="24"/>
  <c r="E77" i="24"/>
  <c r="E78" i="24"/>
  <c r="E79" i="24"/>
  <c r="G88" i="24" l="1"/>
  <c r="G97" i="24"/>
  <c r="G96" i="24"/>
  <c r="M19" i="33"/>
  <c r="N19" i="33" s="1"/>
  <c r="G91" i="24"/>
  <c r="G92" i="24"/>
  <c r="M22" i="33"/>
  <c r="N22" i="33" s="1"/>
  <c r="M23" i="33"/>
  <c r="N23" i="33" s="1"/>
  <c r="M21" i="33"/>
  <c r="N21" i="33" s="1"/>
  <c r="N27" i="1"/>
  <c r="M27" i="1" s="1"/>
  <c r="O27" i="1"/>
  <c r="N28" i="1"/>
  <c r="M28" i="1" s="1"/>
  <c r="O28" i="1"/>
  <c r="N29" i="1"/>
  <c r="M29" i="1" s="1"/>
  <c r="O29" i="1"/>
  <c r="N30" i="1"/>
  <c r="M30" i="1" s="1"/>
  <c r="O30" i="1"/>
  <c r="N31" i="1"/>
  <c r="M31" i="1" s="1"/>
  <c r="O31" i="1"/>
  <c r="N32" i="1"/>
  <c r="M32" i="1" s="1"/>
  <c r="O32" i="1"/>
  <c r="N33" i="1"/>
  <c r="M33" i="1" s="1"/>
  <c r="O33" i="1"/>
  <c r="N34" i="1"/>
  <c r="M34" i="1" s="1"/>
  <c r="O34" i="1"/>
  <c r="N35" i="1"/>
  <c r="M35" i="1" s="1"/>
  <c r="O35" i="1"/>
  <c r="N36" i="1"/>
  <c r="M36" i="1" s="1"/>
  <c r="O36" i="1"/>
  <c r="N37" i="1"/>
  <c r="M37" i="1" s="1"/>
  <c r="O37" i="1"/>
  <c r="N38" i="1"/>
  <c r="M38" i="1" s="1"/>
  <c r="O38" i="1"/>
  <c r="N39" i="1"/>
  <c r="M39" i="1" s="1"/>
  <c r="O39" i="1"/>
  <c r="N40" i="1"/>
  <c r="M40" i="1" s="1"/>
  <c r="O40" i="1"/>
  <c r="N41" i="1"/>
  <c r="M41" i="1" s="1"/>
  <c r="O41" i="1"/>
  <c r="N42" i="1"/>
  <c r="M42" i="1" s="1"/>
  <c r="O42" i="1"/>
  <c r="N43" i="1"/>
  <c r="M43" i="1" s="1"/>
  <c r="O43" i="1"/>
  <c r="N44" i="1"/>
  <c r="M44" i="1" s="1"/>
  <c r="O44" i="1"/>
  <c r="N45" i="1"/>
  <c r="M45" i="1" s="1"/>
  <c r="O45" i="1"/>
  <c r="N46" i="1"/>
  <c r="O46" i="1"/>
  <c r="N47" i="1"/>
  <c r="M47" i="1" s="1"/>
  <c r="O47" i="1"/>
  <c r="N48" i="1"/>
  <c r="M48" i="1" s="1"/>
  <c r="O48" i="1"/>
  <c r="N49" i="1"/>
  <c r="M49" i="1" s="1"/>
  <c r="O49" i="1"/>
  <c r="N50" i="1"/>
  <c r="M50" i="1" s="1"/>
  <c r="O50" i="1"/>
  <c r="N51" i="1"/>
  <c r="M51" i="1" s="1"/>
  <c r="O51" i="1"/>
  <c r="N52" i="1"/>
  <c r="M52" i="1" s="1"/>
  <c r="O52" i="1"/>
  <c r="N53" i="1"/>
  <c r="M53" i="1" s="1"/>
  <c r="O53" i="1"/>
  <c r="N54" i="1"/>
  <c r="M54" i="1" s="1"/>
  <c r="O54" i="1"/>
  <c r="N55" i="1"/>
  <c r="M55" i="1" s="1"/>
  <c r="O55" i="1"/>
  <c r="N56" i="1"/>
  <c r="M56" i="1" s="1"/>
  <c r="O56" i="1"/>
  <c r="N57" i="1"/>
  <c r="M57" i="1" s="1"/>
  <c r="O57" i="1"/>
  <c r="N58" i="1"/>
  <c r="M58" i="1" s="1"/>
  <c r="O58" i="1"/>
  <c r="N59" i="1"/>
  <c r="M59" i="1" s="1"/>
  <c r="O59" i="1"/>
  <c r="N60" i="1"/>
  <c r="M60" i="1" s="1"/>
  <c r="O60" i="1"/>
  <c r="N61" i="1"/>
  <c r="M61" i="1" s="1"/>
  <c r="O61" i="1"/>
  <c r="N62" i="1"/>
  <c r="M62" i="1" s="1"/>
  <c r="O62" i="1"/>
  <c r="N63" i="1"/>
  <c r="M63" i="1" s="1"/>
  <c r="O63" i="1"/>
  <c r="N64" i="1"/>
  <c r="M64" i="1" s="1"/>
  <c r="O64" i="1"/>
  <c r="N65" i="1"/>
  <c r="M65" i="1" s="1"/>
  <c r="O65" i="1"/>
  <c r="N66" i="1"/>
  <c r="M66" i="1" s="1"/>
  <c r="O66" i="1"/>
  <c r="N67" i="1"/>
  <c r="M67" i="1" s="1"/>
  <c r="O67" i="1"/>
  <c r="N68" i="1"/>
  <c r="M68" i="1" s="1"/>
  <c r="O68" i="1"/>
  <c r="N69" i="1"/>
  <c r="M69" i="1" s="1"/>
  <c r="O69" i="1"/>
  <c r="N70" i="1"/>
  <c r="M70" i="1" s="1"/>
  <c r="O70" i="1"/>
  <c r="N71" i="1"/>
  <c r="M71" i="1" s="1"/>
  <c r="O71" i="1"/>
  <c r="N72" i="1"/>
  <c r="M72" i="1" s="1"/>
  <c r="O72" i="1"/>
  <c r="N73" i="1"/>
  <c r="M73" i="1" s="1"/>
  <c r="O73" i="1"/>
  <c r="N74" i="1"/>
  <c r="M74" i="1" s="1"/>
  <c r="O74" i="1"/>
  <c r="N75" i="1"/>
  <c r="M75" i="1" s="1"/>
  <c r="O75" i="1"/>
  <c r="N76" i="1"/>
  <c r="M76" i="1" s="1"/>
  <c r="O76" i="1"/>
  <c r="N77" i="1"/>
  <c r="M77" i="1" s="1"/>
  <c r="O77" i="1"/>
  <c r="N78" i="1"/>
  <c r="M78" i="1" s="1"/>
  <c r="O78" i="1"/>
  <c r="N79" i="1"/>
  <c r="M79" i="1" s="1"/>
  <c r="O79" i="1"/>
  <c r="N80" i="1"/>
  <c r="M80" i="1" s="1"/>
  <c r="O80" i="1"/>
  <c r="N81" i="1"/>
  <c r="M81" i="1" s="1"/>
  <c r="O81" i="1"/>
  <c r="N82" i="1"/>
  <c r="M82" i="1" s="1"/>
  <c r="O82" i="1"/>
  <c r="N83" i="1"/>
  <c r="M83" i="1" s="1"/>
  <c r="O83" i="1"/>
  <c r="N84" i="1"/>
  <c r="O84" i="1"/>
  <c r="H35" i="5" s="1"/>
  <c r="N85" i="1"/>
  <c r="M85" i="1" s="1"/>
  <c r="O85" i="1"/>
  <c r="N86" i="1"/>
  <c r="M86" i="1" s="1"/>
  <c r="O86" i="1"/>
  <c r="N87" i="1"/>
  <c r="M87" i="1" s="1"/>
  <c r="O87" i="1"/>
  <c r="N88" i="1"/>
  <c r="M88" i="1" s="1"/>
  <c r="O88" i="1"/>
  <c r="N89" i="1"/>
  <c r="M89" i="1" s="1"/>
  <c r="O89" i="1"/>
  <c r="N90" i="1"/>
  <c r="M90" i="1" s="1"/>
  <c r="O90" i="1"/>
  <c r="N91" i="1"/>
  <c r="M91" i="1" s="1"/>
  <c r="O91" i="1"/>
  <c r="N92" i="1"/>
  <c r="M92" i="1" s="1"/>
  <c r="O92" i="1"/>
  <c r="N93" i="1"/>
  <c r="M93" i="1" s="1"/>
  <c r="O93" i="1"/>
  <c r="N94" i="1"/>
  <c r="M94" i="1" s="1"/>
  <c r="O94" i="1"/>
  <c r="N95" i="1"/>
  <c r="M95" i="1" s="1"/>
  <c r="O95" i="1"/>
  <c r="N96" i="1"/>
  <c r="M96" i="1" s="1"/>
  <c r="O96" i="1"/>
  <c r="N97" i="1"/>
  <c r="M97" i="1" s="1"/>
  <c r="O97" i="1"/>
  <c r="N98" i="1"/>
  <c r="M98" i="1" s="1"/>
  <c r="O98" i="1"/>
  <c r="N99" i="1"/>
  <c r="M99" i="1" s="1"/>
  <c r="O99" i="1"/>
  <c r="O100" i="1"/>
  <c r="N100" i="1"/>
  <c r="M100" i="1" s="1"/>
  <c r="O101" i="1"/>
  <c r="N101" i="1"/>
  <c r="M101" i="1" s="1"/>
  <c r="O102" i="1"/>
  <c r="N102" i="1"/>
  <c r="M102" i="1" s="1"/>
  <c r="O103" i="1"/>
  <c r="N103" i="1"/>
  <c r="M103" i="1" s="1"/>
  <c r="O104" i="1"/>
  <c r="N104" i="1"/>
  <c r="M104" i="1" s="1"/>
  <c r="O105" i="1"/>
  <c r="N105" i="1"/>
  <c r="M105" i="1" s="1"/>
  <c r="O106" i="1"/>
  <c r="N106" i="1"/>
  <c r="M106" i="1" s="1"/>
  <c r="O107" i="1"/>
  <c r="N107" i="1"/>
  <c r="M107" i="1" s="1"/>
  <c r="O108" i="1"/>
  <c r="N108" i="1"/>
  <c r="M108" i="1" s="1"/>
  <c r="O109" i="1"/>
  <c r="N109" i="1"/>
  <c r="M109" i="1" s="1"/>
  <c r="O110" i="1"/>
  <c r="N110" i="1"/>
  <c r="M110" i="1" s="1"/>
  <c r="O111" i="1"/>
  <c r="N111" i="1"/>
  <c r="M111" i="1" s="1"/>
  <c r="O112" i="1"/>
  <c r="N112" i="1"/>
  <c r="M112" i="1" s="1"/>
  <c r="O113" i="1"/>
  <c r="N113" i="1"/>
  <c r="M113" i="1" s="1"/>
  <c r="O114" i="1"/>
  <c r="N114" i="1"/>
  <c r="M114" i="1" s="1"/>
  <c r="O115" i="1"/>
  <c r="N115" i="1"/>
  <c r="M115" i="1" s="1"/>
  <c r="O116" i="1"/>
  <c r="N116" i="1"/>
  <c r="M116" i="1" s="1"/>
  <c r="O117" i="1"/>
  <c r="N117" i="1"/>
  <c r="M117" i="1" s="1"/>
  <c r="O118" i="1"/>
  <c r="N118" i="1"/>
  <c r="M118" i="1" s="1"/>
  <c r="O119" i="1"/>
  <c r="N119" i="1"/>
  <c r="M119" i="1" s="1"/>
  <c r="O120" i="1"/>
  <c r="N120" i="1"/>
  <c r="M120" i="1" s="1"/>
  <c r="O121" i="1"/>
  <c r="N121" i="1"/>
  <c r="M121" i="1" s="1"/>
  <c r="O122" i="1"/>
  <c r="N122" i="1"/>
  <c r="M122" i="1" s="1"/>
  <c r="O123" i="1"/>
  <c r="N123" i="1"/>
  <c r="M123" i="1" s="1"/>
  <c r="O124" i="1"/>
  <c r="N124" i="1"/>
  <c r="M124" i="1" s="1"/>
  <c r="O125" i="1"/>
  <c r="N125" i="1"/>
  <c r="M125" i="1" s="1"/>
  <c r="O126" i="1"/>
  <c r="N126" i="1"/>
  <c r="M126" i="1" s="1"/>
  <c r="O127" i="1"/>
  <c r="N127" i="1"/>
  <c r="M127" i="1" s="1"/>
  <c r="O128" i="1"/>
  <c r="N128" i="1"/>
  <c r="M128" i="1" s="1"/>
  <c r="O129" i="1"/>
  <c r="N129" i="1"/>
  <c r="M129" i="1" s="1"/>
  <c r="O130" i="1"/>
  <c r="N130" i="1"/>
  <c r="M130" i="1" s="1"/>
  <c r="O131" i="1"/>
  <c r="N131" i="1"/>
  <c r="M131" i="1" s="1"/>
  <c r="O132" i="1"/>
  <c r="N132" i="1"/>
  <c r="M132" i="1" s="1"/>
  <c r="O133" i="1"/>
  <c r="N133" i="1"/>
  <c r="M133" i="1" s="1"/>
  <c r="O134" i="1"/>
  <c r="N134" i="1"/>
  <c r="M134" i="1" s="1"/>
  <c r="O135" i="1"/>
  <c r="N135" i="1"/>
  <c r="M135" i="1" s="1"/>
  <c r="O136" i="1"/>
  <c r="N136" i="1"/>
  <c r="M136" i="1" s="1"/>
  <c r="O137" i="1"/>
  <c r="N137" i="1"/>
  <c r="M137" i="1" s="1"/>
  <c r="O138" i="1"/>
  <c r="N138" i="1"/>
  <c r="M138" i="1" s="1"/>
  <c r="O139" i="1"/>
  <c r="N139" i="1"/>
  <c r="M139" i="1" s="1"/>
  <c r="O140" i="1"/>
  <c r="N140" i="1"/>
  <c r="M140" i="1" s="1"/>
  <c r="O141" i="1"/>
  <c r="N141" i="1"/>
  <c r="M141" i="1" s="1"/>
  <c r="O142" i="1"/>
  <c r="N142" i="1"/>
  <c r="M142" i="1" s="1"/>
  <c r="O143" i="1"/>
  <c r="N143" i="1"/>
  <c r="M143" i="1" s="1"/>
  <c r="O144" i="1"/>
  <c r="N144" i="1"/>
  <c r="M144" i="1" s="1"/>
  <c r="O145" i="1"/>
  <c r="N145" i="1"/>
  <c r="M145" i="1" s="1"/>
  <c r="O146" i="1"/>
  <c r="N146" i="1"/>
  <c r="M146" i="1" s="1"/>
  <c r="O147" i="1"/>
  <c r="N147" i="1"/>
  <c r="M147" i="1" s="1"/>
  <c r="O148" i="1"/>
  <c r="N148" i="1"/>
  <c r="M148" i="1" s="1"/>
  <c r="O149" i="1"/>
  <c r="N149" i="1"/>
  <c r="M149" i="1" s="1"/>
  <c r="O150" i="1"/>
  <c r="N150" i="1"/>
  <c r="M150" i="1" s="1"/>
  <c r="O151" i="1"/>
  <c r="N151" i="1"/>
  <c r="M151" i="1" s="1"/>
  <c r="O152" i="1"/>
  <c r="N152" i="1"/>
  <c r="M152" i="1" s="1"/>
  <c r="O153" i="1"/>
  <c r="N153" i="1"/>
  <c r="M153" i="1" s="1"/>
  <c r="O154" i="1"/>
  <c r="N154" i="1"/>
  <c r="M154" i="1" s="1"/>
  <c r="O155" i="1"/>
  <c r="N155" i="1"/>
  <c r="M155" i="1" s="1"/>
  <c r="O156" i="1"/>
  <c r="N156" i="1"/>
  <c r="M156" i="1" s="1"/>
  <c r="O157" i="1"/>
  <c r="N157" i="1"/>
  <c r="M157" i="1" s="1"/>
  <c r="O158" i="1"/>
  <c r="N158" i="1"/>
  <c r="M158" i="1" s="1"/>
  <c r="O159" i="1"/>
  <c r="N159" i="1"/>
  <c r="M159" i="1" s="1"/>
  <c r="O160" i="1"/>
  <c r="N160" i="1"/>
  <c r="M160" i="1" s="1"/>
  <c r="O161" i="1"/>
  <c r="N161" i="1"/>
  <c r="M161" i="1" s="1"/>
  <c r="O162" i="1"/>
  <c r="N162" i="1"/>
  <c r="M162" i="1" s="1"/>
  <c r="O163" i="1"/>
  <c r="N163" i="1"/>
  <c r="M163" i="1" s="1"/>
  <c r="O164" i="1"/>
  <c r="N164" i="1"/>
  <c r="M164" i="1" s="1"/>
  <c r="O165" i="1"/>
  <c r="N165" i="1"/>
  <c r="M165" i="1" s="1"/>
  <c r="O166" i="1"/>
  <c r="N166" i="1"/>
  <c r="M166" i="1" s="1"/>
  <c r="O167" i="1"/>
  <c r="N167" i="1"/>
  <c r="M167" i="1" s="1"/>
  <c r="O168" i="1"/>
  <c r="N168" i="1"/>
  <c r="M168" i="1" s="1"/>
  <c r="O169" i="1"/>
  <c r="N169" i="1"/>
  <c r="M169" i="1" s="1"/>
  <c r="O170" i="1"/>
  <c r="N170" i="1"/>
  <c r="M170" i="1" s="1"/>
  <c r="O171" i="1"/>
  <c r="N171" i="1"/>
  <c r="M171" i="1" s="1"/>
  <c r="O172" i="1"/>
  <c r="N172" i="1"/>
  <c r="M172" i="1" s="1"/>
  <c r="O173" i="1"/>
  <c r="N173" i="1"/>
  <c r="M173" i="1" s="1"/>
  <c r="O174" i="1"/>
  <c r="N174" i="1"/>
  <c r="M174" i="1" s="1"/>
  <c r="O175" i="1"/>
  <c r="N175" i="1"/>
  <c r="M175" i="1" s="1"/>
  <c r="O176" i="1"/>
  <c r="N176" i="1"/>
  <c r="M176" i="1" s="1"/>
  <c r="O177" i="1"/>
  <c r="N177" i="1"/>
  <c r="M177" i="1" s="1"/>
  <c r="O178" i="1"/>
  <c r="N178" i="1"/>
  <c r="M178" i="1" s="1"/>
  <c r="O179" i="1"/>
  <c r="N179" i="1"/>
  <c r="M179" i="1" s="1"/>
  <c r="O180" i="1"/>
  <c r="N180" i="1"/>
  <c r="M180" i="1" s="1"/>
  <c r="O181" i="1"/>
  <c r="N181" i="1"/>
  <c r="M181" i="1" s="1"/>
  <c r="O182" i="1"/>
  <c r="N182" i="1"/>
  <c r="M182" i="1" s="1"/>
  <c r="O183" i="1"/>
  <c r="N183" i="1"/>
  <c r="M183" i="1" s="1"/>
  <c r="O184" i="1"/>
  <c r="N184" i="1"/>
  <c r="M184" i="1" s="1"/>
  <c r="O185" i="1"/>
  <c r="N185" i="1"/>
  <c r="M185" i="1" s="1"/>
  <c r="O186" i="1"/>
  <c r="N186" i="1"/>
  <c r="M186" i="1" s="1"/>
  <c r="O187" i="1"/>
  <c r="N187" i="1"/>
  <c r="M187" i="1" s="1"/>
  <c r="O188" i="1"/>
  <c r="N188" i="1"/>
  <c r="M188" i="1" s="1"/>
  <c r="O189" i="1"/>
  <c r="N189" i="1"/>
  <c r="M189" i="1" s="1"/>
  <c r="O190" i="1"/>
  <c r="N190" i="1"/>
  <c r="M190" i="1" s="1"/>
  <c r="O191" i="1"/>
  <c r="N191" i="1"/>
  <c r="M191" i="1" s="1"/>
  <c r="O192" i="1"/>
  <c r="N192" i="1"/>
  <c r="M192" i="1" s="1"/>
  <c r="O193" i="1"/>
  <c r="N193" i="1"/>
  <c r="M193" i="1" s="1"/>
  <c r="O194" i="1"/>
  <c r="N194" i="1"/>
  <c r="M194" i="1" s="1"/>
  <c r="O195" i="1"/>
  <c r="N195" i="1"/>
  <c r="M195" i="1" s="1"/>
  <c r="O196" i="1"/>
  <c r="N196" i="1"/>
  <c r="M196" i="1" s="1"/>
  <c r="O197" i="1"/>
  <c r="N197" i="1"/>
  <c r="M197" i="1" s="1"/>
  <c r="O198" i="1"/>
  <c r="N198" i="1"/>
  <c r="M198" i="1" s="1"/>
  <c r="O199" i="1"/>
  <c r="N199" i="1"/>
  <c r="M199" i="1" s="1"/>
  <c r="O200" i="1"/>
  <c r="N200" i="1"/>
  <c r="M200" i="1" s="1"/>
  <c r="O201" i="1"/>
  <c r="N201" i="1"/>
  <c r="M201" i="1" s="1"/>
  <c r="O202" i="1"/>
  <c r="N202" i="1"/>
  <c r="M202" i="1" s="1"/>
  <c r="O203" i="1"/>
  <c r="N203" i="1"/>
  <c r="M203" i="1" s="1"/>
  <c r="O204" i="1"/>
  <c r="N204" i="1"/>
  <c r="M204" i="1" s="1"/>
  <c r="O205" i="1"/>
  <c r="N205" i="1"/>
  <c r="M205" i="1" s="1"/>
  <c r="O206" i="1"/>
  <c r="N206" i="1"/>
  <c r="M206" i="1" s="1"/>
  <c r="O207" i="1"/>
  <c r="N207" i="1"/>
  <c r="M207" i="1" s="1"/>
  <c r="O208" i="1"/>
  <c r="N208" i="1"/>
  <c r="M208" i="1" s="1"/>
  <c r="O209" i="1"/>
  <c r="N209" i="1"/>
  <c r="M209" i="1" s="1"/>
  <c r="O210" i="1"/>
  <c r="N210" i="1"/>
  <c r="M210" i="1" s="1"/>
  <c r="O211" i="1"/>
  <c r="N211" i="1"/>
  <c r="M211" i="1" s="1"/>
  <c r="O212" i="1"/>
  <c r="N212" i="1"/>
  <c r="M212" i="1" s="1"/>
  <c r="O213" i="1"/>
  <c r="N213" i="1"/>
  <c r="M213" i="1" s="1"/>
  <c r="O214" i="1"/>
  <c r="N214" i="1"/>
  <c r="M214" i="1" s="1"/>
  <c r="O215" i="1"/>
  <c r="N215" i="1"/>
  <c r="M215" i="1" s="1"/>
  <c r="O216" i="1"/>
  <c r="N216" i="1"/>
  <c r="M216" i="1" s="1"/>
  <c r="O217" i="1"/>
  <c r="N217" i="1"/>
  <c r="M217" i="1" s="1"/>
  <c r="O218" i="1"/>
  <c r="N218" i="1"/>
  <c r="M218" i="1" s="1"/>
  <c r="O219" i="1"/>
  <c r="N219" i="1"/>
  <c r="M219" i="1" s="1"/>
  <c r="O220" i="1"/>
  <c r="N220" i="1"/>
  <c r="M220" i="1" s="1"/>
  <c r="O221" i="1"/>
  <c r="N221" i="1"/>
  <c r="M221" i="1" s="1"/>
  <c r="O222" i="1"/>
  <c r="N222" i="1"/>
  <c r="M222" i="1" s="1"/>
  <c r="O223" i="1"/>
  <c r="N223" i="1"/>
  <c r="M223" i="1" s="1"/>
  <c r="O224" i="1"/>
  <c r="N224" i="1"/>
  <c r="M224" i="1" s="1"/>
  <c r="O225" i="1"/>
  <c r="N225" i="1"/>
  <c r="M225" i="1" s="1"/>
  <c r="O226" i="1"/>
  <c r="N226" i="1"/>
  <c r="M226" i="1" s="1"/>
  <c r="O227" i="1"/>
  <c r="N227" i="1"/>
  <c r="M227" i="1" s="1"/>
  <c r="O228" i="1"/>
  <c r="N228" i="1"/>
  <c r="M228" i="1" s="1"/>
  <c r="O229" i="1"/>
  <c r="N229" i="1"/>
  <c r="M229" i="1" s="1"/>
  <c r="O230" i="1"/>
  <c r="N230" i="1"/>
  <c r="M230" i="1" s="1"/>
  <c r="O231" i="1"/>
  <c r="N231" i="1"/>
  <c r="M231" i="1" s="1"/>
  <c r="O232" i="1"/>
  <c r="N232" i="1"/>
  <c r="M232" i="1" s="1"/>
  <c r="O233" i="1"/>
  <c r="N233" i="1"/>
  <c r="M233" i="1" s="1"/>
  <c r="O234" i="1"/>
  <c r="N234" i="1"/>
  <c r="M234" i="1" s="1"/>
  <c r="O235" i="1"/>
  <c r="N235" i="1"/>
  <c r="M235" i="1" s="1"/>
  <c r="O236" i="1"/>
  <c r="N236" i="1"/>
  <c r="M236" i="1" s="1"/>
  <c r="O237" i="1"/>
  <c r="N237" i="1"/>
  <c r="M237" i="1" s="1"/>
  <c r="O238" i="1"/>
  <c r="N238" i="1"/>
  <c r="M238" i="1" s="1"/>
  <c r="O239" i="1"/>
  <c r="N239" i="1"/>
  <c r="M239" i="1" s="1"/>
  <c r="O240" i="1"/>
  <c r="N240" i="1"/>
  <c r="M240" i="1" s="1"/>
  <c r="O241" i="1"/>
  <c r="N241" i="1"/>
  <c r="M241" i="1" s="1"/>
  <c r="O242" i="1"/>
  <c r="N242" i="1"/>
  <c r="M242" i="1" s="1"/>
  <c r="O243" i="1"/>
  <c r="N243" i="1"/>
  <c r="M243" i="1" s="1"/>
  <c r="O244" i="1"/>
  <c r="N244" i="1"/>
  <c r="M244" i="1" s="1"/>
  <c r="O245" i="1"/>
  <c r="N245" i="1"/>
  <c r="M245" i="1" s="1"/>
  <c r="O246" i="1"/>
  <c r="N246" i="1"/>
  <c r="M246" i="1" s="1"/>
  <c r="O247" i="1"/>
  <c r="N247" i="1"/>
  <c r="H17" i="8" s="1"/>
  <c r="O248" i="1"/>
  <c r="N248" i="1"/>
  <c r="M248" i="1" s="1"/>
  <c r="O249" i="1"/>
  <c r="N249" i="1"/>
  <c r="M249" i="1" s="1"/>
  <c r="O250" i="1"/>
  <c r="N250" i="1"/>
  <c r="M250" i="1" s="1"/>
  <c r="O251" i="1"/>
  <c r="N251" i="1"/>
  <c r="M251" i="1" s="1"/>
  <c r="O252" i="1"/>
  <c r="N252" i="1"/>
  <c r="M252" i="1" s="1"/>
  <c r="O253" i="1"/>
  <c r="N253" i="1"/>
  <c r="M253" i="1" s="1"/>
  <c r="O254" i="1"/>
  <c r="N254" i="1"/>
  <c r="M254" i="1" s="1"/>
  <c r="O255" i="1"/>
  <c r="N255" i="1"/>
  <c r="M255" i="1" s="1"/>
  <c r="O256" i="1"/>
  <c r="N256" i="1"/>
  <c r="M256" i="1" s="1"/>
  <c r="O257" i="1"/>
  <c r="N257" i="1"/>
  <c r="M257" i="1" s="1"/>
  <c r="O258" i="1"/>
  <c r="N258" i="1"/>
  <c r="M258" i="1" s="1"/>
  <c r="O259" i="1"/>
  <c r="N259" i="1"/>
  <c r="M259" i="1" s="1"/>
  <c r="O260" i="1"/>
  <c r="N260" i="1"/>
  <c r="M260" i="1" s="1"/>
  <c r="O261" i="1"/>
  <c r="N261" i="1"/>
  <c r="M261" i="1" s="1"/>
  <c r="O262" i="1"/>
  <c r="N262" i="1"/>
  <c r="M262" i="1" s="1"/>
  <c r="O263" i="1"/>
  <c r="N263" i="1"/>
  <c r="M263" i="1" s="1"/>
  <c r="O264" i="1"/>
  <c r="N264" i="1"/>
  <c r="M264" i="1" s="1"/>
  <c r="O265" i="1"/>
  <c r="N265" i="1"/>
  <c r="M265" i="1" s="1"/>
  <c r="O266" i="1"/>
  <c r="N266" i="1"/>
  <c r="M266" i="1" s="1"/>
  <c r="O267" i="1"/>
  <c r="N267" i="1"/>
  <c r="M267" i="1" s="1"/>
  <c r="O268" i="1"/>
  <c r="N268" i="1"/>
  <c r="O269" i="1"/>
  <c r="N269" i="1"/>
  <c r="M269" i="1" s="1"/>
  <c r="O270" i="1"/>
  <c r="N270" i="1"/>
  <c r="M270" i="1" s="1"/>
  <c r="O271" i="1"/>
  <c r="N271" i="1"/>
  <c r="M271" i="1" s="1"/>
  <c r="O272" i="1"/>
  <c r="N272" i="1"/>
  <c r="M272" i="1" s="1"/>
  <c r="O273" i="1"/>
  <c r="N273" i="1"/>
  <c r="M273" i="1" s="1"/>
  <c r="O274" i="1"/>
  <c r="N274" i="1"/>
  <c r="M274" i="1" s="1"/>
  <c r="O275" i="1"/>
  <c r="N275" i="1"/>
  <c r="M275" i="1" s="1"/>
  <c r="O276" i="1"/>
  <c r="N276" i="1"/>
  <c r="M276" i="1" s="1"/>
  <c r="O277" i="1"/>
  <c r="N277" i="1"/>
  <c r="M277" i="1" s="1"/>
  <c r="O278" i="1"/>
  <c r="N278" i="1"/>
  <c r="M278" i="1" s="1"/>
  <c r="O279" i="1"/>
  <c r="N279" i="1"/>
  <c r="M279" i="1" s="1"/>
  <c r="O280" i="1"/>
  <c r="N280" i="1"/>
  <c r="M280" i="1" s="1"/>
  <c r="O281" i="1"/>
  <c r="N281" i="1"/>
  <c r="M281" i="1" s="1"/>
  <c r="O282" i="1"/>
  <c r="N282" i="1"/>
  <c r="M282" i="1" s="1"/>
  <c r="O283" i="1"/>
  <c r="N283" i="1"/>
  <c r="M283" i="1" s="1"/>
  <c r="O284" i="1"/>
  <c r="N284" i="1"/>
  <c r="M284" i="1" s="1"/>
  <c r="O285" i="1"/>
  <c r="N285" i="1"/>
  <c r="M285" i="1" s="1"/>
  <c r="O286" i="1"/>
  <c r="N286" i="1"/>
  <c r="M286" i="1" s="1"/>
  <c r="O287" i="1"/>
  <c r="N287" i="1"/>
  <c r="M287" i="1" s="1"/>
  <c r="O288" i="1"/>
  <c r="N288" i="1"/>
  <c r="M288" i="1" s="1"/>
  <c r="O289" i="1"/>
  <c r="N289" i="1"/>
  <c r="M289" i="1" s="1"/>
  <c r="O290" i="1"/>
  <c r="N290" i="1"/>
  <c r="M290" i="1" s="1"/>
  <c r="O291" i="1"/>
  <c r="N291" i="1"/>
  <c r="M291" i="1" s="1"/>
  <c r="O292" i="1"/>
  <c r="N292" i="1"/>
  <c r="M292" i="1" s="1"/>
  <c r="O293" i="1"/>
  <c r="N293" i="1"/>
  <c r="M293" i="1" s="1"/>
  <c r="O294" i="1"/>
  <c r="N294" i="1"/>
  <c r="M294" i="1" s="1"/>
  <c r="O295" i="1"/>
  <c r="N295" i="1"/>
  <c r="M295" i="1" s="1"/>
  <c r="O296" i="1"/>
  <c r="N296" i="1"/>
  <c r="M296" i="1" s="1"/>
  <c r="O297" i="1"/>
  <c r="N297" i="1"/>
  <c r="M297" i="1" s="1"/>
  <c r="O298" i="1"/>
  <c r="N298" i="1"/>
  <c r="M298" i="1" s="1"/>
  <c r="O299" i="1"/>
  <c r="N299" i="1"/>
  <c r="M299" i="1" s="1"/>
  <c r="O300" i="1"/>
  <c r="N300" i="1"/>
  <c r="M300" i="1" s="1"/>
  <c r="O301" i="1"/>
  <c r="N301" i="1"/>
  <c r="M301" i="1" s="1"/>
  <c r="O302" i="1"/>
  <c r="N302" i="1"/>
  <c r="M302" i="1" s="1"/>
  <c r="O303" i="1"/>
  <c r="N303" i="1"/>
  <c r="M303" i="1" s="1"/>
  <c r="O304" i="1"/>
  <c r="N304" i="1"/>
  <c r="M304" i="1" s="1"/>
  <c r="O305" i="1"/>
  <c r="N305" i="1"/>
  <c r="M305" i="1" s="1"/>
  <c r="O306" i="1"/>
  <c r="N306" i="1"/>
  <c r="M306" i="1" s="1"/>
  <c r="O307" i="1"/>
  <c r="N307" i="1"/>
  <c r="M307" i="1" s="1"/>
  <c r="O308" i="1"/>
  <c r="N308" i="1"/>
  <c r="M308" i="1" s="1"/>
  <c r="O309" i="1"/>
  <c r="N309" i="1"/>
  <c r="M309" i="1" s="1"/>
  <c r="O310" i="1"/>
  <c r="N310" i="1"/>
  <c r="M310" i="1" s="1"/>
  <c r="O311" i="1"/>
  <c r="N311" i="1"/>
  <c r="M311" i="1" s="1"/>
  <c r="O312" i="1"/>
  <c r="N312" i="1"/>
  <c r="M312" i="1" s="1"/>
  <c r="O313" i="1"/>
  <c r="N313" i="1"/>
  <c r="M313" i="1" s="1"/>
  <c r="O314" i="1"/>
  <c r="N314" i="1"/>
  <c r="M314" i="1" s="1"/>
  <c r="O315" i="1"/>
  <c r="N315" i="1"/>
  <c r="M315" i="1" s="1"/>
  <c r="O316" i="1"/>
  <c r="N316" i="1"/>
  <c r="M316" i="1" s="1"/>
  <c r="O317" i="1"/>
  <c r="N317" i="1"/>
  <c r="M317" i="1" s="1"/>
  <c r="O318" i="1"/>
  <c r="N318" i="1"/>
  <c r="M318" i="1" s="1"/>
  <c r="O319" i="1"/>
  <c r="N319" i="1"/>
  <c r="M319" i="1" s="1"/>
  <c r="O320" i="1"/>
  <c r="N320" i="1"/>
  <c r="M320" i="1" s="1"/>
  <c r="O321" i="1"/>
  <c r="N321" i="1"/>
  <c r="M321" i="1" s="1"/>
  <c r="O322" i="1"/>
  <c r="N322" i="1"/>
  <c r="M322" i="1" s="1"/>
  <c r="O323" i="1"/>
  <c r="N323" i="1"/>
  <c r="M323" i="1" s="1"/>
  <c r="O324" i="1"/>
  <c r="N324" i="1"/>
  <c r="M324" i="1" s="1"/>
  <c r="O325" i="1"/>
  <c r="N325" i="1"/>
  <c r="M325" i="1" s="1"/>
  <c r="O326" i="1"/>
  <c r="N326" i="1"/>
  <c r="M326" i="1" s="1"/>
  <c r="O327" i="1"/>
  <c r="N327" i="1"/>
  <c r="M327" i="1" s="1"/>
  <c r="O328" i="1"/>
  <c r="N328" i="1"/>
  <c r="M328" i="1" s="1"/>
  <c r="O329" i="1"/>
  <c r="N329" i="1"/>
  <c r="M329" i="1" s="1"/>
  <c r="O330" i="1"/>
  <c r="N330" i="1"/>
  <c r="M330" i="1" s="1"/>
  <c r="O331" i="1"/>
  <c r="N331" i="1"/>
  <c r="M331" i="1" s="1"/>
  <c r="O332" i="1"/>
  <c r="N332" i="1"/>
  <c r="M332" i="1" s="1"/>
  <c r="O333" i="1"/>
  <c r="N333" i="1"/>
  <c r="M333" i="1" s="1"/>
  <c r="O334" i="1"/>
  <c r="N334" i="1"/>
  <c r="M334" i="1" s="1"/>
  <c r="O335" i="1"/>
  <c r="N335" i="1"/>
  <c r="M335" i="1" s="1"/>
  <c r="O336" i="1"/>
  <c r="N336" i="1"/>
  <c r="M336" i="1" s="1"/>
  <c r="O337" i="1"/>
  <c r="N337" i="1"/>
  <c r="M337" i="1" s="1"/>
  <c r="O338" i="1"/>
  <c r="N338" i="1"/>
  <c r="M338" i="1" s="1"/>
  <c r="O339" i="1"/>
  <c r="N339" i="1"/>
  <c r="M339" i="1" s="1"/>
  <c r="O340" i="1"/>
  <c r="N340" i="1"/>
  <c r="M340" i="1" s="1"/>
  <c r="O341" i="1"/>
  <c r="N341" i="1"/>
  <c r="M341" i="1" s="1"/>
  <c r="O342" i="1"/>
  <c r="N342" i="1"/>
  <c r="M342" i="1" s="1"/>
  <c r="O343" i="1"/>
  <c r="N343" i="1"/>
  <c r="O344" i="1"/>
  <c r="N344" i="1"/>
  <c r="M344" i="1" s="1"/>
  <c r="O345" i="1"/>
  <c r="N345" i="1"/>
  <c r="M345" i="1" s="1"/>
  <c r="O346" i="1"/>
  <c r="N346" i="1"/>
  <c r="M346" i="1" s="1"/>
  <c r="O347" i="1"/>
  <c r="N347" i="1"/>
  <c r="M347" i="1" s="1"/>
  <c r="O348" i="1"/>
  <c r="N348" i="1"/>
  <c r="M348" i="1" s="1"/>
  <c r="O349" i="1"/>
  <c r="N349" i="1"/>
  <c r="M349" i="1" s="1"/>
  <c r="O350" i="1"/>
  <c r="N350" i="1"/>
  <c r="M350" i="1" s="1"/>
  <c r="O351" i="1"/>
  <c r="N351" i="1"/>
  <c r="M351" i="1" s="1"/>
  <c r="O352" i="1"/>
  <c r="N352" i="1"/>
  <c r="M352" i="1" s="1"/>
  <c r="O353" i="1"/>
  <c r="N353" i="1"/>
  <c r="M353" i="1" s="1"/>
  <c r="O354" i="1"/>
  <c r="N354" i="1"/>
  <c r="M354" i="1" s="1"/>
  <c r="R139" i="11"/>
  <c r="R322" i="11"/>
  <c r="E276" i="11"/>
  <c r="G12" i="24"/>
  <c r="E322" i="11"/>
  <c r="E139" i="11"/>
  <c r="E143" i="11"/>
  <c r="R141" i="11"/>
  <c r="R275" i="11"/>
  <c r="R277" i="11"/>
  <c r="R51" i="11"/>
  <c r="R143" i="11"/>
  <c r="S258" i="11"/>
  <c r="R279" i="11"/>
  <c r="E278" i="11"/>
  <c r="L279" i="11"/>
  <c r="L138" i="11"/>
  <c r="L142" i="11"/>
  <c r="Q142" i="11" s="1"/>
  <c r="R240" i="11"/>
  <c r="L240" i="11"/>
  <c r="G87" i="24"/>
  <c r="Q278" i="11"/>
  <c r="L140" i="11"/>
  <c r="E141" i="11"/>
  <c r="Q141" i="11"/>
  <c r="L144" i="11"/>
  <c r="Q144" i="11" s="1"/>
  <c r="Q227" i="11"/>
  <c r="H87" i="24"/>
  <c r="R258" i="11"/>
  <c r="L258" i="11"/>
  <c r="E258" i="11" s="1"/>
  <c r="J85" i="24" s="1"/>
  <c r="R264" i="11"/>
  <c r="R276" i="11"/>
  <c r="R278" i="11"/>
  <c r="E51" i="11"/>
  <c r="H84" i="24"/>
  <c r="G86" i="24"/>
  <c r="H83" i="24"/>
  <c r="Q263" i="11"/>
  <c r="E275" i="11"/>
  <c r="E277" i="11"/>
  <c r="G83" i="24"/>
  <c r="G84" i="24"/>
  <c r="G85" i="24"/>
  <c r="Q51" i="11"/>
  <c r="Q139" i="11"/>
  <c r="Q143" i="11"/>
  <c r="S227" i="11"/>
  <c r="S263" i="11"/>
  <c r="S279" i="11"/>
  <c r="Q322" i="11"/>
  <c r="E227" i="11"/>
  <c r="E263" i="11"/>
  <c r="E264" i="11"/>
  <c r="S8" i="11"/>
  <c r="L8" i="11"/>
  <c r="S12" i="11"/>
  <c r="L12" i="11"/>
  <c r="S16" i="11"/>
  <c r="L16" i="11"/>
  <c r="R20" i="11"/>
  <c r="S24" i="11"/>
  <c r="L24" i="11"/>
  <c r="S28" i="11"/>
  <c r="L28" i="11"/>
  <c r="S32" i="11"/>
  <c r="L32" i="11"/>
  <c r="S36" i="11"/>
  <c r="L36" i="11"/>
  <c r="S40" i="11"/>
  <c r="L40" i="11"/>
  <c r="S44" i="11"/>
  <c r="L44" i="11"/>
  <c r="S48" i="11"/>
  <c r="L48" i="11"/>
  <c r="S52" i="11"/>
  <c r="L52" i="11"/>
  <c r="S56" i="11"/>
  <c r="L56" i="11"/>
  <c r="S60" i="11"/>
  <c r="L60" i="11"/>
  <c r="L68" i="11"/>
  <c r="S68" i="11"/>
  <c r="L72" i="11"/>
  <c r="S72" i="11"/>
  <c r="L76" i="11"/>
  <c r="S76" i="11"/>
  <c r="L80" i="11"/>
  <c r="S80" i="11"/>
  <c r="L84" i="11"/>
  <c r="S84" i="11"/>
  <c r="L88" i="11"/>
  <c r="S88" i="11"/>
  <c r="L92" i="11"/>
  <c r="S92" i="11"/>
  <c r="L96" i="11"/>
  <c r="S96" i="11"/>
  <c r="L100" i="11"/>
  <c r="S100" i="11"/>
  <c r="L104" i="11"/>
  <c r="S104" i="11"/>
  <c r="L108" i="11"/>
  <c r="S108" i="11"/>
  <c r="L112" i="11"/>
  <c r="S112" i="11"/>
  <c r="L116" i="11"/>
  <c r="S116" i="11"/>
  <c r="L120" i="11"/>
  <c r="S120" i="11"/>
  <c r="L124" i="11"/>
  <c r="S124" i="11"/>
  <c r="R128" i="11"/>
  <c r="L132" i="11"/>
  <c r="S132" i="11"/>
  <c r="L136" i="11"/>
  <c r="S136" i="11"/>
  <c r="L148" i="11"/>
  <c r="S148" i="11"/>
  <c r="L152" i="11"/>
  <c r="S152" i="11"/>
  <c r="S154" i="11"/>
  <c r="S156" i="11"/>
  <c r="S158" i="11"/>
  <c r="S160" i="11"/>
  <c r="S162" i="11"/>
  <c r="S164" i="11"/>
  <c r="S166" i="11"/>
  <c r="S168" i="11"/>
  <c r="S170" i="11"/>
  <c r="S172" i="11"/>
  <c r="S174" i="11"/>
  <c r="S176" i="11"/>
  <c r="S178" i="11"/>
  <c r="S180" i="11"/>
  <c r="S182" i="11"/>
  <c r="S184" i="11"/>
  <c r="S186" i="11"/>
  <c r="S188" i="11"/>
  <c r="S190" i="11"/>
  <c r="S192" i="11"/>
  <c r="S194" i="11"/>
  <c r="S196" i="11"/>
  <c r="S198" i="11"/>
  <c r="S200" i="11"/>
  <c r="S202" i="11"/>
  <c r="S204" i="11"/>
  <c r="S206" i="11"/>
  <c r="S208" i="11"/>
  <c r="S210" i="11"/>
  <c r="S212" i="11"/>
  <c r="S214" i="11"/>
  <c r="S216" i="11"/>
  <c r="S218" i="11"/>
  <c r="S220" i="11"/>
  <c r="S222" i="11"/>
  <c r="S224" i="11"/>
  <c r="S9" i="11"/>
  <c r="S10" i="11"/>
  <c r="S11" i="11"/>
  <c r="S13" i="11"/>
  <c r="S14" i="11"/>
  <c r="S15" i="11"/>
  <c r="S17" i="11"/>
  <c r="S18" i="11"/>
  <c r="S19" i="11"/>
  <c r="S21" i="11"/>
  <c r="S22" i="11"/>
  <c r="S23" i="11"/>
  <c r="S25" i="11"/>
  <c r="S26" i="11"/>
  <c r="S27" i="11"/>
  <c r="S29" i="11"/>
  <c r="S30" i="11"/>
  <c r="S31" i="11"/>
  <c r="S33" i="11"/>
  <c r="S34" i="11"/>
  <c r="S35" i="11"/>
  <c r="S37" i="11"/>
  <c r="S38" i="11"/>
  <c r="S39" i="11"/>
  <c r="S41" i="11"/>
  <c r="S42" i="11"/>
  <c r="S43" i="11"/>
  <c r="S45" i="11"/>
  <c r="S46" i="11"/>
  <c r="S47" i="11"/>
  <c r="S49" i="11"/>
  <c r="S50" i="11"/>
  <c r="S54" i="11"/>
  <c r="S55" i="11"/>
  <c r="S57" i="11"/>
  <c r="S58" i="11"/>
  <c r="S59" i="11"/>
  <c r="S61" i="11"/>
  <c r="S62" i="11"/>
  <c r="S63" i="11"/>
  <c r="S65" i="11"/>
  <c r="S66" i="11"/>
  <c r="S67" i="11"/>
  <c r="S69" i="11"/>
  <c r="S70" i="11"/>
  <c r="S71" i="11"/>
  <c r="S73" i="11"/>
  <c r="S74" i="11"/>
  <c r="S75" i="11"/>
  <c r="S77" i="11"/>
  <c r="S78" i="11"/>
  <c r="S79" i="11"/>
  <c r="S81" i="11"/>
  <c r="S82" i="11"/>
  <c r="S83" i="11"/>
  <c r="S85" i="11"/>
  <c r="S86" i="11"/>
  <c r="S87" i="11"/>
  <c r="S90" i="11"/>
  <c r="S91" i="11"/>
  <c r="S93" i="11"/>
  <c r="S94" i="11"/>
  <c r="S95" i="11"/>
  <c r="S97" i="11"/>
  <c r="S98" i="11"/>
  <c r="S99" i="11"/>
  <c r="S101" i="11"/>
  <c r="S102" i="11"/>
  <c r="S103" i="11"/>
  <c r="S105" i="11"/>
  <c r="S106" i="11"/>
  <c r="S107" i="11"/>
  <c r="S109" i="11"/>
  <c r="S110" i="11"/>
  <c r="S111" i="11"/>
  <c r="S113" i="11"/>
  <c r="S114" i="11"/>
  <c r="S115" i="11"/>
  <c r="S117" i="11"/>
  <c r="S118" i="11"/>
  <c r="S119" i="11"/>
  <c r="S121" i="11"/>
  <c r="S122" i="11"/>
  <c r="S123" i="11"/>
  <c r="S125" i="11"/>
  <c r="S126" i="11"/>
  <c r="S127" i="11"/>
  <c r="S129" i="11"/>
  <c r="S130" i="11"/>
  <c r="S155" i="11"/>
  <c r="S159" i="11"/>
  <c r="S163" i="11"/>
  <c r="S167" i="11"/>
  <c r="S171" i="11"/>
  <c r="S175" i="11"/>
  <c r="S179" i="11"/>
  <c r="S183" i="11"/>
  <c r="S187" i="11"/>
  <c r="S191" i="11"/>
  <c r="S195" i="11"/>
  <c r="S199" i="11"/>
  <c r="S203" i="11"/>
  <c r="S207" i="11"/>
  <c r="S211" i="11"/>
  <c r="S215" i="11"/>
  <c r="S219" i="11"/>
  <c r="S223" i="11"/>
  <c r="S131" i="11"/>
  <c r="S133" i="11"/>
  <c r="S134" i="11"/>
  <c r="S135" i="11"/>
  <c r="G80" i="24"/>
  <c r="S145" i="11"/>
  <c r="S146" i="11"/>
  <c r="S147" i="11"/>
  <c r="S149" i="11"/>
  <c r="S150" i="11"/>
  <c r="S151" i="11"/>
  <c r="L153" i="11"/>
  <c r="S153" i="11"/>
  <c r="L157" i="11"/>
  <c r="S157" i="11"/>
  <c r="L161" i="11"/>
  <c r="S161" i="11"/>
  <c r="L165" i="11"/>
  <c r="S165" i="11"/>
  <c r="L169" i="11"/>
  <c r="S169" i="11"/>
  <c r="L173" i="11"/>
  <c r="S173" i="11"/>
  <c r="L177" i="11"/>
  <c r="S177" i="11"/>
  <c r="R181" i="11"/>
  <c r="L185" i="11"/>
  <c r="S185" i="11"/>
  <c r="L189" i="11"/>
  <c r="S189" i="11"/>
  <c r="L193" i="11"/>
  <c r="S193" i="11"/>
  <c r="L197" i="11"/>
  <c r="S197" i="11"/>
  <c r="L201" i="11"/>
  <c r="F95" i="24" s="1"/>
  <c r="S201" i="11"/>
  <c r="L205" i="11"/>
  <c r="S205" i="11"/>
  <c r="S209" i="11"/>
  <c r="L209" i="11"/>
  <c r="F93" i="24" s="1"/>
  <c r="S213" i="11"/>
  <c r="L213" i="11"/>
  <c r="S217" i="11"/>
  <c r="L217" i="11"/>
  <c r="S221" i="11"/>
  <c r="L221" i="11"/>
  <c r="S225" i="11"/>
  <c r="L225" i="11"/>
  <c r="S231" i="11"/>
  <c r="L231" i="11"/>
  <c r="S235" i="11"/>
  <c r="L235" i="11"/>
  <c r="S239" i="11"/>
  <c r="L239" i="11"/>
  <c r="S245" i="11"/>
  <c r="L245" i="11"/>
  <c r="S249" i="11"/>
  <c r="L249" i="11"/>
  <c r="S253" i="11"/>
  <c r="L253" i="11"/>
  <c r="S257" i="11"/>
  <c r="L257" i="11"/>
  <c r="S261" i="11"/>
  <c r="L261" i="11"/>
  <c r="S267" i="11"/>
  <c r="L267" i="11"/>
  <c r="S271" i="11"/>
  <c r="L271" i="11"/>
  <c r="S281" i="11"/>
  <c r="L281" i="11"/>
  <c r="S285" i="11"/>
  <c r="L285" i="11"/>
  <c r="S289" i="11"/>
  <c r="L289" i="11"/>
  <c r="S293" i="11"/>
  <c r="L293" i="11"/>
  <c r="S297" i="11"/>
  <c r="L297" i="11"/>
  <c r="S301" i="11"/>
  <c r="L301" i="11"/>
  <c r="L305" i="11"/>
  <c r="S305" i="11"/>
  <c r="L309" i="11"/>
  <c r="L313" i="11"/>
  <c r="S313" i="11"/>
  <c r="L317" i="11"/>
  <c r="S317" i="11"/>
  <c r="L321" i="11"/>
  <c r="S321" i="11"/>
  <c r="L325" i="11"/>
  <c r="S325" i="11"/>
  <c r="S226" i="11"/>
  <c r="S228" i="11"/>
  <c r="S229" i="11"/>
  <c r="S230" i="11"/>
  <c r="S232" i="11"/>
  <c r="S233" i="11"/>
  <c r="S234" i="11"/>
  <c r="S236" i="11"/>
  <c r="S237" i="11"/>
  <c r="S238" i="11"/>
  <c r="S242" i="11"/>
  <c r="S243" i="11"/>
  <c r="S244" i="11"/>
  <c r="S246" i="11"/>
  <c r="S247" i="11"/>
  <c r="S248" i="11"/>
  <c r="S250" i="11"/>
  <c r="S251" i="11"/>
  <c r="S252" i="11"/>
  <c r="S254" i="11"/>
  <c r="S255" i="11"/>
  <c r="S256" i="11"/>
  <c r="S259" i="11"/>
  <c r="S260" i="11"/>
  <c r="S262" i="11"/>
  <c r="S265" i="11"/>
  <c r="S266" i="11"/>
  <c r="S268" i="11"/>
  <c r="S269" i="11"/>
  <c r="S270" i="11"/>
  <c r="S272" i="11"/>
  <c r="S273" i="11"/>
  <c r="S274" i="11"/>
  <c r="S280" i="11"/>
  <c r="S282" i="11"/>
  <c r="S283" i="11"/>
  <c r="S284" i="11"/>
  <c r="S286" i="11"/>
  <c r="S287" i="11"/>
  <c r="S288" i="11"/>
  <c r="S290" i="11"/>
  <c r="S291" i="11"/>
  <c r="S292" i="11"/>
  <c r="S294" i="11"/>
  <c r="S295" i="11"/>
  <c r="S296" i="11"/>
  <c r="S298" i="11"/>
  <c r="S299" i="11"/>
  <c r="S300" i="11"/>
  <c r="S302" i="11"/>
  <c r="S303" i="11"/>
  <c r="S304" i="11"/>
  <c r="S306" i="11"/>
  <c r="S307" i="11"/>
  <c r="S308" i="11"/>
  <c r="S310" i="11"/>
  <c r="S312" i="11"/>
  <c r="S314" i="11"/>
  <c r="S315" i="11"/>
  <c r="S316" i="11"/>
  <c r="S318" i="11"/>
  <c r="S319" i="11"/>
  <c r="S320" i="11"/>
  <c r="S323" i="11"/>
  <c r="S324" i="11"/>
  <c r="S326" i="11"/>
  <c r="L64" i="11"/>
  <c r="E241" i="11"/>
  <c r="L311" i="11"/>
  <c r="H12" i="24"/>
  <c r="R16" i="11"/>
  <c r="R32" i="11"/>
  <c r="R48" i="11"/>
  <c r="R64" i="11"/>
  <c r="R68" i="11"/>
  <c r="R138" i="11"/>
  <c r="R140" i="11"/>
  <c r="R142" i="11"/>
  <c r="R144" i="11"/>
  <c r="R213" i="11"/>
  <c r="R227" i="11"/>
  <c r="R241" i="11"/>
  <c r="R257" i="11"/>
  <c r="R263" i="11"/>
  <c r="R271" i="11"/>
  <c r="R293" i="11"/>
  <c r="R317" i="11"/>
  <c r="P28" i="31"/>
  <c r="O28" i="31"/>
  <c r="P27" i="31"/>
  <c r="O27" i="31"/>
  <c r="Q240" i="11" l="1"/>
  <c r="F97" i="24"/>
  <c r="Q140" i="11"/>
  <c r="H34" i="5"/>
  <c r="I17" i="8"/>
  <c r="M84" i="1"/>
  <c r="F35" i="5" s="1"/>
  <c r="G35" i="5"/>
  <c r="M46" i="1"/>
  <c r="G16" i="8" s="1"/>
  <c r="H16" i="8"/>
  <c r="I16" i="8"/>
  <c r="M247" i="1"/>
  <c r="G34" i="5"/>
  <c r="H33" i="5"/>
  <c r="M268" i="1"/>
  <c r="F33" i="5" s="1"/>
  <c r="G33" i="5"/>
  <c r="C14" i="33"/>
  <c r="E258" i="1"/>
  <c r="E242" i="1"/>
  <c r="E226" i="1"/>
  <c r="E210" i="1"/>
  <c r="E172" i="1"/>
  <c r="E350" i="1"/>
  <c r="E204" i="1"/>
  <c r="E339" i="1"/>
  <c r="E331" i="1"/>
  <c r="E323" i="1"/>
  <c r="E315" i="1"/>
  <c r="E303" i="1"/>
  <c r="E294" i="1"/>
  <c r="E286" i="1"/>
  <c r="E278" i="1"/>
  <c r="E188" i="1"/>
  <c r="E180" i="1"/>
  <c r="E186" i="1"/>
  <c r="E166" i="1"/>
  <c r="E162" i="1"/>
  <c r="E158" i="1"/>
  <c r="E127" i="1"/>
  <c r="E124" i="1"/>
  <c r="E108" i="1"/>
  <c r="E100" i="1"/>
  <c r="E143" i="1"/>
  <c r="E150" i="1"/>
  <c r="E146" i="1"/>
  <c r="E44" i="1"/>
  <c r="E140" i="1"/>
  <c r="E68" i="1"/>
  <c r="E152" i="1"/>
  <c r="E27" i="1"/>
  <c r="E92" i="1"/>
  <c r="E76" i="1"/>
  <c r="E144" i="1"/>
  <c r="E168" i="1"/>
  <c r="E120" i="1"/>
  <c r="E197" i="1"/>
  <c r="E55" i="1"/>
  <c r="E48" i="1"/>
  <c r="E43" i="1"/>
  <c r="E42" i="1"/>
  <c r="E347" i="1"/>
  <c r="E337" i="1"/>
  <c r="E321" i="1"/>
  <c r="E305" i="1"/>
  <c r="E296" i="1"/>
  <c r="E288" i="1"/>
  <c r="E280" i="1"/>
  <c r="E272" i="1"/>
  <c r="E205" i="1"/>
  <c r="E176" i="1"/>
  <c r="E262" i="1"/>
  <c r="E246" i="1"/>
  <c r="E230" i="1"/>
  <c r="E214" i="1"/>
  <c r="E178" i="1"/>
  <c r="E134" i="1"/>
  <c r="E130" i="1"/>
  <c r="E118" i="1"/>
  <c r="E114" i="1"/>
  <c r="E164" i="1"/>
  <c r="E148" i="1"/>
  <c r="E132" i="1"/>
  <c r="E116" i="1"/>
  <c r="E208" i="1"/>
  <c r="E160" i="1"/>
  <c r="E128" i="1"/>
  <c r="R301" i="11"/>
  <c r="R285" i="11"/>
  <c r="R249" i="11"/>
  <c r="R235" i="11"/>
  <c r="R221" i="11"/>
  <c r="R56" i="11"/>
  <c r="R40" i="11"/>
  <c r="R24" i="11"/>
  <c r="R8" i="11"/>
  <c r="Q279" i="11"/>
  <c r="R116" i="11"/>
  <c r="R157" i="11"/>
  <c r="R84" i="11"/>
  <c r="R189" i="11"/>
  <c r="R132" i="11"/>
  <c r="R100" i="11"/>
  <c r="R76" i="11"/>
  <c r="E279" i="11"/>
  <c r="R205" i="11"/>
  <c r="R173" i="11"/>
  <c r="R148" i="11"/>
  <c r="R124" i="11"/>
  <c r="R108" i="11"/>
  <c r="R92" i="11"/>
  <c r="G15" i="24"/>
  <c r="R297" i="11"/>
  <c r="R289" i="11"/>
  <c r="R281" i="11"/>
  <c r="R267" i="11"/>
  <c r="R261" i="11"/>
  <c r="R253" i="11"/>
  <c r="R245" i="11"/>
  <c r="R239" i="11"/>
  <c r="R231" i="11"/>
  <c r="R225" i="11"/>
  <c r="R217" i="11"/>
  <c r="R209" i="11"/>
  <c r="R60" i="11"/>
  <c r="R52" i="11"/>
  <c r="R44" i="11"/>
  <c r="R36" i="11"/>
  <c r="R28" i="11"/>
  <c r="R12" i="11"/>
  <c r="E183" i="1"/>
  <c r="E175" i="1"/>
  <c r="E159" i="1"/>
  <c r="E51" i="1"/>
  <c r="E30" i="1"/>
  <c r="E50" i="1"/>
  <c r="E38" i="1"/>
  <c r="E199" i="1"/>
  <c r="E191" i="1"/>
  <c r="E264" i="1"/>
  <c r="E260" i="1"/>
  <c r="E256" i="1"/>
  <c r="E252" i="1"/>
  <c r="E248" i="1"/>
  <c r="E244" i="1"/>
  <c r="E240" i="1"/>
  <c r="E236" i="1"/>
  <c r="E232" i="1"/>
  <c r="E228" i="1"/>
  <c r="E224" i="1"/>
  <c r="E220" i="1"/>
  <c r="E216" i="1"/>
  <c r="E212" i="1"/>
  <c r="E56" i="1"/>
  <c r="E28" i="1"/>
  <c r="E349" i="1"/>
  <c r="E325" i="1"/>
  <c r="E317" i="1"/>
  <c r="E292" i="1"/>
  <c r="E203" i="1"/>
  <c r="E193" i="1"/>
  <c r="E112" i="1"/>
  <c r="E338" i="1"/>
  <c r="E334" i="1"/>
  <c r="E330" i="1"/>
  <c r="E322" i="1"/>
  <c r="E306" i="1"/>
  <c r="E198" i="1"/>
  <c r="E167" i="1"/>
  <c r="E151" i="1"/>
  <c r="E135" i="1"/>
  <c r="E119" i="1"/>
  <c r="E103" i="1"/>
  <c r="E87" i="1"/>
  <c r="E71" i="1"/>
  <c r="E311" i="1"/>
  <c r="E270" i="1"/>
  <c r="E184" i="1"/>
  <c r="E254" i="1"/>
  <c r="E238" i="1"/>
  <c r="E222" i="1"/>
  <c r="E174" i="1"/>
  <c r="E170" i="1"/>
  <c r="E154" i="1"/>
  <c r="E142" i="1"/>
  <c r="E138" i="1"/>
  <c r="E126" i="1"/>
  <c r="E122" i="1"/>
  <c r="E110" i="1"/>
  <c r="E106" i="1"/>
  <c r="E102" i="1"/>
  <c r="E98" i="1"/>
  <c r="E94" i="1"/>
  <c r="E90" i="1"/>
  <c r="E86" i="1"/>
  <c r="E82" i="1"/>
  <c r="E78" i="1"/>
  <c r="E74" i="1"/>
  <c r="E70" i="1"/>
  <c r="E66" i="1"/>
  <c r="E62" i="1"/>
  <c r="E58" i="1"/>
  <c r="E54" i="1"/>
  <c r="E266" i="1"/>
  <c r="E250" i="1"/>
  <c r="E234" i="1"/>
  <c r="E218" i="1"/>
  <c r="E156" i="1"/>
  <c r="E34" i="1"/>
  <c r="E207" i="1"/>
  <c r="E136" i="1"/>
  <c r="E302" i="1"/>
  <c r="E298" i="1"/>
  <c r="E291" i="1"/>
  <c r="E271" i="1"/>
  <c r="E267" i="1"/>
  <c r="E263" i="1"/>
  <c r="E259" i="1"/>
  <c r="E255" i="1"/>
  <c r="E251" i="1"/>
  <c r="E247" i="1"/>
  <c r="E243" i="1"/>
  <c r="E239" i="1"/>
  <c r="E235" i="1"/>
  <c r="E231" i="1"/>
  <c r="E227" i="1"/>
  <c r="E223" i="1"/>
  <c r="E219" i="1"/>
  <c r="E215" i="1"/>
  <c r="E211" i="1"/>
  <c r="E206" i="1"/>
  <c r="E202" i="1"/>
  <c r="E194" i="1"/>
  <c r="E190" i="1"/>
  <c r="E353" i="1"/>
  <c r="E345" i="1"/>
  <c r="E341" i="1"/>
  <c r="E333" i="1"/>
  <c r="E329" i="1"/>
  <c r="E313" i="1"/>
  <c r="E309" i="1"/>
  <c r="E301" i="1"/>
  <c r="E284" i="1"/>
  <c r="E276" i="1"/>
  <c r="E201" i="1"/>
  <c r="E189" i="1"/>
  <c r="E64" i="1"/>
  <c r="E60" i="1"/>
  <c r="E52" i="1"/>
  <c r="E40" i="1"/>
  <c r="E182" i="1"/>
  <c r="E104" i="1"/>
  <c r="E96" i="1"/>
  <c r="E88" i="1"/>
  <c r="E80" i="1"/>
  <c r="E72" i="1"/>
  <c r="E36" i="1"/>
  <c r="E32" i="1"/>
  <c r="E318" i="1"/>
  <c r="E314" i="1"/>
  <c r="E111" i="1"/>
  <c r="E95" i="1"/>
  <c r="E79" i="1"/>
  <c r="E63" i="1"/>
  <c r="E47" i="1"/>
  <c r="E39" i="1"/>
  <c r="E31" i="1"/>
  <c r="E257" i="1"/>
  <c r="E249" i="1"/>
  <c r="E241" i="1"/>
  <c r="E233" i="1"/>
  <c r="E225" i="1"/>
  <c r="E217" i="1"/>
  <c r="E209" i="1"/>
  <c r="E173" i="1"/>
  <c r="E165" i="1"/>
  <c r="E157" i="1"/>
  <c r="E149" i="1"/>
  <c r="E141" i="1"/>
  <c r="E133" i="1"/>
  <c r="E125" i="1"/>
  <c r="E117" i="1"/>
  <c r="E109" i="1"/>
  <c r="E101" i="1"/>
  <c r="E93" i="1"/>
  <c r="E85" i="1"/>
  <c r="E77" i="1"/>
  <c r="E69" i="1"/>
  <c r="E354" i="1"/>
  <c r="E348" i="1"/>
  <c r="E346" i="1"/>
  <c r="E261" i="1"/>
  <c r="E253" i="1"/>
  <c r="E245" i="1"/>
  <c r="E237" i="1"/>
  <c r="E229" i="1"/>
  <c r="E221" i="1"/>
  <c r="E213" i="1"/>
  <c r="E342" i="1"/>
  <c r="E326" i="1"/>
  <c r="E310" i="1"/>
  <c r="E187" i="1"/>
  <c r="E181" i="1"/>
  <c r="E179" i="1"/>
  <c r="E171" i="1"/>
  <c r="E163" i="1"/>
  <c r="E155" i="1"/>
  <c r="E147" i="1"/>
  <c r="E139" i="1"/>
  <c r="E131" i="1"/>
  <c r="E123" i="1"/>
  <c r="E115" i="1"/>
  <c r="E107" i="1"/>
  <c r="E99" i="1"/>
  <c r="E91" i="1"/>
  <c r="E83" i="1"/>
  <c r="E75" i="1"/>
  <c r="E67" i="1"/>
  <c r="E61" i="1"/>
  <c r="E59" i="1"/>
  <c r="E53" i="1"/>
  <c r="E45" i="1"/>
  <c r="E37" i="1"/>
  <c r="E35" i="1"/>
  <c r="E29" i="1"/>
  <c r="E351" i="1"/>
  <c r="M343" i="1"/>
  <c r="E335" i="1"/>
  <c r="E327" i="1"/>
  <c r="E319" i="1"/>
  <c r="E307" i="1"/>
  <c r="E299" i="1"/>
  <c r="E290" i="1"/>
  <c r="E282" i="1"/>
  <c r="E274" i="1"/>
  <c r="E195" i="1"/>
  <c r="Q138" i="11"/>
  <c r="R325" i="11"/>
  <c r="R309" i="11"/>
  <c r="R197" i="11"/>
  <c r="R165" i="11"/>
  <c r="R152" i="11"/>
  <c r="R136" i="11"/>
  <c r="R120" i="11"/>
  <c r="R112" i="11"/>
  <c r="R104" i="11"/>
  <c r="R96" i="11"/>
  <c r="R88" i="11"/>
  <c r="R80" i="11"/>
  <c r="R72" i="11"/>
  <c r="E240" i="11"/>
  <c r="F85" i="24"/>
  <c r="Q258" i="11"/>
  <c r="E144" i="11"/>
  <c r="E140" i="11"/>
  <c r="E142" i="11"/>
  <c r="E138" i="11"/>
  <c r="R321" i="11"/>
  <c r="R313" i="11"/>
  <c r="R305" i="11"/>
  <c r="R201" i="11"/>
  <c r="R193" i="11"/>
  <c r="R185" i="11"/>
  <c r="R177" i="11"/>
  <c r="R169" i="11"/>
  <c r="R161" i="11"/>
  <c r="R153" i="11"/>
  <c r="S137" i="11"/>
  <c r="H80" i="24"/>
  <c r="L128" i="11"/>
  <c r="F81" i="24" s="1"/>
  <c r="G81" i="24"/>
  <c r="S128" i="11"/>
  <c r="H81" i="24"/>
  <c r="G19" i="24"/>
  <c r="L326" i="11"/>
  <c r="R326" i="11"/>
  <c r="L323" i="11"/>
  <c r="R323" i="11"/>
  <c r="L319" i="11"/>
  <c r="R319" i="11"/>
  <c r="L318" i="11"/>
  <c r="R318" i="11"/>
  <c r="L315" i="11"/>
  <c r="R315" i="11"/>
  <c r="L314" i="11"/>
  <c r="R314" i="11"/>
  <c r="L310" i="11"/>
  <c r="F15" i="24" s="1"/>
  <c r="R310" i="11"/>
  <c r="L307" i="11"/>
  <c r="R307" i="11"/>
  <c r="L306" i="11"/>
  <c r="R306" i="11"/>
  <c r="L303" i="11"/>
  <c r="R303" i="11"/>
  <c r="L300" i="11"/>
  <c r="R300" i="11"/>
  <c r="L296" i="11"/>
  <c r="R296" i="11"/>
  <c r="L292" i="11"/>
  <c r="R292" i="11"/>
  <c r="L288" i="11"/>
  <c r="R288" i="11"/>
  <c r="L284" i="11"/>
  <c r="R284" i="11"/>
  <c r="L280" i="11"/>
  <c r="R280" i="11"/>
  <c r="L274" i="11"/>
  <c r="R274" i="11"/>
  <c r="L270" i="11"/>
  <c r="R270" i="11"/>
  <c r="L266" i="11"/>
  <c r="R266" i="11"/>
  <c r="L260" i="11"/>
  <c r="R260" i="11"/>
  <c r="L256" i="11"/>
  <c r="R256" i="11"/>
  <c r="L252" i="11"/>
  <c r="R252" i="11"/>
  <c r="L248" i="11"/>
  <c r="R248" i="11"/>
  <c r="L244" i="11"/>
  <c r="R244" i="11"/>
  <c r="L238" i="11"/>
  <c r="F96" i="24" s="1"/>
  <c r="R238" i="11"/>
  <c r="L234" i="11"/>
  <c r="R234" i="11"/>
  <c r="L230" i="11"/>
  <c r="R230" i="11"/>
  <c r="S309" i="11"/>
  <c r="H15" i="24"/>
  <c r="E301" i="11"/>
  <c r="Q301" i="11"/>
  <c r="E297" i="11"/>
  <c r="Q297" i="11"/>
  <c r="E293" i="11"/>
  <c r="Q293" i="11"/>
  <c r="E289" i="11"/>
  <c r="Q289" i="11"/>
  <c r="E285" i="11"/>
  <c r="Q285" i="11"/>
  <c r="E281" i="11"/>
  <c r="Q281" i="11"/>
  <c r="E271" i="11"/>
  <c r="Q271" i="11"/>
  <c r="E267" i="11"/>
  <c r="Q267" i="11"/>
  <c r="E261" i="11"/>
  <c r="Q261" i="11"/>
  <c r="E257" i="11"/>
  <c r="Q257" i="11"/>
  <c r="E253" i="11"/>
  <c r="Q253" i="11"/>
  <c r="E249" i="11"/>
  <c r="Q249" i="11"/>
  <c r="E245" i="11"/>
  <c r="Q245" i="11"/>
  <c r="E239" i="11"/>
  <c r="Q239" i="11"/>
  <c r="E235" i="11"/>
  <c r="Q235" i="11"/>
  <c r="E231" i="11"/>
  <c r="Q231" i="11"/>
  <c r="E225" i="11"/>
  <c r="Q225" i="11"/>
  <c r="E221" i="11"/>
  <c r="Q221" i="11"/>
  <c r="E217" i="11"/>
  <c r="Q217" i="11"/>
  <c r="E213" i="11"/>
  <c r="Q213" i="11"/>
  <c r="E209" i="11"/>
  <c r="J93" i="24" s="1"/>
  <c r="Q209" i="11"/>
  <c r="S181" i="11"/>
  <c r="H20" i="24"/>
  <c r="L150" i="11"/>
  <c r="R150" i="11"/>
  <c r="L149" i="11"/>
  <c r="R149" i="11"/>
  <c r="L146" i="11"/>
  <c r="R146" i="11"/>
  <c r="L145" i="11"/>
  <c r="R145" i="11"/>
  <c r="L137" i="11"/>
  <c r="R137" i="11"/>
  <c r="L134" i="11"/>
  <c r="R134" i="11"/>
  <c r="L133" i="11"/>
  <c r="R133" i="11"/>
  <c r="L203" i="11"/>
  <c r="R203" i="11"/>
  <c r="L199" i="11"/>
  <c r="R199" i="11"/>
  <c r="L195" i="11"/>
  <c r="R195" i="11"/>
  <c r="L191" i="11"/>
  <c r="R191" i="11"/>
  <c r="L187" i="11"/>
  <c r="R187" i="11"/>
  <c r="L183" i="11"/>
  <c r="R183" i="11"/>
  <c r="L179" i="11"/>
  <c r="R179" i="11"/>
  <c r="L175" i="11"/>
  <c r="R175" i="11"/>
  <c r="L171" i="11"/>
  <c r="R171" i="11"/>
  <c r="L167" i="11"/>
  <c r="R167" i="11"/>
  <c r="L163" i="11"/>
  <c r="R163" i="11"/>
  <c r="L159" i="11"/>
  <c r="R159" i="11"/>
  <c r="L155" i="11"/>
  <c r="R155" i="11"/>
  <c r="L130" i="11"/>
  <c r="R130" i="11"/>
  <c r="L129" i="11"/>
  <c r="R129" i="11"/>
  <c r="L126" i="11"/>
  <c r="R126" i="11"/>
  <c r="L125" i="11"/>
  <c r="R125" i="11"/>
  <c r="L122" i="11"/>
  <c r="R122" i="11"/>
  <c r="L121" i="11"/>
  <c r="R121" i="11"/>
  <c r="L118" i="11"/>
  <c r="R118" i="11"/>
  <c r="L117" i="11"/>
  <c r="R117" i="11"/>
  <c r="L114" i="11"/>
  <c r="R114" i="11"/>
  <c r="L113" i="11"/>
  <c r="R113" i="11"/>
  <c r="L110" i="11"/>
  <c r="R110" i="11"/>
  <c r="L109" i="11"/>
  <c r="R109" i="11"/>
  <c r="L106" i="11"/>
  <c r="R106" i="11"/>
  <c r="L105" i="11"/>
  <c r="F91" i="24" s="1"/>
  <c r="R105" i="11"/>
  <c r="L102" i="11"/>
  <c r="R102" i="11"/>
  <c r="L101" i="11"/>
  <c r="R101" i="11"/>
  <c r="L98" i="11"/>
  <c r="R98" i="11"/>
  <c r="L97" i="11"/>
  <c r="R97" i="11"/>
  <c r="L94" i="11"/>
  <c r="R94" i="11"/>
  <c r="L93" i="11"/>
  <c r="R93" i="11"/>
  <c r="L90" i="11"/>
  <c r="R90" i="11"/>
  <c r="L89" i="11"/>
  <c r="R89" i="11"/>
  <c r="G11" i="24"/>
  <c r="L86" i="11"/>
  <c r="R86" i="11"/>
  <c r="L85" i="11"/>
  <c r="R85" i="11"/>
  <c r="L82" i="11"/>
  <c r="R82" i="11"/>
  <c r="L81" i="11"/>
  <c r="R81" i="11"/>
  <c r="L78" i="11"/>
  <c r="R78" i="11"/>
  <c r="L77" i="11"/>
  <c r="R77" i="11"/>
  <c r="L74" i="11"/>
  <c r="R74" i="11"/>
  <c r="L73" i="11"/>
  <c r="R73" i="11"/>
  <c r="L70" i="11"/>
  <c r="R70" i="11"/>
  <c r="L69" i="11"/>
  <c r="R69" i="11"/>
  <c r="L66" i="11"/>
  <c r="R66" i="11"/>
  <c r="L65" i="11"/>
  <c r="R65" i="11"/>
  <c r="L59" i="11"/>
  <c r="R59" i="11"/>
  <c r="L55" i="11"/>
  <c r="R55" i="11"/>
  <c r="H13" i="24"/>
  <c r="S53" i="11"/>
  <c r="L47" i="11"/>
  <c r="R47" i="11"/>
  <c r="L43" i="11"/>
  <c r="R43" i="11"/>
  <c r="L39" i="11"/>
  <c r="R39" i="11"/>
  <c r="L35" i="11"/>
  <c r="R35" i="11"/>
  <c r="L31" i="11"/>
  <c r="R31" i="11"/>
  <c r="L27" i="11"/>
  <c r="R27" i="11"/>
  <c r="L23" i="11"/>
  <c r="R23" i="11"/>
  <c r="L19" i="11"/>
  <c r="R19" i="11"/>
  <c r="L15" i="11"/>
  <c r="R15" i="11"/>
  <c r="L11" i="11"/>
  <c r="R11" i="11"/>
  <c r="L224" i="11"/>
  <c r="R224" i="11"/>
  <c r="L220" i="11"/>
  <c r="F94" i="24" s="1"/>
  <c r="R220" i="11"/>
  <c r="L216" i="11"/>
  <c r="R216" i="11"/>
  <c r="L212" i="11"/>
  <c r="R212" i="11"/>
  <c r="L208" i="11"/>
  <c r="R208" i="11"/>
  <c r="L202" i="11"/>
  <c r="R202" i="11"/>
  <c r="L198" i="11"/>
  <c r="R198" i="11"/>
  <c r="L194" i="11"/>
  <c r="R194" i="11"/>
  <c r="L190" i="11"/>
  <c r="R190" i="11"/>
  <c r="L186" i="11"/>
  <c r="R186" i="11"/>
  <c r="L182" i="11"/>
  <c r="R182" i="11"/>
  <c r="L178" i="11"/>
  <c r="R178" i="11"/>
  <c r="L174" i="11"/>
  <c r="R174" i="11"/>
  <c r="L170" i="11"/>
  <c r="R170" i="11"/>
  <c r="L166" i="11"/>
  <c r="R166" i="11"/>
  <c r="L162" i="11"/>
  <c r="R162" i="11"/>
  <c r="L158" i="11"/>
  <c r="R158" i="11"/>
  <c r="L154" i="11"/>
  <c r="R154" i="11"/>
  <c r="E60" i="11"/>
  <c r="Q60" i="11"/>
  <c r="E56" i="11"/>
  <c r="Q56" i="11"/>
  <c r="E52" i="11"/>
  <c r="Q52" i="11"/>
  <c r="E48" i="11"/>
  <c r="Q48" i="11"/>
  <c r="E44" i="11"/>
  <c r="Q44" i="11"/>
  <c r="E40" i="11"/>
  <c r="Q40" i="11"/>
  <c r="E36" i="11"/>
  <c r="Q36" i="11"/>
  <c r="E32" i="11"/>
  <c r="Q32" i="11"/>
  <c r="E28" i="11"/>
  <c r="Q28" i="11"/>
  <c r="E24" i="11"/>
  <c r="Q24" i="11"/>
  <c r="L20" i="11"/>
  <c r="G18" i="24"/>
  <c r="E16" i="11"/>
  <c r="Q16" i="11"/>
  <c r="E12" i="11"/>
  <c r="Q12" i="11"/>
  <c r="E8" i="11"/>
  <c r="Q8" i="11"/>
  <c r="E311" i="11"/>
  <c r="Q311" i="11"/>
  <c r="E64" i="11"/>
  <c r="Q64" i="11"/>
  <c r="H19" i="24"/>
  <c r="L324" i="11"/>
  <c r="R324" i="11"/>
  <c r="L320" i="11"/>
  <c r="R320" i="11"/>
  <c r="L316" i="11"/>
  <c r="R316" i="11"/>
  <c r="L312" i="11"/>
  <c r="R312" i="11"/>
  <c r="L308" i="11"/>
  <c r="R308" i="11"/>
  <c r="L304" i="11"/>
  <c r="R304" i="11"/>
  <c r="L302" i="11"/>
  <c r="R302" i="11"/>
  <c r="L299" i="11"/>
  <c r="R299" i="11"/>
  <c r="L298" i="11"/>
  <c r="R298" i="11"/>
  <c r="L295" i="11"/>
  <c r="R295" i="11"/>
  <c r="L294" i="11"/>
  <c r="R294" i="11"/>
  <c r="L291" i="11"/>
  <c r="R291" i="11"/>
  <c r="L290" i="11"/>
  <c r="R290" i="11"/>
  <c r="L287" i="11"/>
  <c r="R287" i="11"/>
  <c r="L286" i="11"/>
  <c r="R286" i="11"/>
  <c r="L283" i="11"/>
  <c r="R283" i="11"/>
  <c r="L282" i="11"/>
  <c r="F98" i="24" s="1"/>
  <c r="R282" i="11"/>
  <c r="L273" i="11"/>
  <c r="R273" i="11"/>
  <c r="L272" i="11"/>
  <c r="R272" i="11"/>
  <c r="L269" i="11"/>
  <c r="R269" i="11"/>
  <c r="L268" i="11"/>
  <c r="R268" i="11"/>
  <c r="L265" i="11"/>
  <c r="R265" i="11"/>
  <c r="L262" i="11"/>
  <c r="R262" i="11"/>
  <c r="L259" i="11"/>
  <c r="R259" i="11"/>
  <c r="L255" i="11"/>
  <c r="R255" i="11"/>
  <c r="L254" i="11"/>
  <c r="R254" i="11"/>
  <c r="L251" i="11"/>
  <c r="R251" i="11"/>
  <c r="L250" i="11"/>
  <c r="R250" i="11"/>
  <c r="L247" i="11"/>
  <c r="R247" i="11"/>
  <c r="L246" i="11"/>
  <c r="R246" i="11"/>
  <c r="L243" i="11"/>
  <c r="R243" i="11"/>
  <c r="L242" i="11"/>
  <c r="R242" i="11"/>
  <c r="L237" i="11"/>
  <c r="R237" i="11"/>
  <c r="L236" i="11"/>
  <c r="R236" i="11"/>
  <c r="L233" i="11"/>
  <c r="R233" i="11"/>
  <c r="L232" i="11"/>
  <c r="R232" i="11"/>
  <c r="L229" i="11"/>
  <c r="R229" i="11"/>
  <c r="L228" i="11"/>
  <c r="R228" i="11"/>
  <c r="L226" i="11"/>
  <c r="R226" i="11"/>
  <c r="E325" i="11"/>
  <c r="Q325" i="11"/>
  <c r="E321" i="11"/>
  <c r="Q321" i="11"/>
  <c r="E317" i="11"/>
  <c r="Q317" i="11"/>
  <c r="E313" i="11"/>
  <c r="Q313" i="11"/>
  <c r="E309" i="11"/>
  <c r="E16" i="17" s="1"/>
  <c r="Q309" i="11"/>
  <c r="E305" i="11"/>
  <c r="Q305" i="11"/>
  <c r="E205" i="11"/>
  <c r="Q205" i="11"/>
  <c r="E201" i="11"/>
  <c r="J95" i="24" s="1"/>
  <c r="Q201" i="11"/>
  <c r="E197" i="11"/>
  <c r="Q197" i="11"/>
  <c r="E193" i="11"/>
  <c r="Q193" i="11"/>
  <c r="E189" i="11"/>
  <c r="Q189" i="11"/>
  <c r="E185" i="11"/>
  <c r="Q185" i="11"/>
  <c r="L181" i="11"/>
  <c r="G20" i="24"/>
  <c r="E177" i="11"/>
  <c r="Q177" i="11"/>
  <c r="E173" i="11"/>
  <c r="Q173" i="11"/>
  <c r="E169" i="11"/>
  <c r="Q169" i="11"/>
  <c r="E165" i="11"/>
  <c r="Q165" i="11"/>
  <c r="E161" i="11"/>
  <c r="Q161" i="11"/>
  <c r="E157" i="11"/>
  <c r="Q157" i="11"/>
  <c r="E153" i="11"/>
  <c r="Q153" i="11"/>
  <c r="L151" i="11"/>
  <c r="R151" i="11"/>
  <c r="L147" i="11"/>
  <c r="R147" i="11"/>
  <c r="L135" i="11"/>
  <c r="R135" i="11"/>
  <c r="L131" i="11"/>
  <c r="R131" i="11"/>
  <c r="L223" i="11"/>
  <c r="R223" i="11"/>
  <c r="L219" i="11"/>
  <c r="R219" i="11"/>
  <c r="L215" i="11"/>
  <c r="R215" i="11"/>
  <c r="L211" i="11"/>
  <c r="R211" i="11"/>
  <c r="L207" i="11"/>
  <c r="R207" i="11"/>
  <c r="L127" i="11"/>
  <c r="R127" i="11"/>
  <c r="L123" i="11"/>
  <c r="R123" i="11"/>
  <c r="L119" i="11"/>
  <c r="R119" i="11"/>
  <c r="L115" i="11"/>
  <c r="R115" i="11"/>
  <c r="L111" i="11"/>
  <c r="R111" i="11"/>
  <c r="L107" i="11"/>
  <c r="R107" i="11"/>
  <c r="L103" i="11"/>
  <c r="R103" i="11"/>
  <c r="L99" i="11"/>
  <c r="R99" i="11"/>
  <c r="L95" i="11"/>
  <c r="R95" i="11"/>
  <c r="L91" i="11"/>
  <c r="R91" i="11"/>
  <c r="H11" i="24"/>
  <c r="S89" i="11"/>
  <c r="L87" i="11"/>
  <c r="R87" i="11"/>
  <c r="L83" i="11"/>
  <c r="R83" i="11"/>
  <c r="L79" i="11"/>
  <c r="R79" i="11"/>
  <c r="L75" i="11"/>
  <c r="R75" i="11"/>
  <c r="L71" i="11"/>
  <c r="R71" i="11"/>
  <c r="L67" i="11"/>
  <c r="R67" i="11"/>
  <c r="L63" i="11"/>
  <c r="R63" i="11"/>
  <c r="L62" i="11"/>
  <c r="R62" i="11"/>
  <c r="L61" i="11"/>
  <c r="R61" i="11"/>
  <c r="L58" i="11"/>
  <c r="R58" i="11"/>
  <c r="L57" i="11"/>
  <c r="R57" i="11"/>
  <c r="L54" i="11"/>
  <c r="R54" i="11"/>
  <c r="L53" i="11"/>
  <c r="R53" i="11"/>
  <c r="L50" i="11"/>
  <c r="R50" i="11"/>
  <c r="L49" i="11"/>
  <c r="R49" i="11"/>
  <c r="L46" i="11"/>
  <c r="R46" i="11"/>
  <c r="L45" i="11"/>
  <c r="R45" i="11"/>
  <c r="L42" i="11"/>
  <c r="R42" i="11"/>
  <c r="L41" i="11"/>
  <c r="R41" i="11"/>
  <c r="L38" i="11"/>
  <c r="R38" i="11"/>
  <c r="L37" i="11"/>
  <c r="R37" i="11"/>
  <c r="L34" i="11"/>
  <c r="R34" i="11"/>
  <c r="L33" i="11"/>
  <c r="R33" i="11"/>
  <c r="L30" i="11"/>
  <c r="R30" i="11"/>
  <c r="L29" i="11"/>
  <c r="R29" i="11"/>
  <c r="L26" i="11"/>
  <c r="R26" i="11"/>
  <c r="G13" i="24"/>
  <c r="L25" i="11"/>
  <c r="R25" i="11"/>
  <c r="L22" i="11"/>
  <c r="R22" i="11"/>
  <c r="L21" i="11"/>
  <c r="R21" i="11"/>
  <c r="L18" i="11"/>
  <c r="R18" i="11"/>
  <c r="L17" i="11"/>
  <c r="R17" i="11"/>
  <c r="L14" i="11"/>
  <c r="R14" i="11"/>
  <c r="L13" i="11"/>
  <c r="R13" i="11"/>
  <c r="L10" i="11"/>
  <c r="R10" i="11"/>
  <c r="L9" i="11"/>
  <c r="R9" i="11"/>
  <c r="L222" i="11"/>
  <c r="R222" i="11"/>
  <c r="L218" i="11"/>
  <c r="R218" i="11"/>
  <c r="L214" i="11"/>
  <c r="R214" i="11"/>
  <c r="L210" i="11"/>
  <c r="R210" i="11"/>
  <c r="L206" i="11"/>
  <c r="R206" i="11"/>
  <c r="L204" i="11"/>
  <c r="R204" i="11"/>
  <c r="L200" i="11"/>
  <c r="R200" i="11"/>
  <c r="L196" i="11"/>
  <c r="R196" i="11"/>
  <c r="L192" i="11"/>
  <c r="R192" i="11"/>
  <c r="L188" i="11"/>
  <c r="R188" i="11"/>
  <c r="L184" i="11"/>
  <c r="R184" i="11"/>
  <c r="L180" i="11"/>
  <c r="R180" i="11"/>
  <c r="L176" i="11"/>
  <c r="R176" i="11"/>
  <c r="L172" i="11"/>
  <c r="R172" i="11"/>
  <c r="L168" i="11"/>
  <c r="R168" i="11"/>
  <c r="L164" i="11"/>
  <c r="R164" i="11"/>
  <c r="L160" i="11"/>
  <c r="R160" i="11"/>
  <c r="L156" i="11"/>
  <c r="R156" i="11"/>
  <c r="E152" i="11"/>
  <c r="Q152" i="11"/>
  <c r="E148" i="11"/>
  <c r="Q148" i="11"/>
  <c r="E136" i="11"/>
  <c r="Q136" i="11"/>
  <c r="E132" i="11"/>
  <c r="Q132" i="11"/>
  <c r="E124" i="11"/>
  <c r="Q124" i="11"/>
  <c r="E120" i="11"/>
  <c r="Q120" i="11"/>
  <c r="E116" i="11"/>
  <c r="Q116" i="11"/>
  <c r="E112" i="11"/>
  <c r="Q112" i="11"/>
  <c r="E108" i="11"/>
  <c r="Q108" i="11"/>
  <c r="E104" i="11"/>
  <c r="Q104" i="11"/>
  <c r="E100" i="11"/>
  <c r="Q100" i="11"/>
  <c r="E96" i="11"/>
  <c r="Q96" i="11"/>
  <c r="E92" i="11"/>
  <c r="Q92" i="11"/>
  <c r="E88" i="11"/>
  <c r="Q88" i="11"/>
  <c r="E84" i="11"/>
  <c r="Q84" i="11"/>
  <c r="E80" i="11"/>
  <c r="Q80" i="11"/>
  <c r="E76" i="11"/>
  <c r="Q76" i="11"/>
  <c r="E72" i="11"/>
  <c r="Q72" i="11"/>
  <c r="E68" i="11"/>
  <c r="Q68" i="11"/>
  <c r="S20" i="11"/>
  <c r="H18" i="24"/>
  <c r="E295" i="1"/>
  <c r="E287" i="1"/>
  <c r="E283" i="1"/>
  <c r="E279" i="1"/>
  <c r="E275" i="1"/>
  <c r="E352" i="1"/>
  <c r="E344" i="1"/>
  <c r="E340" i="1"/>
  <c r="E336" i="1"/>
  <c r="E332" i="1"/>
  <c r="E328" i="1"/>
  <c r="E324" i="1"/>
  <c r="E320" i="1"/>
  <c r="E316" i="1"/>
  <c r="E312" i="1"/>
  <c r="E308" i="1"/>
  <c r="E304" i="1"/>
  <c r="E300" i="1"/>
  <c r="E297" i="1"/>
  <c r="E293" i="1"/>
  <c r="E289" i="1"/>
  <c r="E285" i="1"/>
  <c r="E281" i="1"/>
  <c r="E277" i="1"/>
  <c r="E273" i="1"/>
  <c r="E269" i="1"/>
  <c r="E265" i="1"/>
  <c r="E200" i="1"/>
  <c r="E196" i="1"/>
  <c r="E192" i="1"/>
  <c r="E185" i="1"/>
  <c r="E177" i="1"/>
  <c r="E169" i="1"/>
  <c r="E161" i="1"/>
  <c r="E153" i="1"/>
  <c r="E145" i="1"/>
  <c r="E137" i="1"/>
  <c r="E129" i="1"/>
  <c r="E121" i="1"/>
  <c r="E113" i="1"/>
  <c r="E105" i="1"/>
  <c r="E97" i="1"/>
  <c r="E89" i="1"/>
  <c r="E81" i="1"/>
  <c r="E73" i="1"/>
  <c r="E65" i="1"/>
  <c r="E57" i="1"/>
  <c r="E49" i="1"/>
  <c r="E41" i="1"/>
  <c r="E33" i="1"/>
  <c r="AA2" i="7"/>
  <c r="S2" i="7"/>
  <c r="R2" i="7"/>
  <c r="Q2" i="7"/>
  <c r="O2" i="7"/>
  <c r="F88" i="24" l="1"/>
  <c r="M14" i="33"/>
  <c r="N14" i="33" s="1"/>
  <c r="N15" i="33" s="1"/>
  <c r="F92" i="24"/>
  <c r="J97" i="24"/>
  <c r="E46" i="1"/>
  <c r="E84" i="1"/>
  <c r="F34" i="5"/>
  <c r="G17" i="8"/>
  <c r="E16" i="8"/>
  <c r="M15" i="33"/>
  <c r="E268" i="1"/>
  <c r="C13" i="33"/>
  <c r="D13" i="33" s="1"/>
  <c r="F84" i="24"/>
  <c r="F87" i="24"/>
  <c r="F86" i="24"/>
  <c r="F12" i="24"/>
  <c r="F83" i="24"/>
  <c r="F80" i="24"/>
  <c r="D14" i="33"/>
  <c r="E128" i="11"/>
  <c r="J81" i="24" s="1"/>
  <c r="E343" i="1"/>
  <c r="Q128" i="11"/>
  <c r="E156" i="11"/>
  <c r="Q156" i="11"/>
  <c r="E164" i="11"/>
  <c r="Q164" i="11"/>
  <c r="E176" i="11"/>
  <c r="Q176" i="11"/>
  <c r="E184" i="11"/>
  <c r="Q184" i="11"/>
  <c r="E192" i="11"/>
  <c r="Q192" i="11"/>
  <c r="E200" i="11"/>
  <c r="Q200" i="11"/>
  <c r="E210" i="11"/>
  <c r="Q210" i="11"/>
  <c r="E9" i="11"/>
  <c r="Q9" i="11"/>
  <c r="E26" i="11"/>
  <c r="Q26" i="11"/>
  <c r="F13" i="24"/>
  <c r="E29" i="11"/>
  <c r="Q29" i="11"/>
  <c r="E30" i="11"/>
  <c r="Q30" i="11"/>
  <c r="E33" i="11"/>
  <c r="Q33" i="11"/>
  <c r="E34" i="11"/>
  <c r="Q34" i="11"/>
  <c r="E37" i="11"/>
  <c r="Q37" i="11"/>
  <c r="E38" i="11"/>
  <c r="Q38" i="11"/>
  <c r="E41" i="11"/>
  <c r="Q41" i="11"/>
  <c r="E42" i="11"/>
  <c r="Q42" i="11"/>
  <c r="E45" i="11"/>
  <c r="Q45" i="11"/>
  <c r="E46" i="11"/>
  <c r="Q46" i="11"/>
  <c r="E49" i="11"/>
  <c r="Q49" i="11"/>
  <c r="E50" i="11"/>
  <c r="Q50" i="11"/>
  <c r="E53" i="11"/>
  <c r="Q53" i="11"/>
  <c r="E54" i="11"/>
  <c r="Q54" i="11"/>
  <c r="E57" i="11"/>
  <c r="Q57" i="11"/>
  <c r="E58" i="11"/>
  <c r="Q58" i="11"/>
  <c r="E61" i="11"/>
  <c r="Q61" i="11"/>
  <c r="E62" i="11"/>
  <c r="Q62" i="11"/>
  <c r="E63" i="11"/>
  <c r="Q63" i="11"/>
  <c r="E67" i="11"/>
  <c r="Q67" i="11"/>
  <c r="E71" i="11"/>
  <c r="Q71" i="11"/>
  <c r="E75" i="11"/>
  <c r="Q75" i="11"/>
  <c r="E79" i="11"/>
  <c r="Q79" i="11"/>
  <c r="E83" i="11"/>
  <c r="Q83" i="11"/>
  <c r="E87" i="11"/>
  <c r="Q87" i="11"/>
  <c r="E91" i="11"/>
  <c r="Q91" i="11"/>
  <c r="E95" i="11"/>
  <c r="Q95" i="11"/>
  <c r="E99" i="11"/>
  <c r="Q99" i="11"/>
  <c r="E103" i="11"/>
  <c r="Q103" i="11"/>
  <c r="E107" i="11"/>
  <c r="Q107" i="11"/>
  <c r="E111" i="11"/>
  <c r="Q111" i="11"/>
  <c r="E115" i="11"/>
  <c r="Q115" i="11"/>
  <c r="E119" i="11"/>
  <c r="Q119" i="11"/>
  <c r="E123" i="11"/>
  <c r="Q123" i="11"/>
  <c r="E127" i="11"/>
  <c r="Q127" i="11"/>
  <c r="E207" i="11"/>
  <c r="Q207" i="11"/>
  <c r="E211" i="11"/>
  <c r="Q211" i="11"/>
  <c r="E215" i="11"/>
  <c r="Q215" i="11"/>
  <c r="E219" i="11"/>
  <c r="Q219" i="11"/>
  <c r="E223" i="11"/>
  <c r="Q223" i="11"/>
  <c r="E131" i="11"/>
  <c r="Q131" i="11"/>
  <c r="E135" i="11"/>
  <c r="Q135" i="11"/>
  <c r="E147" i="11"/>
  <c r="Q147" i="11"/>
  <c r="Q151" i="11"/>
  <c r="E151" i="11"/>
  <c r="E181" i="11"/>
  <c r="Q181" i="11"/>
  <c r="F20" i="24"/>
  <c r="E89" i="11"/>
  <c r="Q89" i="11"/>
  <c r="E90" i="11"/>
  <c r="Q90" i="11"/>
  <c r="E93" i="11"/>
  <c r="Q93" i="11"/>
  <c r="E94" i="11"/>
  <c r="Q94" i="11"/>
  <c r="E97" i="11"/>
  <c r="Q97" i="11"/>
  <c r="E98" i="11"/>
  <c r="Q98" i="11"/>
  <c r="E101" i="11"/>
  <c r="Q101" i="11"/>
  <c r="E102" i="11"/>
  <c r="Q102" i="11"/>
  <c r="E105" i="11"/>
  <c r="J91" i="24" s="1"/>
  <c r="Q105" i="11"/>
  <c r="E106" i="11"/>
  <c r="Q106" i="11"/>
  <c r="E109" i="11"/>
  <c r="Q109" i="11"/>
  <c r="E110" i="11"/>
  <c r="Q110" i="11"/>
  <c r="E113" i="11"/>
  <c r="Q113" i="11"/>
  <c r="E114" i="11"/>
  <c r="Q114" i="11"/>
  <c r="E117" i="11"/>
  <c r="Q117" i="11"/>
  <c r="E118" i="11"/>
  <c r="Q118" i="11"/>
  <c r="E121" i="11"/>
  <c r="Q121" i="11"/>
  <c r="E122" i="11"/>
  <c r="Q122" i="11"/>
  <c r="E125" i="11"/>
  <c r="Q125" i="11"/>
  <c r="E126" i="11"/>
  <c r="Q126" i="11"/>
  <c r="E129" i="11"/>
  <c r="Q129" i="11"/>
  <c r="E130" i="11"/>
  <c r="Q130" i="11"/>
  <c r="E155" i="11"/>
  <c r="Q155" i="11"/>
  <c r="E159" i="11"/>
  <c r="Q159" i="11"/>
  <c r="E163" i="11"/>
  <c r="Q163" i="11"/>
  <c r="E167" i="11"/>
  <c r="Q167" i="11"/>
  <c r="E171" i="11"/>
  <c r="Q171" i="11"/>
  <c r="E175" i="11"/>
  <c r="Q175" i="11"/>
  <c r="E179" i="11"/>
  <c r="Q179" i="11"/>
  <c r="E183" i="11"/>
  <c r="Q183" i="11"/>
  <c r="E187" i="11"/>
  <c r="Q187" i="11"/>
  <c r="E191" i="11"/>
  <c r="Q191" i="11"/>
  <c r="E195" i="11"/>
  <c r="Q195" i="11"/>
  <c r="E199" i="11"/>
  <c r="Q199" i="11"/>
  <c r="E203" i="11"/>
  <c r="Q203" i="11"/>
  <c r="E133" i="11"/>
  <c r="Q133" i="11"/>
  <c r="E134" i="11"/>
  <c r="Q134" i="11"/>
  <c r="E137" i="11"/>
  <c r="Q137" i="11"/>
  <c r="E145" i="11"/>
  <c r="Q145" i="11"/>
  <c r="E146" i="11"/>
  <c r="Q146" i="11"/>
  <c r="E149" i="11"/>
  <c r="Q149" i="11"/>
  <c r="Q150" i="11"/>
  <c r="E150" i="11"/>
  <c r="E230" i="11"/>
  <c r="Q230" i="11"/>
  <c r="E234" i="11"/>
  <c r="Q234" i="11"/>
  <c r="E238" i="11"/>
  <c r="J96" i="24" s="1"/>
  <c r="Q238" i="11"/>
  <c r="E244" i="11"/>
  <c r="Q244" i="11"/>
  <c r="E248" i="11"/>
  <c r="Q248" i="11"/>
  <c r="E252" i="11"/>
  <c r="Q252" i="11"/>
  <c r="E256" i="11"/>
  <c r="Q256" i="11"/>
  <c r="E260" i="11"/>
  <c r="Q260" i="11"/>
  <c r="E266" i="11"/>
  <c r="Q266" i="11"/>
  <c r="E270" i="11"/>
  <c r="Q270" i="11"/>
  <c r="E274" i="11"/>
  <c r="Q274" i="11"/>
  <c r="E280" i="11"/>
  <c r="Q280" i="11"/>
  <c r="E284" i="11"/>
  <c r="Q284" i="11"/>
  <c r="E288" i="11"/>
  <c r="Q288" i="11"/>
  <c r="E292" i="11"/>
  <c r="Q292" i="11"/>
  <c r="E296" i="11"/>
  <c r="Q296" i="11"/>
  <c r="E300" i="11"/>
  <c r="Q300" i="11"/>
  <c r="E303" i="11"/>
  <c r="Q303" i="11"/>
  <c r="E306" i="11"/>
  <c r="Q306" i="11"/>
  <c r="E307" i="11"/>
  <c r="Q307" i="11"/>
  <c r="E310" i="11"/>
  <c r="Q310" i="11"/>
  <c r="E314" i="11"/>
  <c r="Q314" i="11"/>
  <c r="E315" i="11"/>
  <c r="Q315" i="11"/>
  <c r="E318" i="11"/>
  <c r="Q318" i="11"/>
  <c r="E319" i="11"/>
  <c r="Q319" i="11"/>
  <c r="E323" i="11"/>
  <c r="Q323" i="11"/>
  <c r="E326" i="11"/>
  <c r="Q326" i="11"/>
  <c r="E160" i="11"/>
  <c r="Q160" i="11"/>
  <c r="E168" i="11"/>
  <c r="Q168" i="11"/>
  <c r="E172" i="11"/>
  <c r="Q172" i="11"/>
  <c r="E180" i="11"/>
  <c r="Q180" i="11"/>
  <c r="E188" i="11"/>
  <c r="E20" i="17" s="1"/>
  <c r="Q188" i="11"/>
  <c r="E196" i="11"/>
  <c r="Q196" i="11"/>
  <c r="E204" i="11"/>
  <c r="Q204" i="11"/>
  <c r="E206" i="11"/>
  <c r="Q206" i="11"/>
  <c r="E214" i="11"/>
  <c r="Q214" i="11"/>
  <c r="E218" i="11"/>
  <c r="Q218" i="11"/>
  <c r="E222" i="11"/>
  <c r="Q222" i="11"/>
  <c r="E10" i="11"/>
  <c r="Q10" i="11"/>
  <c r="E13" i="11"/>
  <c r="Q13" i="11"/>
  <c r="E14" i="11"/>
  <c r="Q14" i="11"/>
  <c r="E17" i="11"/>
  <c r="Q17" i="11"/>
  <c r="E18" i="11"/>
  <c r="Q18" i="11"/>
  <c r="E21" i="11"/>
  <c r="Q21" i="11"/>
  <c r="E22" i="11"/>
  <c r="Q22" i="11"/>
  <c r="E25" i="11"/>
  <c r="Q25" i="11"/>
  <c r="J15" i="24"/>
  <c r="E226" i="11"/>
  <c r="Q226" i="11"/>
  <c r="E228" i="11"/>
  <c r="Q228" i="11"/>
  <c r="E229" i="11"/>
  <c r="Q229" i="11"/>
  <c r="E232" i="11"/>
  <c r="Q232" i="11"/>
  <c r="E233" i="11"/>
  <c r="Q233" i="11"/>
  <c r="E236" i="11"/>
  <c r="Q236" i="11"/>
  <c r="E237" i="11"/>
  <c r="Q237" i="11"/>
  <c r="E242" i="11"/>
  <c r="Q242" i="11"/>
  <c r="E243" i="11"/>
  <c r="Q243" i="11"/>
  <c r="E246" i="11"/>
  <c r="Q246" i="11"/>
  <c r="E247" i="11"/>
  <c r="Q247" i="11"/>
  <c r="E250" i="11"/>
  <c r="Q250" i="11"/>
  <c r="E251" i="11"/>
  <c r="Q251" i="11"/>
  <c r="E254" i="11"/>
  <c r="Q254" i="11"/>
  <c r="E255" i="11"/>
  <c r="Q255" i="11"/>
  <c r="E259" i="11"/>
  <c r="Q259" i="11"/>
  <c r="E262" i="11"/>
  <c r="Q262" i="11"/>
  <c r="E265" i="11"/>
  <c r="Q265" i="11"/>
  <c r="E268" i="11"/>
  <c r="Q268" i="11"/>
  <c r="E269" i="11"/>
  <c r="Q269" i="11"/>
  <c r="E272" i="11"/>
  <c r="Q272" i="11"/>
  <c r="E273" i="11"/>
  <c r="Q273" i="11"/>
  <c r="E282" i="11"/>
  <c r="J98" i="24" s="1"/>
  <c r="Q282" i="11"/>
  <c r="E283" i="11"/>
  <c r="Q283" i="11"/>
  <c r="E286" i="11"/>
  <c r="Q286" i="11"/>
  <c r="E287" i="11"/>
  <c r="Q287" i="11"/>
  <c r="E290" i="11"/>
  <c r="Q290" i="11"/>
  <c r="E291" i="11"/>
  <c r="Q291" i="11"/>
  <c r="E294" i="11"/>
  <c r="Q294" i="11"/>
  <c r="E295" i="11"/>
  <c r="Q295" i="11"/>
  <c r="E298" i="11"/>
  <c r="Q298" i="11"/>
  <c r="E299" i="11"/>
  <c r="Q299" i="11"/>
  <c r="E302" i="11"/>
  <c r="Q302" i="11"/>
  <c r="E304" i="11"/>
  <c r="Q304" i="11"/>
  <c r="E308" i="11"/>
  <c r="Q308" i="11"/>
  <c r="E312" i="11"/>
  <c r="Q312" i="11"/>
  <c r="E316" i="11"/>
  <c r="Q316" i="11"/>
  <c r="E320" i="11"/>
  <c r="Q320" i="11"/>
  <c r="E324" i="11"/>
  <c r="Q324" i="11"/>
  <c r="E20" i="11"/>
  <c r="Q20" i="11"/>
  <c r="F18" i="24"/>
  <c r="E154" i="11"/>
  <c r="Q154" i="11"/>
  <c r="E158" i="11"/>
  <c r="Q158" i="11"/>
  <c r="E162" i="11"/>
  <c r="Q162" i="11"/>
  <c r="E166" i="11"/>
  <c r="Q166" i="11"/>
  <c r="E170" i="11"/>
  <c r="Q170" i="11"/>
  <c r="E174" i="11"/>
  <c r="Q174" i="11"/>
  <c r="E178" i="11"/>
  <c r="Q178" i="11"/>
  <c r="E182" i="11"/>
  <c r="Q182" i="11"/>
  <c r="E186" i="11"/>
  <c r="Q186" i="11"/>
  <c r="E190" i="11"/>
  <c r="Q190" i="11"/>
  <c r="E194" i="11"/>
  <c r="Q194" i="11"/>
  <c r="E198" i="11"/>
  <c r="Q198" i="11"/>
  <c r="E202" i="11"/>
  <c r="Q202" i="11"/>
  <c r="E208" i="11"/>
  <c r="Q208" i="11"/>
  <c r="E212" i="11"/>
  <c r="Q212" i="11"/>
  <c r="E216" i="11"/>
  <c r="Q216" i="11"/>
  <c r="E220" i="11"/>
  <c r="J94" i="24" s="1"/>
  <c r="Q220" i="11"/>
  <c r="E224" i="11"/>
  <c r="Q224" i="11"/>
  <c r="E11" i="11"/>
  <c r="Q11" i="11"/>
  <c r="E15" i="11"/>
  <c r="Q15" i="11"/>
  <c r="E19" i="11"/>
  <c r="Q19" i="11"/>
  <c r="E23" i="11"/>
  <c r="Q23" i="11"/>
  <c r="E27" i="11"/>
  <c r="Q27" i="11"/>
  <c r="E31" i="11"/>
  <c r="Q31" i="11"/>
  <c r="E35" i="11"/>
  <c r="Q35" i="11"/>
  <c r="E39" i="11"/>
  <c r="Q39" i="11"/>
  <c r="E43" i="11"/>
  <c r="Q43" i="11"/>
  <c r="E47" i="11"/>
  <c r="Q47" i="11"/>
  <c r="E55" i="11"/>
  <c r="Q55" i="11"/>
  <c r="E59" i="11"/>
  <c r="Q59" i="11"/>
  <c r="E65" i="11"/>
  <c r="Q65" i="11"/>
  <c r="E66" i="11"/>
  <c r="Q66" i="11"/>
  <c r="E69" i="11"/>
  <c r="Q69" i="11"/>
  <c r="E70" i="11"/>
  <c r="Q70" i="11"/>
  <c r="E73" i="11"/>
  <c r="Q73" i="11"/>
  <c r="E74" i="11"/>
  <c r="Q74" i="11"/>
  <c r="E77" i="11"/>
  <c r="Q77" i="11"/>
  <c r="E78" i="11"/>
  <c r="Q78" i="11"/>
  <c r="E81" i="11"/>
  <c r="Q81" i="11"/>
  <c r="E82" i="11"/>
  <c r="Q82" i="11"/>
  <c r="E85" i="11"/>
  <c r="Q85" i="11"/>
  <c r="E86" i="11"/>
  <c r="Q86" i="11"/>
  <c r="F19" i="24"/>
  <c r="J92" i="24" l="1"/>
  <c r="J88" i="24"/>
  <c r="J84" i="24"/>
  <c r="J12" i="24"/>
  <c r="D15" i="33"/>
  <c r="C15" i="33"/>
  <c r="J83" i="24"/>
  <c r="E13" i="17"/>
  <c r="E9" i="17"/>
  <c r="J87" i="24"/>
  <c r="J86" i="24"/>
  <c r="J80" i="24"/>
  <c r="J19" i="24"/>
  <c r="E7" i="17"/>
  <c r="E18" i="17"/>
  <c r="J20" i="24"/>
  <c r="E11" i="17"/>
  <c r="E6" i="17"/>
  <c r="E8" i="17"/>
  <c r="E15" i="17"/>
  <c r="E19" i="17"/>
  <c r="E14" i="17"/>
  <c r="J13" i="24"/>
  <c r="J18" i="24"/>
  <c r="A7" i="31"/>
  <c r="B17" i="16"/>
  <c r="K5" i="24" l="1"/>
  <c r="K7" i="24" s="1"/>
  <c r="Q4" i="31"/>
  <c r="M4" i="31"/>
  <c r="R4" i="16"/>
  <c r="O4" i="16"/>
  <c r="M13" i="16"/>
  <c r="L13" i="16"/>
  <c r="I13" i="16"/>
  <c r="G13" i="16"/>
  <c r="F13" i="16"/>
  <c r="T11" i="15"/>
  <c r="S11" i="15"/>
  <c r="R11" i="15"/>
  <c r="Q11" i="15"/>
  <c r="P11" i="15"/>
  <c r="O11" i="15"/>
  <c r="N11" i="15"/>
  <c r="M11" i="15"/>
  <c r="D5" i="15" s="1"/>
  <c r="L11" i="15"/>
  <c r="K11" i="15"/>
  <c r="J11" i="15"/>
  <c r="I11" i="15"/>
  <c r="H11" i="15"/>
  <c r="G11" i="15"/>
  <c r="F11" i="15"/>
  <c r="E11" i="15"/>
  <c r="B5" i="15" s="1"/>
  <c r="AC2" i="14"/>
  <c r="U2" i="14"/>
  <c r="P2" i="14"/>
  <c r="L2" i="14"/>
  <c r="M3" i="13"/>
  <c r="L3" i="13"/>
  <c r="K3" i="13"/>
  <c r="J3" i="13"/>
  <c r="I3" i="13"/>
  <c r="H3" i="13"/>
  <c r="K3" i="12"/>
  <c r="J3" i="12"/>
  <c r="I3" i="12"/>
  <c r="H3" i="12"/>
  <c r="G3" i="12"/>
  <c r="F3" i="12"/>
  <c r="C3" i="12"/>
  <c r="AB3" i="11"/>
  <c r="O3" i="11"/>
  <c r="K3" i="11"/>
  <c r="E11" i="9"/>
  <c r="B6" i="9" s="1"/>
  <c r="P11" i="9"/>
  <c r="D9" i="9" s="1"/>
  <c r="O11" i="9"/>
  <c r="D8" i="9" s="1"/>
  <c r="N11" i="9"/>
  <c r="D7" i="9" s="1"/>
  <c r="M11" i="9"/>
  <c r="D6" i="9" s="1"/>
  <c r="L11" i="9"/>
  <c r="C9" i="9" s="1"/>
  <c r="K11" i="9"/>
  <c r="C8" i="9" s="1"/>
  <c r="J11" i="9"/>
  <c r="C7" i="9" s="1"/>
  <c r="I11" i="9"/>
  <c r="C6" i="9" s="1"/>
  <c r="H11" i="9"/>
  <c r="B9" i="9" s="1"/>
  <c r="G11" i="9"/>
  <c r="B8" i="9" s="1"/>
  <c r="F11" i="9"/>
  <c r="B7" i="9" s="1"/>
  <c r="Y3" i="6"/>
  <c r="M3" i="6"/>
  <c r="L3" i="6"/>
  <c r="W2" i="1"/>
  <c r="L2" i="1"/>
  <c r="K2" i="1"/>
  <c r="E6" i="15" l="1"/>
  <c r="E5" i="15"/>
  <c r="D6" i="15"/>
  <c r="C6" i="15"/>
  <c r="C5" i="15"/>
  <c r="B6" i="15"/>
  <c r="K9" i="6"/>
  <c r="S9" i="6"/>
  <c r="R9" i="6"/>
  <c r="X9" i="6"/>
  <c r="W9" i="6"/>
  <c r="V9" i="6"/>
  <c r="P9" i="6" l="1"/>
  <c r="F19" i="33" s="1"/>
  <c r="Q9" i="6"/>
  <c r="F29" i="33" s="1"/>
  <c r="K55" i="28"/>
  <c r="G55" i="28"/>
  <c r="K37" i="28"/>
  <c r="I37" i="28"/>
  <c r="G37" i="28"/>
  <c r="E37" i="28"/>
  <c r="C37" i="28"/>
  <c r="K36" i="28"/>
  <c r="I36" i="28"/>
  <c r="G36" i="28"/>
  <c r="E36" i="28"/>
  <c r="C36" i="28"/>
  <c r="K35" i="28"/>
  <c r="I35" i="28"/>
  <c r="G35" i="28"/>
  <c r="E35" i="28"/>
  <c r="C35" i="28"/>
  <c r="K34" i="28"/>
  <c r="I34" i="28"/>
  <c r="G34" i="28"/>
  <c r="E34" i="28"/>
  <c r="C34" i="28"/>
  <c r="K33" i="28"/>
  <c r="I33" i="28"/>
  <c r="G33" i="28"/>
  <c r="E33" i="28"/>
  <c r="C33" i="28"/>
  <c r="K32" i="28"/>
  <c r="I32" i="28"/>
  <c r="G32" i="28"/>
  <c r="E32" i="28"/>
  <c r="C32" i="28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V26" i="1"/>
  <c r="U26" i="1"/>
  <c r="T26" i="1"/>
  <c r="V25" i="1"/>
  <c r="U25" i="1"/>
  <c r="T25" i="1"/>
  <c r="V24" i="1"/>
  <c r="U24" i="1"/>
  <c r="T24" i="1"/>
  <c r="V23" i="1"/>
  <c r="U23" i="1"/>
  <c r="T23" i="1"/>
  <c r="V22" i="1"/>
  <c r="U22" i="1"/>
  <c r="T22" i="1"/>
  <c r="V21" i="1"/>
  <c r="U21" i="1"/>
  <c r="T21" i="1"/>
  <c r="V20" i="1"/>
  <c r="U20" i="1"/>
  <c r="T20" i="1"/>
  <c r="V19" i="1"/>
  <c r="U19" i="1"/>
  <c r="T19" i="1"/>
  <c r="V18" i="1"/>
  <c r="U18" i="1"/>
  <c r="T18" i="1"/>
  <c r="V17" i="1"/>
  <c r="U17" i="1"/>
  <c r="T17" i="1"/>
  <c r="V16" i="1"/>
  <c r="U16" i="1"/>
  <c r="T16" i="1"/>
  <c r="V15" i="1"/>
  <c r="U15" i="1"/>
  <c r="T15" i="1"/>
  <c r="V14" i="1"/>
  <c r="U14" i="1"/>
  <c r="T14" i="1"/>
  <c r="V13" i="1"/>
  <c r="U13" i="1"/>
  <c r="T13" i="1"/>
  <c r="V12" i="1"/>
  <c r="U12" i="1"/>
  <c r="T12" i="1"/>
  <c r="V11" i="1"/>
  <c r="U11" i="1"/>
  <c r="T11" i="1"/>
  <c r="V10" i="1"/>
  <c r="U10" i="1"/>
  <c r="T10" i="1"/>
  <c r="V9" i="1"/>
  <c r="U9" i="1"/>
  <c r="T9" i="1"/>
  <c r="V8" i="1"/>
  <c r="U8" i="1"/>
  <c r="T8" i="1"/>
  <c r="V7" i="1"/>
  <c r="U7" i="1"/>
  <c r="T7" i="1"/>
  <c r="Q3" i="6" l="1"/>
  <c r="I29" i="33"/>
  <c r="G29" i="33"/>
  <c r="G35" i="33" s="1"/>
  <c r="F35" i="33"/>
  <c r="G19" i="33"/>
  <c r="G25" i="33" s="1"/>
  <c r="F25" i="33"/>
  <c r="G38" i="28"/>
  <c r="K38" i="28"/>
  <c r="J53" i="28"/>
  <c r="J51" i="28"/>
  <c r="J49" i="28"/>
  <c r="J54" i="28"/>
  <c r="J52" i="28"/>
  <c r="J50" i="28"/>
  <c r="J37" i="28"/>
  <c r="F37" i="28"/>
  <c r="B37" i="28"/>
  <c r="H36" i="28"/>
  <c r="D36" i="28"/>
  <c r="J35" i="28"/>
  <c r="F35" i="28"/>
  <c r="B35" i="28"/>
  <c r="H34" i="28"/>
  <c r="D34" i="28"/>
  <c r="J33" i="28"/>
  <c r="F33" i="28"/>
  <c r="B33" i="28"/>
  <c r="H32" i="28"/>
  <c r="D32" i="28"/>
  <c r="H37" i="28"/>
  <c r="D37" i="28"/>
  <c r="J36" i="28"/>
  <c r="F36" i="28"/>
  <c r="B36" i="28"/>
  <c r="H35" i="28"/>
  <c r="D35" i="28"/>
  <c r="J34" i="28"/>
  <c r="F34" i="28"/>
  <c r="B34" i="28"/>
  <c r="H33" i="28"/>
  <c r="D33" i="28"/>
  <c r="J32" i="28"/>
  <c r="F32" i="28"/>
  <c r="B32" i="28"/>
  <c r="I38" i="28"/>
  <c r="C38" i="28"/>
  <c r="C55" i="28"/>
  <c r="E55" i="28"/>
  <c r="E38" i="28"/>
  <c r="I55" i="28"/>
  <c r="O9" i="6"/>
  <c r="O3" i="6" s="1"/>
  <c r="P3" i="6"/>
  <c r="F8" i="28"/>
  <c r="O17" i="25"/>
  <c r="N17" i="25"/>
  <c r="M17" i="25"/>
  <c r="L17" i="25"/>
  <c r="O4" i="25"/>
  <c r="N4" i="25"/>
  <c r="M4" i="25"/>
  <c r="L4" i="25"/>
  <c r="I25" i="33" l="1"/>
  <c r="J19" i="33"/>
  <c r="J25" i="33" s="1"/>
  <c r="I35" i="33"/>
  <c r="J29" i="33"/>
  <c r="J35" i="33" s="1"/>
  <c r="L35" i="28"/>
  <c r="M35" i="28" s="1"/>
  <c r="L34" i="28"/>
  <c r="M34" i="28" s="1"/>
  <c r="B38" i="28"/>
  <c r="J38" i="28"/>
  <c r="L32" i="28"/>
  <c r="L33" i="28"/>
  <c r="M33" i="28" s="1"/>
  <c r="L36" i="28"/>
  <c r="M36" i="28" s="1"/>
  <c r="L37" i="28"/>
  <c r="M37" i="28" s="1"/>
  <c r="F38" i="28"/>
  <c r="H38" i="28"/>
  <c r="D38" i="28"/>
  <c r="J55" i="28"/>
  <c r="M56" i="28" s="1"/>
  <c r="M32" i="28"/>
  <c r="I8" i="28"/>
  <c r="B9" i="6"/>
  <c r="J13" i="28"/>
  <c r="J12" i="28"/>
  <c r="J11" i="28"/>
  <c r="J10" i="28"/>
  <c r="J9" i="28"/>
  <c r="J8" i="28"/>
  <c r="I12" i="28"/>
  <c r="V5" i="14"/>
  <c r="M38" i="28" l="1"/>
  <c r="L38" i="28"/>
  <c r="C10" i="28"/>
  <c r="G10" i="28"/>
  <c r="K11" i="28"/>
  <c r="K12" i="28"/>
  <c r="C8" i="28"/>
  <c r="C12" i="28"/>
  <c r="E10" i="28"/>
  <c r="G8" i="28"/>
  <c r="G12" i="28"/>
  <c r="I10" i="28"/>
  <c r="K9" i="28"/>
  <c r="K13" i="28"/>
  <c r="C9" i="28"/>
  <c r="C11" i="28"/>
  <c r="C13" i="28"/>
  <c r="E9" i="28"/>
  <c r="E11" i="28"/>
  <c r="E13" i="28"/>
  <c r="G9" i="28"/>
  <c r="G11" i="28"/>
  <c r="G13" i="28"/>
  <c r="I9" i="28"/>
  <c r="I11" i="28"/>
  <c r="K8" i="28"/>
  <c r="K10" i="28"/>
  <c r="I13" i="28"/>
  <c r="O96" i="26"/>
  <c r="N96" i="26"/>
  <c r="M96" i="26"/>
  <c r="L96" i="26"/>
  <c r="K96" i="26"/>
  <c r="O83" i="26"/>
  <c r="N83" i="26"/>
  <c r="M83" i="26"/>
  <c r="L83" i="26"/>
  <c r="K83" i="26"/>
  <c r="O70" i="26"/>
  <c r="N70" i="26"/>
  <c r="M70" i="26"/>
  <c r="L70" i="26"/>
  <c r="K70" i="26"/>
  <c r="O56" i="26"/>
  <c r="N56" i="26"/>
  <c r="M56" i="26"/>
  <c r="L56" i="26"/>
  <c r="K56" i="26"/>
  <c r="O42" i="26"/>
  <c r="N42" i="26"/>
  <c r="M42" i="26"/>
  <c r="L42" i="26"/>
  <c r="K42" i="26"/>
  <c r="O28" i="26"/>
  <c r="N28" i="26"/>
  <c r="M28" i="26"/>
  <c r="L28" i="26"/>
  <c r="K28" i="26"/>
  <c r="O15" i="26"/>
  <c r="N15" i="26"/>
  <c r="M15" i="26"/>
  <c r="L15" i="26"/>
  <c r="K15" i="26"/>
  <c r="L90" i="28"/>
  <c r="J90" i="28"/>
  <c r="L89" i="28"/>
  <c r="J89" i="28"/>
  <c r="N3" i="26" l="1"/>
  <c r="L84" i="28" s="1"/>
  <c r="E12" i="28"/>
  <c r="E8" i="28"/>
  <c r="M3" i="26"/>
  <c r="K84" i="28" s="1"/>
  <c r="O3" i="26"/>
  <c r="M84" i="28" s="1"/>
  <c r="K3" i="26"/>
  <c r="L3" i="26"/>
  <c r="J84" i="28" s="1"/>
  <c r="M44" i="28" l="1"/>
  <c r="M45" i="28"/>
  <c r="J45" i="28"/>
  <c r="J44" i="28"/>
  <c r="M39" i="28" l="1"/>
  <c r="F96" i="28"/>
  <c r="AB5" i="14"/>
  <c r="AA5" i="14"/>
  <c r="Z5" i="14"/>
  <c r="U5" i="14"/>
  <c r="K5" i="14"/>
  <c r="N5" i="14" l="1"/>
  <c r="P19" i="33" s="1"/>
  <c r="O5" i="14"/>
  <c r="C62" i="28"/>
  <c r="C64" i="28"/>
  <c r="C66" i="28"/>
  <c r="E62" i="28"/>
  <c r="E64" i="28"/>
  <c r="G63" i="28"/>
  <c r="G65" i="28"/>
  <c r="C63" i="28"/>
  <c r="C65" i="28"/>
  <c r="C67" i="28"/>
  <c r="E63" i="28"/>
  <c r="E65" i="28"/>
  <c r="G62" i="28"/>
  <c r="G64" i="28"/>
  <c r="K67" i="28"/>
  <c r="K65" i="28"/>
  <c r="K63" i="28"/>
  <c r="I64" i="28"/>
  <c r="K66" i="28"/>
  <c r="K64" i="28"/>
  <c r="K62" i="28"/>
  <c r="I65" i="28"/>
  <c r="I63" i="28"/>
  <c r="I62" i="28"/>
  <c r="G67" i="28"/>
  <c r="I67" i="28"/>
  <c r="S5" i="14"/>
  <c r="S2" i="14" s="1"/>
  <c r="H17" i="16"/>
  <c r="H13" i="16" s="1"/>
  <c r="R17" i="16"/>
  <c r="O17" i="16"/>
  <c r="I40" i="28"/>
  <c r="I28" i="28"/>
  <c r="I27" i="28"/>
  <c r="K26" i="31"/>
  <c r="K25" i="31"/>
  <c r="K24" i="31"/>
  <c r="K23" i="31"/>
  <c r="K22" i="31"/>
  <c r="K21" i="31"/>
  <c r="K20" i="31"/>
  <c r="K19" i="31"/>
  <c r="K18" i="31"/>
  <c r="K17" i="31"/>
  <c r="K16" i="31"/>
  <c r="K15" i="31"/>
  <c r="K14" i="31"/>
  <c r="K13" i="31"/>
  <c r="K12" i="31"/>
  <c r="K11" i="31"/>
  <c r="K10" i="31"/>
  <c r="K9" i="31"/>
  <c r="K8" i="31"/>
  <c r="K7" i="31"/>
  <c r="P58" i="33" l="1"/>
  <c r="P53" i="33"/>
  <c r="P29" i="33"/>
  <c r="Q19" i="33"/>
  <c r="S19" i="33"/>
  <c r="T19" i="33" s="1"/>
  <c r="P8" i="31"/>
  <c r="C54" i="33" s="1"/>
  <c r="D54" i="33" s="1"/>
  <c r="O8" i="31"/>
  <c r="C43" i="33" s="1"/>
  <c r="D43" i="33" s="1"/>
  <c r="P10" i="31"/>
  <c r="H49" i="28" s="1"/>
  <c r="O10" i="31"/>
  <c r="P12" i="31"/>
  <c r="O12" i="31"/>
  <c r="P14" i="31"/>
  <c r="O14" i="31"/>
  <c r="P16" i="31"/>
  <c r="O16" i="31"/>
  <c r="P18" i="31"/>
  <c r="O18" i="31"/>
  <c r="P20" i="31"/>
  <c r="H51" i="28" s="1"/>
  <c r="O20" i="31"/>
  <c r="F51" i="28" s="1"/>
  <c r="P22" i="31"/>
  <c r="O22" i="31"/>
  <c r="P24" i="31"/>
  <c r="O24" i="31"/>
  <c r="P26" i="31"/>
  <c r="O26" i="31"/>
  <c r="H54" i="28"/>
  <c r="H50" i="28"/>
  <c r="F54" i="28"/>
  <c r="F50" i="28"/>
  <c r="D54" i="28"/>
  <c r="D52" i="28"/>
  <c r="D50" i="28"/>
  <c r="P7" i="31"/>
  <c r="C53" i="33" s="1"/>
  <c r="H52" i="28"/>
  <c r="F52" i="28"/>
  <c r="D53" i="28"/>
  <c r="D51" i="28"/>
  <c r="D49" i="28"/>
  <c r="O7" i="31"/>
  <c r="C42" i="33" s="1"/>
  <c r="P9" i="31"/>
  <c r="C55" i="33" s="1"/>
  <c r="D55" i="33" s="1"/>
  <c r="O9" i="31"/>
  <c r="C44" i="33" s="1"/>
  <c r="D44" i="33" s="1"/>
  <c r="P11" i="31"/>
  <c r="O11" i="31"/>
  <c r="F49" i="28" s="1"/>
  <c r="P13" i="31"/>
  <c r="O13" i="31"/>
  <c r="P15" i="31"/>
  <c r="O15" i="31"/>
  <c r="P17" i="31"/>
  <c r="O17" i="31"/>
  <c r="P19" i="31"/>
  <c r="O19" i="31"/>
  <c r="P21" i="31"/>
  <c r="O21" i="31"/>
  <c r="P23" i="31"/>
  <c r="O23" i="31"/>
  <c r="P25" i="31"/>
  <c r="O25" i="31"/>
  <c r="O2" i="14"/>
  <c r="P34" i="33"/>
  <c r="P35" i="33" s="1"/>
  <c r="G66" i="28"/>
  <c r="P24" i="33"/>
  <c r="P25" i="33" s="1"/>
  <c r="M5" i="14"/>
  <c r="N2" i="14"/>
  <c r="T5" i="14"/>
  <c r="T2" i="14" s="1"/>
  <c r="I66" i="28"/>
  <c r="R5" i="14"/>
  <c r="R2" i="14" s="1"/>
  <c r="E67" i="28"/>
  <c r="M2" i="14"/>
  <c r="B54" i="28"/>
  <c r="B52" i="28"/>
  <c r="B50" i="28"/>
  <c r="B51" i="28"/>
  <c r="B53" i="28"/>
  <c r="B49" i="28"/>
  <c r="O13" i="16"/>
  <c r="J80" i="28"/>
  <c r="K17" i="16"/>
  <c r="R13" i="16"/>
  <c r="M80" i="28"/>
  <c r="J17" i="16"/>
  <c r="N17" i="16"/>
  <c r="L91" i="28"/>
  <c r="J91" i="28"/>
  <c r="L57" i="28"/>
  <c r="L50" i="28" l="1"/>
  <c r="D42" i="33"/>
  <c r="D48" i="33" s="1"/>
  <c r="C48" i="33"/>
  <c r="C59" i="33"/>
  <c r="D53" i="33"/>
  <c r="D59" i="33" s="1"/>
  <c r="S53" i="33"/>
  <c r="P59" i="33"/>
  <c r="Q53" i="33"/>
  <c r="S29" i="33"/>
  <c r="T29" i="33" s="1"/>
  <c r="Q29" i="33"/>
  <c r="S58" i="33"/>
  <c r="T58" i="33" s="1"/>
  <c r="Q58" i="33"/>
  <c r="P4" i="31"/>
  <c r="F53" i="28"/>
  <c r="F55" i="28" s="1"/>
  <c r="K56" i="28" s="1"/>
  <c r="H53" i="28"/>
  <c r="H55" i="28" s="1"/>
  <c r="L56" i="28" s="1"/>
  <c r="E66" i="28"/>
  <c r="L51" i="28"/>
  <c r="M51" i="28" s="1"/>
  <c r="L54" i="28"/>
  <c r="M54" i="28" s="1"/>
  <c r="L52" i="28"/>
  <c r="M52" i="28" s="1"/>
  <c r="M50" i="28"/>
  <c r="D55" i="28"/>
  <c r="J56" i="28" s="1"/>
  <c r="L49" i="28"/>
  <c r="B55" i="28"/>
  <c r="I56" i="28" s="1"/>
  <c r="I39" i="28" s="1"/>
  <c r="O4" i="31"/>
  <c r="J13" i="16"/>
  <c r="P17" i="16"/>
  <c r="E13" i="16"/>
  <c r="N13" i="16"/>
  <c r="N4" i="16" s="1"/>
  <c r="K13" i="16"/>
  <c r="Q17" i="16"/>
  <c r="L98" i="28"/>
  <c r="L97" i="28"/>
  <c r="L96" i="28"/>
  <c r="H104" i="28"/>
  <c r="G94" i="28"/>
  <c r="E108" i="28" l="1"/>
  <c r="M97" i="28"/>
  <c r="I103" i="28"/>
  <c r="D108" i="28"/>
  <c r="I102" i="28"/>
  <c r="M96" i="28"/>
  <c r="F108" i="28"/>
  <c r="I104" i="28"/>
  <c r="K104" i="28" s="1"/>
  <c r="F107" i="28" s="1"/>
  <c r="Q59" i="33"/>
  <c r="S59" i="33"/>
  <c r="T53" i="33"/>
  <c r="T59" i="33" s="1"/>
  <c r="L53" i="28"/>
  <c r="M53" i="28" s="1"/>
  <c r="R24" i="33"/>
  <c r="R25" i="33" s="1"/>
  <c r="O25" i="33"/>
  <c r="S24" i="33"/>
  <c r="Q24" i="33"/>
  <c r="Q25" i="33" s="1"/>
  <c r="S34" i="33"/>
  <c r="Q34" i="33"/>
  <c r="Q35" i="33" s="1"/>
  <c r="O35" i="33"/>
  <c r="R34" i="33"/>
  <c r="R35" i="33" s="1"/>
  <c r="M49" i="28"/>
  <c r="E96" i="28"/>
  <c r="J39" i="28"/>
  <c r="C96" i="28"/>
  <c r="D96" i="28"/>
  <c r="K39" i="28"/>
  <c r="L39" i="28" s="1"/>
  <c r="P13" i="16"/>
  <c r="P4" i="16" s="1"/>
  <c r="K80" i="28"/>
  <c r="Q13" i="16"/>
  <c r="Q4" i="16" s="1"/>
  <c r="L80" i="28"/>
  <c r="M98" i="28"/>
  <c r="I105" i="28" l="1"/>
  <c r="M55" i="28"/>
  <c r="L55" i="28"/>
  <c r="T34" i="33"/>
  <c r="T35" i="33" s="1"/>
  <c r="S35" i="33"/>
  <c r="T24" i="33"/>
  <c r="T25" i="33" s="1"/>
  <c r="S25" i="33"/>
  <c r="K68" i="28"/>
  <c r="I68" i="28"/>
  <c r="G68" i="28"/>
  <c r="E68" i="28"/>
  <c r="C68" i="28"/>
  <c r="K14" i="28"/>
  <c r="J14" i="28"/>
  <c r="I14" i="28"/>
  <c r="G14" i="28"/>
  <c r="E14" i="28"/>
  <c r="C14" i="28"/>
  <c r="M26" i="28" l="1"/>
  <c r="M41" i="28" s="1"/>
  <c r="F95" i="28"/>
  <c r="G96" i="28"/>
  <c r="E96" i="26" l="1"/>
  <c r="E83" i="26"/>
  <c r="E70" i="26"/>
  <c r="E56" i="26"/>
  <c r="E42" i="26"/>
  <c r="E28" i="26"/>
  <c r="E15" i="26"/>
  <c r="E28" i="25"/>
  <c r="E15" i="25"/>
  <c r="T7" i="11"/>
  <c r="AA7" i="11"/>
  <c r="Z7" i="11"/>
  <c r="Y7" i="11"/>
  <c r="AA6" i="11"/>
  <c r="Z6" i="11"/>
  <c r="Y6" i="11"/>
  <c r="G44" i="24"/>
  <c r="J79" i="24"/>
  <c r="I79" i="24"/>
  <c r="H79" i="24"/>
  <c r="G79" i="24"/>
  <c r="F79" i="24"/>
  <c r="J78" i="24"/>
  <c r="I78" i="24"/>
  <c r="H78" i="24"/>
  <c r="G78" i="24"/>
  <c r="F78" i="24"/>
  <c r="J77" i="24"/>
  <c r="I77" i="24"/>
  <c r="H77" i="24"/>
  <c r="G77" i="24"/>
  <c r="F77" i="24"/>
  <c r="J76" i="24"/>
  <c r="I76" i="24"/>
  <c r="H76" i="24"/>
  <c r="G76" i="24"/>
  <c r="F76" i="24"/>
  <c r="J75" i="24"/>
  <c r="I75" i="24"/>
  <c r="H75" i="24"/>
  <c r="G75" i="24"/>
  <c r="F75" i="24"/>
  <c r="J74" i="24"/>
  <c r="I74" i="24"/>
  <c r="H74" i="24"/>
  <c r="G74" i="24"/>
  <c r="F74" i="24"/>
  <c r="J73" i="24"/>
  <c r="I73" i="24"/>
  <c r="H73" i="24"/>
  <c r="G73" i="24"/>
  <c r="F73" i="24"/>
  <c r="J72" i="24"/>
  <c r="I72" i="24"/>
  <c r="H72" i="24"/>
  <c r="G72" i="24"/>
  <c r="F72" i="24"/>
  <c r="J71" i="24"/>
  <c r="I71" i="24"/>
  <c r="H71" i="24"/>
  <c r="G71" i="24"/>
  <c r="F71" i="24"/>
  <c r="J70" i="24"/>
  <c r="I70" i="24"/>
  <c r="H70" i="24"/>
  <c r="G70" i="24"/>
  <c r="F70" i="24"/>
  <c r="J69" i="24"/>
  <c r="I69" i="24"/>
  <c r="H69" i="24"/>
  <c r="G69" i="24"/>
  <c r="F69" i="24"/>
  <c r="J68" i="24"/>
  <c r="I68" i="24"/>
  <c r="H68" i="24"/>
  <c r="G68" i="24"/>
  <c r="F68" i="24"/>
  <c r="J67" i="24"/>
  <c r="I67" i="24"/>
  <c r="H67" i="24"/>
  <c r="G67" i="24"/>
  <c r="F67" i="24"/>
  <c r="J66" i="24"/>
  <c r="I66" i="24"/>
  <c r="H66" i="24"/>
  <c r="G66" i="24"/>
  <c r="F66" i="24"/>
  <c r="J65" i="24"/>
  <c r="I65" i="24"/>
  <c r="H65" i="24"/>
  <c r="G65" i="24"/>
  <c r="F65" i="24"/>
  <c r="J64" i="24"/>
  <c r="I64" i="24"/>
  <c r="H64" i="24"/>
  <c r="G64" i="24"/>
  <c r="F64" i="24"/>
  <c r="J63" i="24"/>
  <c r="I63" i="24"/>
  <c r="H63" i="24"/>
  <c r="G63" i="24"/>
  <c r="F63" i="24"/>
  <c r="J62" i="24"/>
  <c r="I62" i="24"/>
  <c r="H62" i="24"/>
  <c r="G62" i="24"/>
  <c r="F62" i="24"/>
  <c r="J61" i="24"/>
  <c r="I61" i="24"/>
  <c r="H61" i="24"/>
  <c r="G61" i="24"/>
  <c r="F61" i="24"/>
  <c r="J60" i="24"/>
  <c r="I60" i="24"/>
  <c r="H60" i="24"/>
  <c r="G60" i="24"/>
  <c r="F60" i="24"/>
  <c r="J59" i="24"/>
  <c r="I59" i="24"/>
  <c r="H59" i="24"/>
  <c r="G59" i="24"/>
  <c r="F59" i="24"/>
  <c r="J58" i="24"/>
  <c r="I58" i="24"/>
  <c r="H58" i="24"/>
  <c r="G58" i="24"/>
  <c r="F58" i="24"/>
  <c r="J57" i="24"/>
  <c r="I57" i="24"/>
  <c r="H57" i="24"/>
  <c r="G57" i="24"/>
  <c r="F57" i="24"/>
  <c r="J56" i="24"/>
  <c r="I56" i="24"/>
  <c r="H56" i="24"/>
  <c r="G56" i="24"/>
  <c r="F56" i="24"/>
  <c r="J55" i="24"/>
  <c r="I55" i="24"/>
  <c r="H55" i="24"/>
  <c r="G55" i="24"/>
  <c r="F55" i="24"/>
  <c r="J54" i="24"/>
  <c r="I54" i="24"/>
  <c r="H54" i="24"/>
  <c r="G54" i="24"/>
  <c r="F54" i="24"/>
  <c r="J53" i="24"/>
  <c r="I53" i="24"/>
  <c r="H53" i="24"/>
  <c r="G53" i="24"/>
  <c r="F53" i="24"/>
  <c r="J52" i="24"/>
  <c r="I52" i="24"/>
  <c r="H52" i="24"/>
  <c r="G52" i="24"/>
  <c r="F52" i="24"/>
  <c r="J51" i="24"/>
  <c r="I51" i="24"/>
  <c r="H51" i="24"/>
  <c r="G51" i="24"/>
  <c r="F51" i="24"/>
  <c r="J50" i="24"/>
  <c r="I50" i="24"/>
  <c r="H50" i="24"/>
  <c r="G50" i="24"/>
  <c r="F50" i="24"/>
  <c r="J49" i="24"/>
  <c r="I49" i="24"/>
  <c r="H49" i="24"/>
  <c r="G49" i="24"/>
  <c r="F49" i="24"/>
  <c r="J48" i="24"/>
  <c r="I48" i="24"/>
  <c r="H48" i="24"/>
  <c r="G48" i="24"/>
  <c r="F48" i="24"/>
  <c r="J47" i="24"/>
  <c r="I47" i="24"/>
  <c r="H47" i="24"/>
  <c r="G47" i="24"/>
  <c r="F47" i="24"/>
  <c r="J46" i="24"/>
  <c r="I46" i="24"/>
  <c r="H46" i="24"/>
  <c r="G46" i="24"/>
  <c r="F46" i="24"/>
  <c r="J45" i="24"/>
  <c r="I45" i="24"/>
  <c r="H45" i="24"/>
  <c r="G45" i="24"/>
  <c r="F45" i="24"/>
  <c r="I44" i="24"/>
  <c r="J43" i="24"/>
  <c r="I43" i="24"/>
  <c r="H43" i="24"/>
  <c r="G43" i="24"/>
  <c r="F43" i="24"/>
  <c r="J42" i="24"/>
  <c r="I42" i="24"/>
  <c r="H42" i="24"/>
  <c r="G42" i="24"/>
  <c r="F42" i="24"/>
  <c r="J41" i="24"/>
  <c r="I41" i="24"/>
  <c r="H41" i="24"/>
  <c r="G41" i="24"/>
  <c r="F41" i="24"/>
  <c r="I40" i="24"/>
  <c r="J39" i="24"/>
  <c r="I39" i="24"/>
  <c r="H39" i="24"/>
  <c r="G39" i="24"/>
  <c r="F39" i="24"/>
  <c r="I38" i="24"/>
  <c r="J37" i="24"/>
  <c r="I37" i="24"/>
  <c r="H37" i="24"/>
  <c r="G37" i="24"/>
  <c r="F37" i="24"/>
  <c r="J36" i="24"/>
  <c r="I36" i="24"/>
  <c r="H36" i="24"/>
  <c r="G36" i="24"/>
  <c r="F36" i="24"/>
  <c r="J35" i="24"/>
  <c r="I35" i="24"/>
  <c r="H35" i="24"/>
  <c r="G35" i="24"/>
  <c r="F35" i="24"/>
  <c r="J34" i="24"/>
  <c r="I34" i="24"/>
  <c r="H34" i="24"/>
  <c r="G34" i="24"/>
  <c r="F34" i="24"/>
  <c r="J33" i="24"/>
  <c r="I33" i="24"/>
  <c r="H33" i="24"/>
  <c r="G33" i="24"/>
  <c r="F33" i="24"/>
  <c r="J32" i="24"/>
  <c r="I32" i="24"/>
  <c r="H32" i="24"/>
  <c r="G32" i="24"/>
  <c r="F32" i="24"/>
  <c r="J31" i="24"/>
  <c r="I31" i="24"/>
  <c r="H31" i="24"/>
  <c r="G31" i="24"/>
  <c r="F31" i="24"/>
  <c r="J30" i="24"/>
  <c r="I30" i="24"/>
  <c r="H30" i="24"/>
  <c r="G30" i="24"/>
  <c r="F30" i="24"/>
  <c r="J29" i="24"/>
  <c r="I29" i="24"/>
  <c r="H29" i="24"/>
  <c r="G29" i="24"/>
  <c r="F29" i="24"/>
  <c r="J28" i="24"/>
  <c r="I28" i="24"/>
  <c r="H28" i="24"/>
  <c r="G28" i="24"/>
  <c r="F28" i="24"/>
  <c r="J27" i="24"/>
  <c r="I27" i="24"/>
  <c r="H27" i="24"/>
  <c r="G27" i="24"/>
  <c r="F27" i="24"/>
  <c r="I26" i="24"/>
  <c r="J25" i="24"/>
  <c r="I25" i="24"/>
  <c r="H25" i="24"/>
  <c r="G25" i="24"/>
  <c r="F25" i="24"/>
  <c r="J24" i="24"/>
  <c r="I24" i="24"/>
  <c r="H24" i="24"/>
  <c r="G24" i="24"/>
  <c r="F24" i="24"/>
  <c r="J23" i="24"/>
  <c r="I23" i="24"/>
  <c r="H23" i="24"/>
  <c r="G23" i="24"/>
  <c r="F23" i="24"/>
  <c r="J22" i="24"/>
  <c r="I22" i="24"/>
  <c r="H22" i="24"/>
  <c r="G22" i="24"/>
  <c r="F22" i="24"/>
  <c r="I10" i="24"/>
  <c r="J193" i="17"/>
  <c r="I193" i="17"/>
  <c r="H193" i="17"/>
  <c r="G193" i="17"/>
  <c r="F193" i="17"/>
  <c r="E193" i="17"/>
  <c r="D193" i="17"/>
  <c r="J192" i="17"/>
  <c r="F192" i="17"/>
  <c r="D192" i="17"/>
  <c r="J191" i="17"/>
  <c r="I191" i="17"/>
  <c r="H191" i="17"/>
  <c r="G191" i="17"/>
  <c r="F191" i="17"/>
  <c r="E191" i="17"/>
  <c r="D191" i="17"/>
  <c r="J190" i="17"/>
  <c r="I190" i="17"/>
  <c r="H190" i="17"/>
  <c r="G190" i="17"/>
  <c r="F190" i="17"/>
  <c r="E190" i="17"/>
  <c r="D190" i="17"/>
  <c r="J189" i="17"/>
  <c r="I189" i="17"/>
  <c r="H189" i="17"/>
  <c r="G189" i="17"/>
  <c r="F189" i="17"/>
  <c r="E189" i="17"/>
  <c r="D189" i="17"/>
  <c r="J188" i="17"/>
  <c r="I188" i="17"/>
  <c r="H188" i="17"/>
  <c r="G188" i="17"/>
  <c r="F188" i="17"/>
  <c r="E188" i="17"/>
  <c r="D188" i="17"/>
  <c r="J187" i="17"/>
  <c r="I187" i="17"/>
  <c r="H187" i="17"/>
  <c r="G187" i="17"/>
  <c r="F187" i="17"/>
  <c r="E187" i="17"/>
  <c r="D187" i="17"/>
  <c r="J186" i="17"/>
  <c r="I186" i="17"/>
  <c r="H186" i="17"/>
  <c r="G186" i="17"/>
  <c r="F186" i="17"/>
  <c r="E186" i="17"/>
  <c r="D186" i="17"/>
  <c r="J185" i="17"/>
  <c r="I185" i="17"/>
  <c r="H185" i="17"/>
  <c r="G185" i="17"/>
  <c r="F185" i="17"/>
  <c r="E185" i="17"/>
  <c r="D185" i="17"/>
  <c r="J184" i="17"/>
  <c r="I184" i="17"/>
  <c r="H184" i="17"/>
  <c r="G184" i="17"/>
  <c r="F184" i="17"/>
  <c r="E184" i="17"/>
  <c r="D184" i="17"/>
  <c r="J183" i="17"/>
  <c r="I183" i="17"/>
  <c r="H183" i="17"/>
  <c r="G183" i="17"/>
  <c r="F183" i="17"/>
  <c r="E183" i="17"/>
  <c r="D183" i="17"/>
  <c r="J182" i="17"/>
  <c r="I182" i="17"/>
  <c r="H182" i="17"/>
  <c r="G182" i="17"/>
  <c r="F182" i="17"/>
  <c r="E182" i="17"/>
  <c r="D182" i="17"/>
  <c r="J181" i="17"/>
  <c r="I181" i="17"/>
  <c r="H181" i="17"/>
  <c r="G181" i="17"/>
  <c r="F181" i="17"/>
  <c r="E181" i="17"/>
  <c r="D181" i="17"/>
  <c r="J180" i="17"/>
  <c r="I180" i="17"/>
  <c r="H180" i="17"/>
  <c r="G180" i="17"/>
  <c r="F180" i="17"/>
  <c r="E180" i="17"/>
  <c r="D180" i="17"/>
  <c r="J179" i="17"/>
  <c r="I179" i="17"/>
  <c r="H179" i="17"/>
  <c r="G179" i="17"/>
  <c r="F179" i="17"/>
  <c r="E179" i="17"/>
  <c r="D179" i="17"/>
  <c r="J178" i="17"/>
  <c r="I178" i="17"/>
  <c r="H178" i="17"/>
  <c r="G178" i="17"/>
  <c r="F178" i="17"/>
  <c r="E178" i="17"/>
  <c r="D178" i="17"/>
  <c r="J177" i="17"/>
  <c r="I177" i="17"/>
  <c r="H177" i="17"/>
  <c r="G177" i="17"/>
  <c r="F177" i="17"/>
  <c r="E177" i="17"/>
  <c r="D177" i="17"/>
  <c r="J176" i="17"/>
  <c r="I176" i="17"/>
  <c r="H176" i="17"/>
  <c r="G176" i="17"/>
  <c r="F176" i="17"/>
  <c r="E176" i="17"/>
  <c r="D176" i="17"/>
  <c r="J175" i="17"/>
  <c r="I175" i="17"/>
  <c r="H175" i="17"/>
  <c r="G175" i="17"/>
  <c r="F175" i="17"/>
  <c r="E175" i="17"/>
  <c r="D175" i="17"/>
  <c r="J174" i="17"/>
  <c r="I174" i="17"/>
  <c r="H174" i="17"/>
  <c r="G174" i="17"/>
  <c r="F174" i="17"/>
  <c r="E174" i="17"/>
  <c r="D174" i="17"/>
  <c r="J173" i="17"/>
  <c r="I173" i="17"/>
  <c r="H173" i="17"/>
  <c r="G173" i="17"/>
  <c r="F173" i="17"/>
  <c r="E173" i="17"/>
  <c r="D173" i="17"/>
  <c r="J172" i="17"/>
  <c r="I172" i="17"/>
  <c r="H172" i="17"/>
  <c r="G172" i="17"/>
  <c r="F172" i="17"/>
  <c r="E172" i="17"/>
  <c r="D172" i="17"/>
  <c r="J171" i="17"/>
  <c r="I171" i="17"/>
  <c r="H171" i="17"/>
  <c r="G171" i="17"/>
  <c r="F171" i="17"/>
  <c r="E171" i="17"/>
  <c r="D171" i="17"/>
  <c r="J170" i="17"/>
  <c r="I170" i="17"/>
  <c r="H170" i="17"/>
  <c r="G170" i="17"/>
  <c r="F170" i="17"/>
  <c r="E170" i="17"/>
  <c r="D170" i="17"/>
  <c r="J169" i="17"/>
  <c r="I169" i="17"/>
  <c r="H169" i="17"/>
  <c r="G169" i="17"/>
  <c r="F169" i="17"/>
  <c r="E169" i="17"/>
  <c r="D169" i="17"/>
  <c r="J168" i="17"/>
  <c r="I168" i="17"/>
  <c r="H168" i="17"/>
  <c r="G168" i="17"/>
  <c r="F168" i="17"/>
  <c r="E168" i="17"/>
  <c r="D168" i="17"/>
  <c r="J167" i="17"/>
  <c r="I167" i="17"/>
  <c r="H167" i="17"/>
  <c r="G167" i="17"/>
  <c r="F167" i="17"/>
  <c r="E167" i="17"/>
  <c r="D167" i="17"/>
  <c r="J166" i="17"/>
  <c r="I166" i="17"/>
  <c r="H166" i="17"/>
  <c r="G166" i="17"/>
  <c r="F166" i="17"/>
  <c r="E166" i="17"/>
  <c r="D166" i="17"/>
  <c r="J165" i="17"/>
  <c r="I165" i="17"/>
  <c r="H165" i="17"/>
  <c r="G165" i="17"/>
  <c r="F165" i="17"/>
  <c r="E165" i="17"/>
  <c r="D165" i="17"/>
  <c r="J164" i="17"/>
  <c r="I164" i="17"/>
  <c r="H164" i="17"/>
  <c r="G164" i="17"/>
  <c r="F164" i="17"/>
  <c r="E164" i="17"/>
  <c r="D164" i="17"/>
  <c r="J163" i="17"/>
  <c r="I163" i="17"/>
  <c r="H163" i="17"/>
  <c r="G163" i="17"/>
  <c r="F163" i="17"/>
  <c r="E163" i="17"/>
  <c r="D163" i="17"/>
  <c r="J162" i="17"/>
  <c r="I162" i="17"/>
  <c r="H162" i="17"/>
  <c r="G162" i="17"/>
  <c r="F162" i="17"/>
  <c r="E162" i="17"/>
  <c r="D162" i="17"/>
  <c r="J161" i="17"/>
  <c r="I161" i="17"/>
  <c r="H161" i="17"/>
  <c r="G161" i="17"/>
  <c r="F161" i="17"/>
  <c r="E161" i="17"/>
  <c r="D161" i="17"/>
  <c r="J160" i="17"/>
  <c r="I160" i="17"/>
  <c r="H160" i="17"/>
  <c r="G160" i="17"/>
  <c r="F160" i="17"/>
  <c r="E160" i="17"/>
  <c r="D160" i="17"/>
  <c r="J159" i="17"/>
  <c r="I159" i="17"/>
  <c r="H159" i="17"/>
  <c r="G159" i="17"/>
  <c r="F159" i="17"/>
  <c r="E159" i="17"/>
  <c r="D159" i="17"/>
  <c r="J158" i="17"/>
  <c r="I158" i="17"/>
  <c r="H158" i="17"/>
  <c r="G158" i="17"/>
  <c r="F158" i="17"/>
  <c r="E158" i="17"/>
  <c r="D158" i="17"/>
  <c r="J157" i="17"/>
  <c r="I157" i="17"/>
  <c r="H157" i="17"/>
  <c r="G157" i="17"/>
  <c r="F157" i="17"/>
  <c r="E157" i="17"/>
  <c r="D157" i="17"/>
  <c r="J156" i="17"/>
  <c r="I156" i="17"/>
  <c r="H156" i="17"/>
  <c r="G156" i="17"/>
  <c r="F156" i="17"/>
  <c r="E156" i="17"/>
  <c r="D156" i="17"/>
  <c r="J155" i="17"/>
  <c r="I155" i="17"/>
  <c r="H155" i="17"/>
  <c r="G155" i="17"/>
  <c r="F155" i="17"/>
  <c r="E155" i="17"/>
  <c r="D155" i="17"/>
  <c r="J154" i="17"/>
  <c r="I154" i="17"/>
  <c r="H154" i="17"/>
  <c r="G154" i="17"/>
  <c r="F154" i="17"/>
  <c r="E154" i="17"/>
  <c r="D154" i="17"/>
  <c r="J153" i="17"/>
  <c r="I153" i="17"/>
  <c r="H153" i="17"/>
  <c r="G153" i="17"/>
  <c r="F153" i="17"/>
  <c r="E153" i="17"/>
  <c r="D153" i="17"/>
  <c r="J152" i="17"/>
  <c r="I152" i="17"/>
  <c r="H152" i="17"/>
  <c r="G152" i="17"/>
  <c r="F152" i="17"/>
  <c r="E152" i="17"/>
  <c r="D152" i="17"/>
  <c r="J151" i="17"/>
  <c r="I151" i="17"/>
  <c r="H151" i="17"/>
  <c r="G151" i="17"/>
  <c r="F151" i="17"/>
  <c r="E151" i="17"/>
  <c r="D151" i="17"/>
  <c r="J150" i="17"/>
  <c r="I150" i="17"/>
  <c r="H150" i="17"/>
  <c r="G150" i="17"/>
  <c r="F150" i="17"/>
  <c r="E150" i="17"/>
  <c r="D150" i="17"/>
  <c r="J149" i="17"/>
  <c r="I149" i="17"/>
  <c r="H149" i="17"/>
  <c r="G149" i="17"/>
  <c r="F149" i="17"/>
  <c r="E149" i="17"/>
  <c r="D149" i="17"/>
  <c r="J148" i="17"/>
  <c r="I148" i="17"/>
  <c r="H148" i="17"/>
  <c r="G148" i="17"/>
  <c r="F148" i="17"/>
  <c r="E148" i="17"/>
  <c r="D148" i="17"/>
  <c r="J147" i="17"/>
  <c r="I147" i="17"/>
  <c r="H147" i="17"/>
  <c r="G147" i="17"/>
  <c r="F147" i="17"/>
  <c r="E147" i="17"/>
  <c r="D147" i="17"/>
  <c r="J146" i="17"/>
  <c r="I146" i="17"/>
  <c r="H146" i="17"/>
  <c r="G146" i="17"/>
  <c r="F146" i="17"/>
  <c r="E146" i="17"/>
  <c r="D146" i="17"/>
  <c r="J145" i="17"/>
  <c r="I145" i="17"/>
  <c r="H145" i="17"/>
  <c r="G145" i="17"/>
  <c r="F145" i="17"/>
  <c r="E145" i="17"/>
  <c r="D145" i="17"/>
  <c r="J144" i="17"/>
  <c r="I144" i="17"/>
  <c r="H144" i="17"/>
  <c r="G144" i="17"/>
  <c r="F144" i="17"/>
  <c r="E144" i="17"/>
  <c r="D144" i="17"/>
  <c r="J143" i="17"/>
  <c r="I143" i="17"/>
  <c r="H143" i="17"/>
  <c r="G143" i="17"/>
  <c r="F143" i="17"/>
  <c r="E143" i="17"/>
  <c r="D143" i="17"/>
  <c r="J142" i="17"/>
  <c r="I142" i="17"/>
  <c r="H142" i="17"/>
  <c r="G142" i="17"/>
  <c r="F142" i="17"/>
  <c r="E142" i="17"/>
  <c r="D142" i="17"/>
  <c r="J141" i="17"/>
  <c r="I141" i="17"/>
  <c r="H141" i="17"/>
  <c r="G141" i="17"/>
  <c r="F141" i="17"/>
  <c r="E141" i="17"/>
  <c r="D141" i="17"/>
  <c r="J140" i="17"/>
  <c r="I140" i="17"/>
  <c r="H140" i="17"/>
  <c r="G140" i="17"/>
  <c r="F140" i="17"/>
  <c r="E140" i="17"/>
  <c r="D140" i="17"/>
  <c r="J139" i="17"/>
  <c r="I139" i="17"/>
  <c r="H139" i="17"/>
  <c r="G139" i="17"/>
  <c r="F139" i="17"/>
  <c r="E139" i="17"/>
  <c r="D139" i="17"/>
  <c r="J138" i="17"/>
  <c r="I138" i="17"/>
  <c r="H138" i="17"/>
  <c r="G138" i="17"/>
  <c r="F138" i="17"/>
  <c r="E138" i="17"/>
  <c r="D138" i="17"/>
  <c r="J137" i="17"/>
  <c r="I137" i="17"/>
  <c r="H137" i="17"/>
  <c r="G137" i="17"/>
  <c r="F137" i="17"/>
  <c r="E137" i="17"/>
  <c r="D137" i="17"/>
  <c r="J136" i="17"/>
  <c r="I136" i="17"/>
  <c r="H136" i="17"/>
  <c r="G136" i="17"/>
  <c r="F136" i="17"/>
  <c r="E136" i="17"/>
  <c r="D136" i="17"/>
  <c r="J135" i="17"/>
  <c r="I135" i="17"/>
  <c r="H135" i="17"/>
  <c r="G135" i="17"/>
  <c r="F135" i="17"/>
  <c r="E135" i="17"/>
  <c r="D135" i="17"/>
  <c r="J134" i="17"/>
  <c r="I134" i="17"/>
  <c r="H134" i="17"/>
  <c r="G134" i="17"/>
  <c r="F134" i="17"/>
  <c r="E134" i="17"/>
  <c r="D134" i="17"/>
  <c r="J133" i="17"/>
  <c r="I133" i="17"/>
  <c r="H133" i="17"/>
  <c r="G133" i="17"/>
  <c r="F133" i="17"/>
  <c r="E133" i="17"/>
  <c r="D133" i="17"/>
  <c r="J132" i="17"/>
  <c r="I132" i="17"/>
  <c r="H132" i="17"/>
  <c r="G132" i="17"/>
  <c r="F132" i="17"/>
  <c r="E132" i="17"/>
  <c r="D132" i="17"/>
  <c r="J131" i="17"/>
  <c r="I131" i="17"/>
  <c r="H131" i="17"/>
  <c r="G131" i="17"/>
  <c r="F131" i="17"/>
  <c r="E131" i="17"/>
  <c r="D131" i="17"/>
  <c r="J130" i="17"/>
  <c r="I130" i="17"/>
  <c r="H130" i="17"/>
  <c r="G130" i="17"/>
  <c r="F130" i="17"/>
  <c r="E130" i="17"/>
  <c r="D130" i="17"/>
  <c r="J129" i="17"/>
  <c r="I129" i="17"/>
  <c r="H129" i="17"/>
  <c r="G129" i="17"/>
  <c r="F129" i="17"/>
  <c r="E129" i="17"/>
  <c r="D129" i="17"/>
  <c r="J128" i="17"/>
  <c r="I128" i="17"/>
  <c r="H128" i="17"/>
  <c r="G128" i="17"/>
  <c r="F128" i="17"/>
  <c r="E128" i="17"/>
  <c r="D128" i="17"/>
  <c r="J127" i="17"/>
  <c r="I127" i="17"/>
  <c r="H127" i="17"/>
  <c r="G127" i="17"/>
  <c r="F127" i="17"/>
  <c r="E127" i="17"/>
  <c r="D127" i="17"/>
  <c r="J126" i="17"/>
  <c r="I126" i="17"/>
  <c r="H126" i="17"/>
  <c r="G126" i="17"/>
  <c r="F126" i="17"/>
  <c r="E126" i="17"/>
  <c r="D126" i="17"/>
  <c r="J125" i="17"/>
  <c r="I125" i="17"/>
  <c r="H125" i="17"/>
  <c r="G125" i="17"/>
  <c r="F125" i="17"/>
  <c r="E125" i="17"/>
  <c r="D125" i="17"/>
  <c r="J124" i="17"/>
  <c r="I124" i="17"/>
  <c r="H124" i="17"/>
  <c r="G124" i="17"/>
  <c r="F124" i="17"/>
  <c r="E124" i="17"/>
  <c r="D124" i="17"/>
  <c r="J123" i="17"/>
  <c r="I123" i="17"/>
  <c r="H123" i="17"/>
  <c r="G123" i="17"/>
  <c r="F123" i="17"/>
  <c r="E123" i="17"/>
  <c r="D123" i="17"/>
  <c r="J122" i="17"/>
  <c r="I122" i="17"/>
  <c r="H122" i="17"/>
  <c r="G122" i="17"/>
  <c r="F122" i="17"/>
  <c r="E122" i="17"/>
  <c r="D122" i="17"/>
  <c r="J121" i="17"/>
  <c r="I121" i="17"/>
  <c r="H121" i="17"/>
  <c r="G121" i="17"/>
  <c r="F121" i="17"/>
  <c r="E121" i="17"/>
  <c r="D121" i="17"/>
  <c r="J120" i="17"/>
  <c r="I120" i="17"/>
  <c r="H120" i="17"/>
  <c r="G120" i="17"/>
  <c r="F120" i="17"/>
  <c r="E120" i="17"/>
  <c r="D120" i="17"/>
  <c r="J119" i="17"/>
  <c r="I119" i="17"/>
  <c r="H119" i="17"/>
  <c r="G119" i="17"/>
  <c r="F119" i="17"/>
  <c r="E119" i="17"/>
  <c r="D119" i="17"/>
  <c r="J118" i="17"/>
  <c r="I118" i="17"/>
  <c r="H118" i="17"/>
  <c r="G118" i="17"/>
  <c r="F118" i="17"/>
  <c r="E118" i="17"/>
  <c r="D118" i="17"/>
  <c r="J117" i="17"/>
  <c r="I117" i="17"/>
  <c r="H117" i="17"/>
  <c r="G117" i="17"/>
  <c r="F117" i="17"/>
  <c r="E117" i="17"/>
  <c r="D117" i="17"/>
  <c r="J116" i="17"/>
  <c r="I116" i="17"/>
  <c r="H116" i="17"/>
  <c r="G116" i="17"/>
  <c r="F116" i="17"/>
  <c r="E116" i="17"/>
  <c r="D116" i="17"/>
  <c r="J115" i="17"/>
  <c r="I115" i="17"/>
  <c r="H115" i="17"/>
  <c r="G115" i="17"/>
  <c r="F115" i="17"/>
  <c r="E115" i="17"/>
  <c r="D115" i="17"/>
  <c r="J114" i="17"/>
  <c r="I114" i="17"/>
  <c r="H114" i="17"/>
  <c r="G114" i="17"/>
  <c r="F114" i="17"/>
  <c r="E114" i="17"/>
  <c r="D114" i="17"/>
  <c r="J113" i="17"/>
  <c r="I113" i="17"/>
  <c r="H113" i="17"/>
  <c r="G113" i="17"/>
  <c r="F113" i="17"/>
  <c r="E113" i="17"/>
  <c r="D113" i="17"/>
  <c r="J112" i="17"/>
  <c r="I112" i="17"/>
  <c r="H112" i="17"/>
  <c r="G112" i="17"/>
  <c r="F112" i="17"/>
  <c r="E112" i="17"/>
  <c r="D112" i="17"/>
  <c r="J111" i="17"/>
  <c r="I111" i="17"/>
  <c r="H111" i="17"/>
  <c r="G111" i="17"/>
  <c r="F111" i="17"/>
  <c r="E111" i="17"/>
  <c r="D111" i="17"/>
  <c r="J110" i="17"/>
  <c r="I110" i="17"/>
  <c r="H110" i="17"/>
  <c r="G110" i="17"/>
  <c r="F110" i="17"/>
  <c r="E110" i="17"/>
  <c r="D110" i="17"/>
  <c r="J109" i="17"/>
  <c r="I109" i="17"/>
  <c r="H109" i="17"/>
  <c r="G109" i="17"/>
  <c r="F109" i="17"/>
  <c r="E109" i="17"/>
  <c r="D109" i="17"/>
  <c r="J108" i="17"/>
  <c r="I108" i="17"/>
  <c r="H108" i="17"/>
  <c r="G108" i="17"/>
  <c r="F108" i="17"/>
  <c r="E108" i="17"/>
  <c r="D108" i="17"/>
  <c r="J107" i="17"/>
  <c r="I107" i="17"/>
  <c r="H107" i="17"/>
  <c r="G107" i="17"/>
  <c r="F107" i="17"/>
  <c r="E107" i="17"/>
  <c r="D107" i="17"/>
  <c r="J106" i="17"/>
  <c r="I106" i="17"/>
  <c r="H106" i="17"/>
  <c r="G106" i="17"/>
  <c r="F106" i="17"/>
  <c r="E106" i="17"/>
  <c r="D106" i="17"/>
  <c r="J105" i="17"/>
  <c r="I105" i="17"/>
  <c r="H105" i="17"/>
  <c r="G105" i="17"/>
  <c r="F105" i="17"/>
  <c r="E105" i="17"/>
  <c r="D105" i="17"/>
  <c r="J104" i="17"/>
  <c r="I104" i="17"/>
  <c r="H104" i="17"/>
  <c r="G104" i="17"/>
  <c r="F104" i="17"/>
  <c r="E104" i="17"/>
  <c r="D104" i="17"/>
  <c r="J103" i="17"/>
  <c r="I103" i="17"/>
  <c r="H103" i="17"/>
  <c r="G103" i="17"/>
  <c r="F103" i="17"/>
  <c r="E103" i="17"/>
  <c r="D103" i="17"/>
  <c r="J102" i="17"/>
  <c r="I102" i="17"/>
  <c r="H102" i="17"/>
  <c r="G102" i="17"/>
  <c r="F102" i="17"/>
  <c r="E102" i="17"/>
  <c r="D102" i="17"/>
  <c r="J101" i="17"/>
  <c r="I101" i="17"/>
  <c r="H101" i="17"/>
  <c r="G101" i="17"/>
  <c r="F101" i="17"/>
  <c r="E101" i="17"/>
  <c r="D101" i="17"/>
  <c r="J100" i="17"/>
  <c r="I100" i="17"/>
  <c r="H100" i="17"/>
  <c r="G100" i="17"/>
  <c r="F100" i="17"/>
  <c r="E100" i="17"/>
  <c r="D100" i="17"/>
  <c r="J99" i="17"/>
  <c r="I99" i="17"/>
  <c r="H99" i="17"/>
  <c r="G99" i="17"/>
  <c r="F99" i="17"/>
  <c r="E99" i="17"/>
  <c r="D99" i="17"/>
  <c r="J98" i="17"/>
  <c r="I98" i="17"/>
  <c r="H98" i="17"/>
  <c r="G98" i="17"/>
  <c r="F98" i="17"/>
  <c r="E98" i="17"/>
  <c r="D98" i="17"/>
  <c r="J97" i="17"/>
  <c r="I97" i="17"/>
  <c r="H97" i="17"/>
  <c r="G97" i="17"/>
  <c r="F97" i="17"/>
  <c r="E97" i="17"/>
  <c r="D97" i="17"/>
  <c r="J96" i="17"/>
  <c r="I96" i="17"/>
  <c r="H96" i="17"/>
  <c r="G96" i="17"/>
  <c r="F96" i="17"/>
  <c r="E96" i="17"/>
  <c r="D96" i="17"/>
  <c r="J95" i="17"/>
  <c r="I95" i="17"/>
  <c r="H95" i="17"/>
  <c r="G95" i="17"/>
  <c r="F95" i="17"/>
  <c r="E95" i="17"/>
  <c r="D95" i="17"/>
  <c r="J94" i="17"/>
  <c r="I94" i="17"/>
  <c r="H94" i="17"/>
  <c r="G94" i="17"/>
  <c r="F94" i="17"/>
  <c r="E94" i="17"/>
  <c r="D94" i="17"/>
  <c r="J93" i="17"/>
  <c r="I93" i="17"/>
  <c r="H93" i="17"/>
  <c r="G93" i="17"/>
  <c r="F93" i="17"/>
  <c r="E93" i="17"/>
  <c r="D93" i="17"/>
  <c r="J92" i="17"/>
  <c r="I92" i="17"/>
  <c r="H92" i="17"/>
  <c r="G92" i="17"/>
  <c r="F92" i="17"/>
  <c r="E92" i="17"/>
  <c r="D92" i="17"/>
  <c r="J91" i="17"/>
  <c r="I91" i="17"/>
  <c r="H91" i="17"/>
  <c r="G91" i="17"/>
  <c r="F91" i="17"/>
  <c r="E91" i="17"/>
  <c r="D91" i="17"/>
  <c r="J90" i="17"/>
  <c r="I90" i="17"/>
  <c r="H90" i="17"/>
  <c r="G90" i="17"/>
  <c r="F90" i="17"/>
  <c r="E90" i="17"/>
  <c r="D90" i="17"/>
  <c r="J89" i="17"/>
  <c r="I89" i="17"/>
  <c r="H89" i="17"/>
  <c r="G89" i="17"/>
  <c r="F89" i="17"/>
  <c r="E89" i="17"/>
  <c r="D89" i="17"/>
  <c r="J88" i="17"/>
  <c r="I88" i="17"/>
  <c r="H88" i="17"/>
  <c r="G88" i="17"/>
  <c r="F88" i="17"/>
  <c r="E88" i="17"/>
  <c r="D88" i="17"/>
  <c r="J87" i="17"/>
  <c r="I87" i="17"/>
  <c r="H87" i="17"/>
  <c r="G87" i="17"/>
  <c r="F87" i="17"/>
  <c r="E87" i="17"/>
  <c r="D87" i="17"/>
  <c r="J86" i="17"/>
  <c r="I86" i="17"/>
  <c r="H86" i="17"/>
  <c r="G86" i="17"/>
  <c r="F86" i="17"/>
  <c r="E86" i="17"/>
  <c r="D86" i="17"/>
  <c r="J85" i="17"/>
  <c r="I85" i="17"/>
  <c r="H85" i="17"/>
  <c r="G85" i="17"/>
  <c r="F85" i="17"/>
  <c r="E85" i="17"/>
  <c r="D85" i="17"/>
  <c r="J84" i="17"/>
  <c r="I84" i="17"/>
  <c r="H84" i="17"/>
  <c r="G84" i="17"/>
  <c r="F84" i="17"/>
  <c r="E84" i="17"/>
  <c r="D84" i="17"/>
  <c r="J83" i="17"/>
  <c r="I83" i="17"/>
  <c r="H83" i="17"/>
  <c r="G83" i="17"/>
  <c r="F83" i="17"/>
  <c r="E83" i="17"/>
  <c r="D83" i="17"/>
  <c r="J82" i="17"/>
  <c r="I82" i="17"/>
  <c r="H82" i="17"/>
  <c r="G82" i="17"/>
  <c r="F82" i="17"/>
  <c r="E82" i="17"/>
  <c r="D82" i="17"/>
  <c r="J81" i="17"/>
  <c r="I81" i="17"/>
  <c r="H81" i="17"/>
  <c r="G81" i="17"/>
  <c r="F81" i="17"/>
  <c r="E81" i="17"/>
  <c r="D81" i="17"/>
  <c r="J80" i="17"/>
  <c r="I80" i="17"/>
  <c r="H80" i="17"/>
  <c r="G80" i="17"/>
  <c r="F80" i="17"/>
  <c r="E80" i="17"/>
  <c r="D80" i="17"/>
  <c r="J79" i="17"/>
  <c r="I79" i="17"/>
  <c r="H79" i="17"/>
  <c r="G79" i="17"/>
  <c r="F79" i="17"/>
  <c r="E79" i="17"/>
  <c r="D79" i="17"/>
  <c r="J78" i="17"/>
  <c r="I78" i="17"/>
  <c r="H78" i="17"/>
  <c r="G78" i="17"/>
  <c r="F78" i="17"/>
  <c r="E78" i="17"/>
  <c r="D78" i="17"/>
  <c r="J77" i="17"/>
  <c r="I77" i="17"/>
  <c r="H77" i="17"/>
  <c r="G77" i="17"/>
  <c r="F77" i="17"/>
  <c r="E77" i="17"/>
  <c r="D77" i="17"/>
  <c r="J76" i="17"/>
  <c r="I76" i="17"/>
  <c r="H76" i="17"/>
  <c r="G76" i="17"/>
  <c r="F76" i="17"/>
  <c r="E76" i="17"/>
  <c r="D76" i="17"/>
  <c r="J75" i="17"/>
  <c r="I75" i="17"/>
  <c r="H75" i="17"/>
  <c r="G75" i="17"/>
  <c r="F75" i="17"/>
  <c r="E75" i="17"/>
  <c r="D75" i="17"/>
  <c r="J74" i="17"/>
  <c r="I74" i="17"/>
  <c r="H74" i="17"/>
  <c r="G74" i="17"/>
  <c r="F74" i="17"/>
  <c r="E74" i="17"/>
  <c r="D74" i="17"/>
  <c r="J73" i="17"/>
  <c r="I73" i="17"/>
  <c r="H73" i="17"/>
  <c r="G73" i="17"/>
  <c r="F73" i="17"/>
  <c r="E73" i="17"/>
  <c r="D73" i="17"/>
  <c r="J72" i="17"/>
  <c r="I72" i="17"/>
  <c r="H72" i="17"/>
  <c r="G72" i="17"/>
  <c r="F72" i="17"/>
  <c r="E72" i="17"/>
  <c r="D72" i="17"/>
  <c r="J71" i="17"/>
  <c r="I71" i="17"/>
  <c r="H71" i="17"/>
  <c r="G71" i="17"/>
  <c r="F71" i="17"/>
  <c r="E71" i="17"/>
  <c r="D71" i="17"/>
  <c r="J70" i="17"/>
  <c r="I70" i="17"/>
  <c r="H70" i="17"/>
  <c r="G70" i="17"/>
  <c r="F70" i="17"/>
  <c r="E70" i="17"/>
  <c r="D70" i="17"/>
  <c r="J69" i="17"/>
  <c r="I69" i="17"/>
  <c r="H69" i="17"/>
  <c r="G69" i="17"/>
  <c r="F69" i="17"/>
  <c r="E69" i="17"/>
  <c r="D69" i="17"/>
  <c r="J68" i="17"/>
  <c r="I68" i="17"/>
  <c r="H68" i="17"/>
  <c r="G68" i="17"/>
  <c r="F68" i="17"/>
  <c r="E68" i="17"/>
  <c r="D68" i="17"/>
  <c r="J67" i="17"/>
  <c r="I67" i="17"/>
  <c r="H67" i="17"/>
  <c r="G67" i="17"/>
  <c r="F67" i="17"/>
  <c r="E67" i="17"/>
  <c r="D67" i="17"/>
  <c r="J66" i="17"/>
  <c r="I66" i="17"/>
  <c r="H66" i="17"/>
  <c r="G66" i="17"/>
  <c r="F66" i="17"/>
  <c r="E66" i="17"/>
  <c r="D66" i="17"/>
  <c r="J65" i="17"/>
  <c r="I65" i="17"/>
  <c r="H65" i="17"/>
  <c r="G65" i="17"/>
  <c r="F65" i="17"/>
  <c r="E65" i="17"/>
  <c r="D65" i="17"/>
  <c r="J64" i="17"/>
  <c r="I64" i="17"/>
  <c r="H64" i="17"/>
  <c r="G64" i="17"/>
  <c r="F64" i="17"/>
  <c r="E64" i="17"/>
  <c r="D64" i="17"/>
  <c r="J63" i="17"/>
  <c r="F63" i="17"/>
  <c r="D63" i="17"/>
  <c r="J62" i="17"/>
  <c r="I62" i="17"/>
  <c r="H62" i="17"/>
  <c r="G62" i="17"/>
  <c r="F62" i="17"/>
  <c r="E62" i="17"/>
  <c r="D62" i="17"/>
  <c r="J61" i="17"/>
  <c r="I61" i="17"/>
  <c r="H61" i="17"/>
  <c r="G61" i="17"/>
  <c r="F61" i="17"/>
  <c r="E61" i="17"/>
  <c r="D61" i="17"/>
  <c r="J60" i="17"/>
  <c r="I60" i="17"/>
  <c r="H60" i="17"/>
  <c r="G60" i="17"/>
  <c r="F60" i="17"/>
  <c r="E60" i="17"/>
  <c r="D60" i="17"/>
  <c r="J59" i="17"/>
  <c r="I59" i="17"/>
  <c r="H59" i="17"/>
  <c r="G59" i="17"/>
  <c r="F59" i="17"/>
  <c r="E59" i="17"/>
  <c r="D59" i="17"/>
  <c r="J58" i="17"/>
  <c r="I58" i="17"/>
  <c r="H58" i="17"/>
  <c r="G58" i="17"/>
  <c r="F58" i="17"/>
  <c r="E58" i="17"/>
  <c r="D58" i="17"/>
  <c r="J57" i="17"/>
  <c r="I57" i="17"/>
  <c r="H57" i="17"/>
  <c r="G57" i="17"/>
  <c r="F57" i="17"/>
  <c r="E57" i="17"/>
  <c r="D57" i="17"/>
  <c r="J56" i="17"/>
  <c r="I56" i="17"/>
  <c r="H56" i="17"/>
  <c r="G56" i="17"/>
  <c r="F56" i="17"/>
  <c r="E56" i="17"/>
  <c r="D56" i="17"/>
  <c r="J55" i="17"/>
  <c r="I55" i="17"/>
  <c r="H55" i="17"/>
  <c r="G55" i="17"/>
  <c r="F55" i="17"/>
  <c r="E55" i="17"/>
  <c r="D55" i="17"/>
  <c r="J54" i="17"/>
  <c r="I54" i="17"/>
  <c r="H54" i="17"/>
  <c r="G54" i="17"/>
  <c r="F54" i="17"/>
  <c r="E54" i="17"/>
  <c r="D54" i="17"/>
  <c r="J53" i="17"/>
  <c r="I53" i="17"/>
  <c r="H53" i="17"/>
  <c r="G53" i="17"/>
  <c r="F53" i="17"/>
  <c r="E53" i="17"/>
  <c r="D53" i="17"/>
  <c r="J52" i="17"/>
  <c r="I52" i="17"/>
  <c r="H52" i="17"/>
  <c r="G52" i="17"/>
  <c r="F52" i="17"/>
  <c r="E52" i="17"/>
  <c r="D52" i="17"/>
  <c r="J51" i="17"/>
  <c r="I51" i="17"/>
  <c r="H51" i="17"/>
  <c r="G51" i="17"/>
  <c r="F51" i="17"/>
  <c r="E51" i="17"/>
  <c r="D51" i="17"/>
  <c r="J50" i="17"/>
  <c r="I50" i="17"/>
  <c r="H50" i="17"/>
  <c r="G50" i="17"/>
  <c r="F50" i="17"/>
  <c r="E50" i="17"/>
  <c r="D50" i="17"/>
  <c r="J49" i="17"/>
  <c r="I49" i="17"/>
  <c r="H49" i="17"/>
  <c r="G49" i="17"/>
  <c r="F49" i="17"/>
  <c r="E49" i="17"/>
  <c r="D49" i="17"/>
  <c r="J48" i="17"/>
  <c r="I48" i="17"/>
  <c r="H48" i="17"/>
  <c r="G48" i="17"/>
  <c r="F48" i="17"/>
  <c r="E48" i="17"/>
  <c r="D48" i="17"/>
  <c r="J47" i="17"/>
  <c r="I47" i="17"/>
  <c r="H47" i="17"/>
  <c r="G47" i="17"/>
  <c r="F47" i="17"/>
  <c r="E47" i="17"/>
  <c r="D47" i="17"/>
  <c r="J46" i="17"/>
  <c r="I46" i="17"/>
  <c r="H46" i="17"/>
  <c r="G46" i="17"/>
  <c r="F46" i="17"/>
  <c r="E46" i="17"/>
  <c r="D46" i="17"/>
  <c r="J45" i="17"/>
  <c r="I45" i="17"/>
  <c r="H45" i="17"/>
  <c r="G45" i="17"/>
  <c r="F45" i="17"/>
  <c r="E45" i="17"/>
  <c r="D45" i="17"/>
  <c r="J44" i="17"/>
  <c r="I44" i="17"/>
  <c r="H44" i="17"/>
  <c r="G44" i="17"/>
  <c r="F44" i="17"/>
  <c r="E44" i="17"/>
  <c r="D44" i="17"/>
  <c r="J43" i="17"/>
  <c r="I43" i="17"/>
  <c r="H43" i="17"/>
  <c r="G43" i="17"/>
  <c r="F43" i="17"/>
  <c r="E43" i="17"/>
  <c r="D43" i="17"/>
  <c r="J42" i="17"/>
  <c r="I42" i="17"/>
  <c r="H42" i="17"/>
  <c r="G42" i="17"/>
  <c r="F42" i="17"/>
  <c r="E42" i="17"/>
  <c r="D42" i="17"/>
  <c r="J41" i="17"/>
  <c r="I41" i="17"/>
  <c r="H41" i="17"/>
  <c r="G41" i="17"/>
  <c r="F41" i="17"/>
  <c r="E41" i="17"/>
  <c r="D41" i="17"/>
  <c r="J40" i="17"/>
  <c r="I40" i="17"/>
  <c r="H40" i="17"/>
  <c r="G40" i="17"/>
  <c r="F40" i="17"/>
  <c r="E40" i="17"/>
  <c r="D40" i="17"/>
  <c r="J39" i="17"/>
  <c r="I39" i="17"/>
  <c r="H39" i="17"/>
  <c r="G39" i="17"/>
  <c r="F39" i="17"/>
  <c r="E39" i="17"/>
  <c r="D39" i="17"/>
  <c r="J38" i="17"/>
  <c r="I38" i="17"/>
  <c r="H38" i="17"/>
  <c r="G38" i="17"/>
  <c r="F38" i="17"/>
  <c r="E38" i="17"/>
  <c r="D38" i="17"/>
  <c r="J37" i="17"/>
  <c r="I37" i="17"/>
  <c r="H37" i="17"/>
  <c r="G37" i="17"/>
  <c r="F37" i="17"/>
  <c r="E37" i="17"/>
  <c r="D37" i="17"/>
  <c r="J36" i="17"/>
  <c r="I36" i="17"/>
  <c r="H36" i="17"/>
  <c r="G36" i="17"/>
  <c r="F36" i="17"/>
  <c r="E36" i="17"/>
  <c r="D36" i="17"/>
  <c r="J35" i="17"/>
  <c r="I35" i="17"/>
  <c r="H35" i="17"/>
  <c r="G35" i="17"/>
  <c r="F35" i="17"/>
  <c r="E35" i="17"/>
  <c r="D35" i="17"/>
  <c r="J34" i="17"/>
  <c r="I34" i="17"/>
  <c r="H34" i="17"/>
  <c r="G34" i="17"/>
  <c r="F34" i="17"/>
  <c r="E34" i="17"/>
  <c r="D34" i="17"/>
  <c r="J33" i="17"/>
  <c r="I33" i="17"/>
  <c r="H33" i="17"/>
  <c r="G33" i="17"/>
  <c r="F33" i="17"/>
  <c r="E33" i="17"/>
  <c r="D33" i="17"/>
  <c r="J32" i="17"/>
  <c r="I32" i="17"/>
  <c r="H32" i="17"/>
  <c r="G32" i="17"/>
  <c r="F32" i="17"/>
  <c r="E32" i="17"/>
  <c r="D32" i="17"/>
  <c r="J31" i="17"/>
  <c r="I31" i="17"/>
  <c r="H31" i="17"/>
  <c r="G31" i="17"/>
  <c r="F31" i="17"/>
  <c r="E31" i="17"/>
  <c r="D31" i="17"/>
  <c r="J30" i="17"/>
  <c r="I30" i="17"/>
  <c r="H30" i="17"/>
  <c r="G30" i="17"/>
  <c r="F30" i="17"/>
  <c r="E30" i="17"/>
  <c r="D30" i="17"/>
  <c r="J29" i="17"/>
  <c r="I29" i="17"/>
  <c r="H29" i="17"/>
  <c r="G29" i="17"/>
  <c r="F29" i="17"/>
  <c r="E29" i="17"/>
  <c r="D29" i="17"/>
  <c r="J28" i="17"/>
  <c r="I28" i="17"/>
  <c r="H28" i="17"/>
  <c r="G28" i="17"/>
  <c r="F28" i="17"/>
  <c r="E28" i="17"/>
  <c r="D28" i="17"/>
  <c r="J27" i="17"/>
  <c r="I27" i="17"/>
  <c r="H27" i="17"/>
  <c r="G27" i="17"/>
  <c r="F27" i="17"/>
  <c r="E27" i="17"/>
  <c r="D27" i="17"/>
  <c r="J26" i="17"/>
  <c r="I26" i="17"/>
  <c r="H26" i="17"/>
  <c r="G26" i="17"/>
  <c r="F26" i="17"/>
  <c r="E26" i="17"/>
  <c r="D26" i="17"/>
  <c r="J25" i="17"/>
  <c r="I25" i="17"/>
  <c r="H25" i="17"/>
  <c r="G25" i="17"/>
  <c r="F25" i="17"/>
  <c r="E25" i="17"/>
  <c r="D25" i="17"/>
  <c r="J24" i="17"/>
  <c r="I24" i="17"/>
  <c r="H24" i="17"/>
  <c r="G24" i="17"/>
  <c r="F24" i="17"/>
  <c r="E24" i="17"/>
  <c r="D24" i="17"/>
  <c r="J23" i="17"/>
  <c r="I23" i="17"/>
  <c r="H23" i="17"/>
  <c r="F23" i="17"/>
  <c r="D23" i="17"/>
  <c r="J22" i="17"/>
  <c r="F22" i="17"/>
  <c r="D22" i="17"/>
  <c r="J21" i="17"/>
  <c r="I21" i="17"/>
  <c r="H21" i="17"/>
  <c r="G21" i="17"/>
  <c r="F21" i="17"/>
  <c r="D21" i="17"/>
  <c r="J20" i="17"/>
  <c r="I20" i="17"/>
  <c r="H20" i="17"/>
  <c r="G20" i="17"/>
  <c r="F20" i="17"/>
  <c r="D20" i="17"/>
  <c r="J19" i="17"/>
  <c r="I19" i="17"/>
  <c r="H19" i="17"/>
  <c r="G19" i="17"/>
  <c r="F19" i="17"/>
  <c r="D19" i="17"/>
  <c r="J18" i="17"/>
  <c r="I18" i="17"/>
  <c r="H18" i="17"/>
  <c r="G18" i="17"/>
  <c r="F18" i="17"/>
  <c r="D18" i="17"/>
  <c r="J17" i="17"/>
  <c r="I17" i="17"/>
  <c r="H17" i="17"/>
  <c r="G17" i="17"/>
  <c r="F17" i="17"/>
  <c r="D17" i="17"/>
  <c r="J16" i="17"/>
  <c r="G16" i="17"/>
  <c r="F16" i="17"/>
  <c r="D16" i="17"/>
  <c r="J15" i="17"/>
  <c r="I15" i="17"/>
  <c r="H15" i="17"/>
  <c r="G15" i="17"/>
  <c r="F15" i="17"/>
  <c r="D15" i="17"/>
  <c r="J14" i="17"/>
  <c r="I14" i="17"/>
  <c r="H14" i="17"/>
  <c r="G14" i="17"/>
  <c r="F14" i="17"/>
  <c r="D14" i="17"/>
  <c r="J13" i="17"/>
  <c r="I13" i="17"/>
  <c r="H13" i="17"/>
  <c r="G13" i="17"/>
  <c r="F13" i="17"/>
  <c r="D13" i="17"/>
  <c r="J12" i="17"/>
  <c r="F12" i="17"/>
  <c r="D12" i="17"/>
  <c r="J11" i="17"/>
  <c r="F11" i="17"/>
  <c r="D11" i="17"/>
  <c r="J10" i="17"/>
  <c r="F10" i="17"/>
  <c r="D10" i="17"/>
  <c r="J9" i="17"/>
  <c r="F9" i="17"/>
  <c r="D9" i="17"/>
  <c r="J8" i="17"/>
  <c r="F8" i="17"/>
  <c r="D8" i="17"/>
  <c r="J7" i="17"/>
  <c r="F7" i="17"/>
  <c r="D7" i="17"/>
  <c r="J6" i="17"/>
  <c r="F6" i="17"/>
  <c r="D6" i="17"/>
  <c r="J5" i="17"/>
  <c r="F5" i="17"/>
  <c r="D5" i="17"/>
  <c r="T6" i="11"/>
  <c r="T3" i="11" s="1"/>
  <c r="H192" i="17" l="1"/>
  <c r="F3" i="17"/>
  <c r="J3" i="17"/>
  <c r="D3" i="17"/>
  <c r="G14" i="24"/>
  <c r="I5" i="24"/>
  <c r="I7" i="24" s="1"/>
  <c r="E5" i="24"/>
  <c r="E7" i="24" s="1"/>
  <c r="L7" i="11"/>
  <c r="G23" i="17" s="1"/>
  <c r="R7" i="11"/>
  <c r="H16" i="17"/>
  <c r="H8" i="17"/>
  <c r="G8" i="17"/>
  <c r="F11" i="24" l="1"/>
  <c r="E7" i="11"/>
  <c r="E23" i="17" s="1"/>
  <c r="H44" i="24"/>
  <c r="I192" i="17"/>
  <c r="F44" i="24"/>
  <c r="G192" i="17"/>
  <c r="F14" i="24"/>
  <c r="H14" i="24"/>
  <c r="G40" i="24"/>
  <c r="I16" i="17"/>
  <c r="S7" i="11"/>
  <c r="F40" i="24"/>
  <c r="Q7" i="11"/>
  <c r="J40" i="24"/>
  <c r="H40" i="24"/>
  <c r="I8" i="17"/>
  <c r="J11" i="24" l="1"/>
  <c r="E10" i="17"/>
  <c r="J44" i="24"/>
  <c r="E192" i="17"/>
  <c r="J14" i="24"/>
  <c r="I12" i="17" l="1"/>
  <c r="H12" i="17"/>
  <c r="G21" i="24" l="1"/>
  <c r="H21" i="24"/>
  <c r="H7" i="17"/>
  <c r="I7" i="17"/>
  <c r="I9" i="17"/>
  <c r="I10" i="17"/>
  <c r="H9" i="17"/>
  <c r="H10" i="17"/>
  <c r="I11" i="17"/>
  <c r="I6" i="17"/>
  <c r="H11" i="17"/>
  <c r="H6" i="17"/>
  <c r="H10" i="24"/>
  <c r="I5" i="17"/>
  <c r="H5" i="17"/>
  <c r="G10" i="24"/>
  <c r="G12" i="17" l="1"/>
  <c r="F21" i="24"/>
  <c r="G7" i="17"/>
  <c r="G9" i="17"/>
  <c r="G10" i="17"/>
  <c r="G11" i="17"/>
  <c r="G6" i="17"/>
  <c r="G5" i="17"/>
  <c r="F10" i="24"/>
  <c r="E12" i="17" l="1"/>
  <c r="J21" i="24"/>
  <c r="J10" i="24"/>
  <c r="Q26" i="1" l="1"/>
  <c r="P26" i="1"/>
  <c r="Q25" i="1"/>
  <c r="P25" i="1"/>
  <c r="Q24" i="1"/>
  <c r="P24" i="1"/>
  <c r="I26" i="1"/>
  <c r="H26" i="1"/>
  <c r="G26" i="1"/>
  <c r="F26" i="1"/>
  <c r="I25" i="1"/>
  <c r="H25" i="1"/>
  <c r="G25" i="1"/>
  <c r="F25" i="1"/>
  <c r="I24" i="1"/>
  <c r="H24" i="1"/>
  <c r="G24" i="1"/>
  <c r="F24" i="1"/>
  <c r="Q23" i="1"/>
  <c r="P23" i="1"/>
  <c r="I23" i="1"/>
  <c r="H23" i="1"/>
  <c r="G23" i="1"/>
  <c r="F23" i="1"/>
  <c r="B26" i="1"/>
  <c r="B25" i="1"/>
  <c r="B24" i="1"/>
  <c r="B23" i="1"/>
  <c r="Q22" i="1"/>
  <c r="P22" i="1"/>
  <c r="I22" i="1"/>
  <c r="H22" i="1"/>
  <c r="G22" i="1"/>
  <c r="F22" i="1"/>
  <c r="B22" i="1"/>
  <c r="N22" i="1" l="1"/>
  <c r="O22" i="1"/>
  <c r="N23" i="1"/>
  <c r="M23" i="1" s="1"/>
  <c r="O23" i="1"/>
  <c r="N24" i="1"/>
  <c r="M24" i="1" s="1"/>
  <c r="O24" i="1"/>
  <c r="N25" i="1"/>
  <c r="M25" i="1" s="1"/>
  <c r="F32" i="5" s="1"/>
  <c r="O25" i="1"/>
  <c r="N26" i="1"/>
  <c r="M26" i="1" s="1"/>
  <c r="O26" i="1"/>
  <c r="M22" i="1"/>
  <c r="H32" i="5" l="1"/>
  <c r="G32" i="5"/>
  <c r="E22" i="1"/>
  <c r="E23" i="1"/>
  <c r="E26" i="1"/>
  <c r="E24" i="1"/>
  <c r="E25" i="1"/>
  <c r="E31" i="5" l="1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H31" i="5"/>
  <c r="G31" i="5"/>
  <c r="H27" i="5"/>
  <c r="G27" i="5"/>
  <c r="H26" i="5"/>
  <c r="G26" i="5"/>
  <c r="H24" i="5"/>
  <c r="G24" i="5"/>
  <c r="H23" i="5"/>
  <c r="G23" i="5"/>
  <c r="H22" i="5"/>
  <c r="G22" i="5"/>
  <c r="H21" i="5"/>
  <c r="G21" i="5"/>
  <c r="H18" i="5"/>
  <c r="G18" i="5"/>
  <c r="H17" i="5"/>
  <c r="G17" i="5"/>
  <c r="H14" i="5"/>
  <c r="G14" i="5"/>
  <c r="H13" i="5"/>
  <c r="G13" i="5"/>
  <c r="F31" i="5"/>
  <c r="F27" i="5"/>
  <c r="F26" i="5"/>
  <c r="F24" i="5"/>
  <c r="F23" i="5"/>
  <c r="F22" i="5"/>
  <c r="F21" i="5"/>
  <c r="F18" i="5"/>
  <c r="F17" i="5"/>
  <c r="F14" i="5"/>
  <c r="F13" i="5"/>
  <c r="Q21" i="1"/>
  <c r="P21" i="1"/>
  <c r="Q20" i="1"/>
  <c r="P20" i="1"/>
  <c r="Q19" i="1"/>
  <c r="P19" i="1"/>
  <c r="Q18" i="1"/>
  <c r="P18" i="1"/>
  <c r="Q17" i="1"/>
  <c r="P17" i="1"/>
  <c r="I21" i="1"/>
  <c r="H21" i="1"/>
  <c r="G21" i="1"/>
  <c r="F21" i="1"/>
  <c r="I20" i="1"/>
  <c r="H20" i="1"/>
  <c r="G20" i="1"/>
  <c r="F20" i="1"/>
  <c r="I19" i="1"/>
  <c r="H19" i="1"/>
  <c r="G19" i="1"/>
  <c r="F19" i="1"/>
  <c r="I18" i="1"/>
  <c r="H18" i="1"/>
  <c r="G18" i="1"/>
  <c r="F18" i="1"/>
  <c r="I17" i="1"/>
  <c r="H17" i="1"/>
  <c r="G17" i="1"/>
  <c r="F17" i="1"/>
  <c r="B21" i="1"/>
  <c r="B20" i="1"/>
  <c r="B19" i="1"/>
  <c r="B18" i="1"/>
  <c r="B17" i="1"/>
  <c r="N17" i="1" l="1"/>
  <c r="O17" i="1"/>
  <c r="H16" i="5" s="1"/>
  <c r="N18" i="1"/>
  <c r="M18" i="1" s="1"/>
  <c r="O18" i="1"/>
  <c r="N19" i="1"/>
  <c r="M19" i="1" s="1"/>
  <c r="O19" i="1"/>
  <c r="N20" i="1"/>
  <c r="M20" i="1" s="1"/>
  <c r="O20" i="1"/>
  <c r="N21" i="1"/>
  <c r="M21" i="1" s="1"/>
  <c r="O21" i="1"/>
  <c r="E5" i="5"/>
  <c r="E7" i="5" s="1"/>
  <c r="Q16" i="1"/>
  <c r="P16" i="1"/>
  <c r="J15" i="8"/>
  <c r="I15" i="8"/>
  <c r="H15" i="8"/>
  <c r="G15" i="8"/>
  <c r="J14" i="8"/>
  <c r="I14" i="8"/>
  <c r="H14" i="8"/>
  <c r="G14" i="8"/>
  <c r="J13" i="8"/>
  <c r="I13" i="8"/>
  <c r="H13" i="8"/>
  <c r="G13" i="8"/>
  <c r="J12" i="8"/>
  <c r="I12" i="8"/>
  <c r="H12" i="8"/>
  <c r="G12" i="8"/>
  <c r="J11" i="8"/>
  <c r="J10" i="8"/>
  <c r="I10" i="8"/>
  <c r="H10" i="8"/>
  <c r="G10" i="8"/>
  <c r="J9" i="8"/>
  <c r="J8" i="8"/>
  <c r="J7" i="8"/>
  <c r="J6" i="8"/>
  <c r="J5" i="8"/>
  <c r="F15" i="8"/>
  <c r="E15" i="8"/>
  <c r="F14" i="8"/>
  <c r="E14" i="8"/>
  <c r="F13" i="8"/>
  <c r="E13" i="8"/>
  <c r="F12" i="8"/>
  <c r="E12" i="8"/>
  <c r="F11" i="8"/>
  <c r="F10" i="8"/>
  <c r="E10" i="8"/>
  <c r="F9" i="8"/>
  <c r="F8" i="8"/>
  <c r="F7" i="8"/>
  <c r="F6" i="8"/>
  <c r="F5" i="8"/>
  <c r="B16" i="1"/>
  <c r="B15" i="1"/>
  <c r="B14" i="1"/>
  <c r="B13" i="1"/>
  <c r="B12" i="1"/>
  <c r="B11" i="1"/>
  <c r="B10" i="1"/>
  <c r="B9" i="1"/>
  <c r="B8" i="1"/>
  <c r="B7" i="1"/>
  <c r="Q15" i="1"/>
  <c r="P15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Q7" i="1"/>
  <c r="P7" i="1"/>
  <c r="I16" i="1"/>
  <c r="H16" i="1"/>
  <c r="G16" i="1"/>
  <c r="I15" i="1"/>
  <c r="H15" i="1"/>
  <c r="G15" i="1"/>
  <c r="I14" i="1"/>
  <c r="H14" i="1"/>
  <c r="G14" i="1"/>
  <c r="I13" i="1"/>
  <c r="H13" i="1"/>
  <c r="G13" i="1"/>
  <c r="I12" i="1"/>
  <c r="H12" i="1"/>
  <c r="G12" i="1"/>
  <c r="I11" i="1"/>
  <c r="H11" i="1"/>
  <c r="G11" i="1"/>
  <c r="I10" i="1"/>
  <c r="H10" i="1"/>
  <c r="G10" i="1"/>
  <c r="I9" i="1"/>
  <c r="H9" i="1"/>
  <c r="G9" i="1"/>
  <c r="I8" i="1"/>
  <c r="H8" i="1"/>
  <c r="G8" i="1"/>
  <c r="I7" i="1"/>
  <c r="H7" i="1"/>
  <c r="G7" i="1"/>
  <c r="F16" i="1"/>
  <c r="F15" i="1"/>
  <c r="F14" i="1"/>
  <c r="F13" i="1"/>
  <c r="F12" i="1"/>
  <c r="F11" i="1"/>
  <c r="F10" i="1"/>
  <c r="F9" i="1"/>
  <c r="F8" i="1"/>
  <c r="F7" i="1"/>
  <c r="M17" i="1" l="1"/>
  <c r="F16" i="5" s="1"/>
  <c r="G16" i="5"/>
  <c r="N7" i="1"/>
  <c r="O7" i="1"/>
  <c r="M7" i="1"/>
  <c r="O8" i="1"/>
  <c r="N8" i="1"/>
  <c r="O10" i="1"/>
  <c r="N10" i="1"/>
  <c r="M10" i="1" s="1"/>
  <c r="O11" i="1"/>
  <c r="N11" i="1"/>
  <c r="M11" i="1" s="1"/>
  <c r="O12" i="1"/>
  <c r="N12" i="1"/>
  <c r="M12" i="1" s="1"/>
  <c r="O13" i="1"/>
  <c r="N13" i="1"/>
  <c r="M13" i="1" s="1"/>
  <c r="O14" i="1"/>
  <c r="N14" i="1"/>
  <c r="N15" i="1"/>
  <c r="M15" i="1" s="1"/>
  <c r="O15" i="1"/>
  <c r="N16" i="1"/>
  <c r="M16" i="1" s="1"/>
  <c r="O16" i="1"/>
  <c r="O9" i="1"/>
  <c r="N9" i="1"/>
  <c r="M9" i="1" s="1"/>
  <c r="H25" i="5"/>
  <c r="J3" i="8"/>
  <c r="F3" i="8"/>
  <c r="D3" i="8"/>
  <c r="E19" i="1"/>
  <c r="E21" i="1"/>
  <c r="E18" i="1"/>
  <c r="H30" i="5"/>
  <c r="G25" i="5"/>
  <c r="E20" i="1"/>
  <c r="H11" i="28"/>
  <c r="H9" i="28"/>
  <c r="F11" i="28"/>
  <c r="F9" i="28"/>
  <c r="D11" i="28"/>
  <c r="D9" i="28"/>
  <c r="L9" i="28" s="1"/>
  <c r="B13" i="28"/>
  <c r="B11" i="28"/>
  <c r="B9" i="28"/>
  <c r="H10" i="28"/>
  <c r="F10" i="28"/>
  <c r="D10" i="28"/>
  <c r="B12" i="28"/>
  <c r="B10" i="28"/>
  <c r="B8" i="28"/>
  <c r="G30" i="5"/>
  <c r="M14" i="1" l="1"/>
  <c r="F19" i="5" s="1"/>
  <c r="C23" i="33"/>
  <c r="C24" i="33"/>
  <c r="D24" i="33" s="1"/>
  <c r="L11" i="28"/>
  <c r="M11" i="28" s="1"/>
  <c r="G15" i="5"/>
  <c r="H15" i="5"/>
  <c r="H20" i="5"/>
  <c r="F20" i="5"/>
  <c r="G20" i="5"/>
  <c r="C34" i="33"/>
  <c r="D34" i="33" s="1"/>
  <c r="C33" i="33"/>
  <c r="E11" i="1"/>
  <c r="H7" i="8"/>
  <c r="E16" i="1"/>
  <c r="H28" i="5"/>
  <c r="H11" i="5"/>
  <c r="I6" i="8"/>
  <c r="G11" i="5"/>
  <c r="H6" i="8"/>
  <c r="H19" i="5"/>
  <c r="N2" i="1"/>
  <c r="H8" i="28"/>
  <c r="O2" i="1"/>
  <c r="L10" i="28"/>
  <c r="M10" i="28" s="1"/>
  <c r="M8" i="1"/>
  <c r="M9" i="28"/>
  <c r="E9" i="1"/>
  <c r="F13" i="28"/>
  <c r="H13" i="28"/>
  <c r="E15" i="1"/>
  <c r="H29" i="5"/>
  <c r="I9" i="8"/>
  <c r="G29" i="5"/>
  <c r="H9" i="8"/>
  <c r="G19" i="5"/>
  <c r="G10" i="5"/>
  <c r="G28" i="5"/>
  <c r="G8" i="8"/>
  <c r="F12" i="5"/>
  <c r="I5" i="8"/>
  <c r="H10" i="5"/>
  <c r="H8" i="8"/>
  <c r="G12" i="5"/>
  <c r="F25" i="5"/>
  <c r="E17" i="1"/>
  <c r="F30" i="5"/>
  <c r="H12" i="28"/>
  <c r="I8" i="8"/>
  <c r="H12" i="5"/>
  <c r="B14" i="28"/>
  <c r="I26" i="28" s="1"/>
  <c r="F12" i="28"/>
  <c r="H11" i="8"/>
  <c r="I11" i="8"/>
  <c r="I7" i="8"/>
  <c r="H5" i="8"/>
  <c r="E12" i="1"/>
  <c r="G6" i="8" l="1"/>
  <c r="F11" i="5"/>
  <c r="M2" i="1"/>
  <c r="F15" i="5"/>
  <c r="C35" i="33"/>
  <c r="D33" i="33"/>
  <c r="D35" i="33" s="1"/>
  <c r="D23" i="33"/>
  <c r="D25" i="33" s="1"/>
  <c r="C25" i="33"/>
  <c r="G7" i="8"/>
  <c r="H5" i="5"/>
  <c r="H7" i="5" s="1"/>
  <c r="G5" i="5"/>
  <c r="G7" i="5" s="1"/>
  <c r="H3" i="8"/>
  <c r="I3" i="8"/>
  <c r="F14" i="28"/>
  <c r="D95" i="28" s="1"/>
  <c r="C102" i="28" s="1"/>
  <c r="H14" i="28"/>
  <c r="E95" i="28" s="1"/>
  <c r="C103" i="28" s="1"/>
  <c r="D13" i="28"/>
  <c r="L13" i="28" s="1"/>
  <c r="M13" i="28" s="1"/>
  <c r="E8" i="1"/>
  <c r="E7" i="1"/>
  <c r="D8" i="28"/>
  <c r="L8" i="28" s="1"/>
  <c r="M8" i="28" s="1"/>
  <c r="F29" i="5"/>
  <c r="G9" i="8"/>
  <c r="E13" i="1"/>
  <c r="E9" i="8" s="1"/>
  <c r="E10" i="1"/>
  <c r="F28" i="5"/>
  <c r="F10" i="5"/>
  <c r="D12" i="28"/>
  <c r="L12" i="28" s="1"/>
  <c r="M12" i="28" s="1"/>
  <c r="G11" i="8"/>
  <c r="E14" i="1"/>
  <c r="G5" i="8"/>
  <c r="E8" i="8" l="1"/>
  <c r="E7" i="8"/>
  <c r="E6" i="8"/>
  <c r="E2" i="1"/>
  <c r="G3" i="8"/>
  <c r="E11" i="8"/>
  <c r="K26" i="28"/>
  <c r="K41" i="28" s="1"/>
  <c r="D14" i="28"/>
  <c r="E5" i="8"/>
  <c r="E3" i="8" l="1"/>
  <c r="L26" i="28"/>
  <c r="L41" i="28" s="1"/>
  <c r="C95" i="28"/>
  <c r="G95" i="28" s="1"/>
  <c r="J26" i="28"/>
  <c r="J41" i="28" s="1"/>
  <c r="M14" i="28"/>
  <c r="L14" i="28"/>
  <c r="I41" i="28" s="1"/>
  <c r="C101" i="28" l="1"/>
  <c r="C105" i="28" s="1"/>
  <c r="G108" i="28" l="1"/>
  <c r="J63" i="28"/>
  <c r="J66" i="28"/>
  <c r="H63" i="28"/>
  <c r="F65" i="28"/>
  <c r="J67" i="28"/>
  <c r="F63" i="28"/>
  <c r="J65" i="28"/>
  <c r="J64" i="28"/>
  <c r="H65" i="28"/>
  <c r="B65" i="28"/>
  <c r="D65" i="28"/>
  <c r="B62" i="28"/>
  <c r="B67" i="28"/>
  <c r="B64" i="28"/>
  <c r="B63" i="28"/>
  <c r="D63" i="28"/>
  <c r="B66" i="28"/>
  <c r="F62" i="28"/>
  <c r="M6" i="11"/>
  <c r="H22" i="17" s="1"/>
  <c r="D62" i="28"/>
  <c r="J62" i="28"/>
  <c r="N6" i="11"/>
  <c r="I22" i="17" s="1"/>
  <c r="H62" i="28"/>
  <c r="F64" i="28" l="1"/>
  <c r="H64" i="28"/>
  <c r="F66" i="28"/>
  <c r="H66" i="28"/>
  <c r="H38" i="24"/>
  <c r="H26" i="24"/>
  <c r="M3" i="11"/>
  <c r="G26" i="24"/>
  <c r="J68" i="28"/>
  <c r="M58" i="28" s="1"/>
  <c r="M82" i="28" s="1"/>
  <c r="M86" i="28" s="1"/>
  <c r="L63" i="28"/>
  <c r="M63" i="28" s="1"/>
  <c r="L65" i="28"/>
  <c r="M65" i="28" s="1"/>
  <c r="H67" i="28"/>
  <c r="F67" i="28"/>
  <c r="L62" i="28"/>
  <c r="B68" i="28"/>
  <c r="G38" i="24"/>
  <c r="M34" i="33"/>
  <c r="N3" i="11"/>
  <c r="R6" i="11"/>
  <c r="R3" i="11" s="1"/>
  <c r="S6" i="11"/>
  <c r="S3" i="11" s="1"/>
  <c r="L6" i="11"/>
  <c r="D64" i="28" s="1"/>
  <c r="H63" i="17"/>
  <c r="H3" i="17" s="1"/>
  <c r="M24" i="33"/>
  <c r="I63" i="17"/>
  <c r="I3" i="17" s="1"/>
  <c r="F97" i="28" l="1"/>
  <c r="L64" i="28"/>
  <c r="M64" i="28" s="1"/>
  <c r="G5" i="24"/>
  <c r="G7" i="24" s="1"/>
  <c r="H5" i="24"/>
  <c r="H7" i="24" s="1"/>
  <c r="H68" i="28"/>
  <c r="E97" i="28" s="1"/>
  <c r="E98" i="28" s="1"/>
  <c r="F103" i="28" s="1"/>
  <c r="F68" i="28"/>
  <c r="D97" i="28" s="1"/>
  <c r="D98" i="28" s="1"/>
  <c r="E102" i="28" s="1"/>
  <c r="G22" i="17"/>
  <c r="D66" i="28"/>
  <c r="D67" i="28"/>
  <c r="L67" i="28" s="1"/>
  <c r="M67" i="28" s="1"/>
  <c r="F26" i="24"/>
  <c r="M62" i="28"/>
  <c r="M25" i="33"/>
  <c r="N24" i="33"/>
  <c r="N25" i="33" s="1"/>
  <c r="N34" i="33"/>
  <c r="N35" i="33" s="1"/>
  <c r="M35" i="33"/>
  <c r="L3" i="11"/>
  <c r="G63" i="17"/>
  <c r="F38" i="24"/>
  <c r="F5" i="24" s="1"/>
  <c r="F7" i="24" s="1"/>
  <c r="Q6" i="11"/>
  <c r="Q3" i="11" s="1"/>
  <c r="E6" i="11"/>
  <c r="F98" i="28"/>
  <c r="F105" i="28" l="1"/>
  <c r="H103" i="28"/>
  <c r="K103" i="28" s="1"/>
  <c r="E107" i="28" s="1"/>
  <c r="H102" i="28"/>
  <c r="K102" i="28" s="1"/>
  <c r="D107" i="28" s="1"/>
  <c r="E105" i="28"/>
  <c r="K58" i="28"/>
  <c r="G3" i="17"/>
  <c r="D68" i="28"/>
  <c r="L66" i="28"/>
  <c r="J26" i="24"/>
  <c r="E22" i="17"/>
  <c r="E63" i="17"/>
  <c r="J38" i="24"/>
  <c r="E3" i="11"/>
  <c r="J5" i="24" l="1"/>
  <c r="J7" i="24" s="1"/>
  <c r="L58" i="28"/>
  <c r="L82" i="28" s="1"/>
  <c r="L86" i="28" s="1"/>
  <c r="K82" i="28"/>
  <c r="K86" i="28" s="1"/>
  <c r="E3" i="17"/>
  <c r="J58" i="28"/>
  <c r="J82" i="28" s="1"/>
  <c r="J86" i="28" s="1"/>
  <c r="C97" i="28"/>
  <c r="M66" i="28"/>
  <c r="M68" i="28" s="1"/>
  <c r="L68" i="28"/>
  <c r="C98" i="28" l="1"/>
  <c r="D101" i="28" s="1"/>
  <c r="G97" i="28"/>
  <c r="H98" i="28" s="1"/>
  <c r="F5" i="5"/>
  <c r="F7" i="5" s="1"/>
  <c r="D105" i="28" l="1"/>
  <c r="H101" i="28"/>
  <c r="H105" i="28" l="1"/>
  <c r="K101" i="28"/>
  <c r="C107" i="28" l="1"/>
  <c r="K105" i="28"/>
  <c r="J34" i="5"/>
  <c r="J11" i="5"/>
  <c r="I11" i="5"/>
  <c r="I7" i="5"/>
  <c r="I30" i="5"/>
  <c r="J30" i="5"/>
  <c r="I26" i="5"/>
  <c r="J26" i="5"/>
  <c r="I16" i="5"/>
  <c r="J16" i="5"/>
  <c r="I34" i="5"/>
  <c r="C34" i="5"/>
  <c r="I18" i="5"/>
  <c r="J18" i="5"/>
  <c r="J7" i="5"/>
  <c r="I17" i="5"/>
  <c r="J17" i="5"/>
  <c r="I24" i="5"/>
  <c r="J24" i="5"/>
  <c r="I15" i="5"/>
  <c r="J15" i="5"/>
  <c r="I20" i="5"/>
  <c r="J20" i="5"/>
  <c r="I29" i="5"/>
  <c r="J29" i="5"/>
  <c r="I35" i="5"/>
  <c r="J35" i="5"/>
  <c r="I12" i="5"/>
  <c r="J12" i="5"/>
  <c r="I25" i="5"/>
  <c r="J25" i="5"/>
  <c r="I22" i="5"/>
  <c r="J22" i="5"/>
  <c r="I13" i="5"/>
  <c r="J13" i="5"/>
  <c r="I19" i="5"/>
  <c r="J19" i="5"/>
  <c r="I28" i="5"/>
  <c r="J28" i="5"/>
  <c r="I21" i="5"/>
  <c r="J21" i="5"/>
  <c r="I31" i="5"/>
  <c r="J31" i="5"/>
  <c r="I33" i="5"/>
  <c r="J33" i="5"/>
  <c r="I14" i="5"/>
  <c r="J14" i="5"/>
  <c r="I27" i="5"/>
  <c r="J27" i="5"/>
  <c r="I32" i="5"/>
  <c r="J32" i="5"/>
  <c r="I23" i="5"/>
  <c r="J23" i="5"/>
  <c r="I5" i="5"/>
  <c r="C30" i="2"/>
  <c r="B247" i="1"/>
  <c r="I10" i="5"/>
  <c r="J10" i="5"/>
  <c r="J5" i="5"/>
</calcChain>
</file>

<file path=xl/sharedStrings.xml><?xml version="1.0" encoding="utf-8"?>
<sst xmlns="http://schemas.openxmlformats.org/spreadsheetml/2006/main" count="6613" uniqueCount="1535">
  <si>
    <t>Rate</t>
  </si>
  <si>
    <t>Taxable Value</t>
  </si>
  <si>
    <t>Cess Amount</t>
  </si>
  <si>
    <t>UIN of Recipient</t>
  </si>
  <si>
    <t>GSTIN/</t>
  </si>
  <si>
    <t xml:space="preserve"> Name</t>
  </si>
  <si>
    <t>Receiver</t>
  </si>
  <si>
    <t xml:space="preserve"> Number</t>
  </si>
  <si>
    <t>Invoice</t>
  </si>
  <si>
    <t xml:space="preserve"> Date</t>
  </si>
  <si>
    <t>Value</t>
  </si>
  <si>
    <t>Supply</t>
  </si>
  <si>
    <t xml:space="preserve">Place Of </t>
  </si>
  <si>
    <t>Reverse</t>
  </si>
  <si>
    <t>Charge</t>
  </si>
  <si>
    <t xml:space="preserve"> Type</t>
  </si>
  <si>
    <t xml:space="preserve"> GSTIN</t>
  </si>
  <si>
    <t>E-Commerce</t>
  </si>
  <si>
    <t xml:space="preserve"> Value</t>
  </si>
  <si>
    <t>Taxable</t>
  </si>
  <si>
    <t xml:space="preserve"> Amount</t>
  </si>
  <si>
    <t>Cess</t>
  </si>
  <si>
    <t>27AABFJ4217F1ZP</t>
  </si>
  <si>
    <t>27AABCM2508F1ZU</t>
  </si>
  <si>
    <t>27AAACT1848E1ZH</t>
  </si>
  <si>
    <t>23AABCE9378F1ZK</t>
  </si>
  <si>
    <t>27AAACD2571J1ZO</t>
  </si>
  <si>
    <t>27AAACH4211R1ZF</t>
  </si>
  <si>
    <t>27AAACD4090Q1Z8</t>
  </si>
  <si>
    <t>23AXLPP2030P1Z9</t>
  </si>
  <si>
    <t>27AACCA4196J1ZG</t>
  </si>
  <si>
    <t>27AAECM8871A1ZF</t>
  </si>
  <si>
    <t>27AAGCP0139E1ZP</t>
  </si>
  <si>
    <t>27AAACT5755A1ZJ</t>
  </si>
  <si>
    <t>27AAACT1249H1ZG</t>
  </si>
  <si>
    <t>27ACAFS7745J1ZP</t>
  </si>
  <si>
    <t>27BBVPS2447C1ZA</t>
  </si>
  <si>
    <t>23AAACT6376M1ZZ</t>
  </si>
  <si>
    <t>27AAICP7006Q1ZU</t>
  </si>
  <si>
    <t>27AAQPW0710P1Z1</t>
  </si>
  <si>
    <t>27AAACT2727Q1ZW</t>
  </si>
  <si>
    <t>27ACAFS4100K1ZC</t>
  </si>
  <si>
    <t>27AADCT1398N1ZQ</t>
  </si>
  <si>
    <t>Japtech Industries</t>
  </si>
  <si>
    <t>Varroc Polymers Pvt.ltd.</t>
  </si>
  <si>
    <t>Tata Autocomp Systems LTD.(X1)</t>
  </si>
  <si>
    <t>VE Commercial vehicles Ltd</t>
  </si>
  <si>
    <t>Lumax Ancillary Limited.</t>
  </si>
  <si>
    <t>Rinder India Pvt Ltd.</t>
  </si>
  <si>
    <t>Lumax Auto Technologies Ltd.</t>
  </si>
  <si>
    <t>Migma Packtron</t>
  </si>
  <si>
    <t>Alpha Foam Ltd</t>
  </si>
  <si>
    <t>Mittal Precision Auto Comps Pvt Ltd,</t>
  </si>
  <si>
    <t>Pricol Ltd (Formerly Pricol Pune Ltd)</t>
  </si>
  <si>
    <t>Tata Ficosa Automotves Ltd</t>
  </si>
  <si>
    <t>TI METAL FORMING</t>
  </si>
  <si>
    <t>Shree Sai Coaters</t>
  </si>
  <si>
    <t>Bamboo India</t>
  </si>
  <si>
    <t>Tech-Force Composites Pvt,Ltd.,(Indore)</t>
  </si>
  <si>
    <t>Parms Desing  Pvt Ltd,</t>
  </si>
  <si>
    <t>Hi-Tech Services</t>
  </si>
  <si>
    <t>Tata Motors Ltd</t>
  </si>
  <si>
    <t>SAIKRUPA ENTERPRISES</t>
  </si>
  <si>
    <t>Tube Investments Of India Ltd</t>
  </si>
  <si>
    <t>S.</t>
  </si>
  <si>
    <t>NO.</t>
  </si>
  <si>
    <t xml:space="preserve">Dealer </t>
  </si>
  <si>
    <t>State</t>
  </si>
  <si>
    <t>Type</t>
  </si>
  <si>
    <t>Sale</t>
  </si>
  <si>
    <t>27-Maharashatra</t>
  </si>
  <si>
    <t>N</t>
  </si>
  <si>
    <t>Regular</t>
  </si>
  <si>
    <t>23-Madhya Pradesh</t>
  </si>
  <si>
    <t>HSN</t>
  </si>
  <si>
    <t>Description</t>
  </si>
  <si>
    <t>UNIT</t>
  </si>
  <si>
    <t>Type of</t>
  </si>
  <si>
    <t>Tax</t>
  </si>
  <si>
    <t>Code</t>
  </si>
  <si>
    <t>OF Goods</t>
  </si>
  <si>
    <t>Parts &amp; Accessories Of Motor Vehicles Other</t>
  </si>
  <si>
    <t>Service</t>
  </si>
  <si>
    <t>Goods</t>
  </si>
  <si>
    <t>MISC CHEMICAL PRODUCTS THINNER</t>
  </si>
  <si>
    <t>PETROLEUM RESINS (ACTIVATOR)</t>
  </si>
  <si>
    <t>Others ( Paint &amp; Varnishes)</t>
  </si>
  <si>
    <t>85129000/</t>
  </si>
  <si>
    <t>IGST</t>
  </si>
  <si>
    <t>CGST</t>
  </si>
  <si>
    <t>SGST</t>
  </si>
  <si>
    <t>Amount</t>
  </si>
  <si>
    <t>Unit</t>
  </si>
  <si>
    <t>Total</t>
  </si>
  <si>
    <t>CODE</t>
  </si>
  <si>
    <t>Qty</t>
  </si>
  <si>
    <t>E-Comm</t>
  </si>
  <si>
    <t>Taxabe</t>
  </si>
  <si>
    <t>CESS</t>
  </si>
  <si>
    <t>Note/Refund</t>
  </si>
  <si>
    <t xml:space="preserve"> Voucher Number</t>
  </si>
  <si>
    <t xml:space="preserve"> Voucher Date</t>
  </si>
  <si>
    <t xml:space="preserve">Document </t>
  </si>
  <si>
    <t xml:space="preserve">Reason For </t>
  </si>
  <si>
    <t>Issuing document</t>
  </si>
  <si>
    <t>Place Of</t>
  </si>
  <si>
    <t xml:space="preserve"> Supply</t>
  </si>
  <si>
    <t>Pre GST</t>
  </si>
  <si>
    <t>Supply Type</t>
  </si>
  <si>
    <t>UQC</t>
  </si>
  <si>
    <t>Total Quantity</t>
  </si>
  <si>
    <t>Total Value</t>
  </si>
  <si>
    <t>Integrated Tax Amount</t>
  </si>
  <si>
    <t>Central Tax Amount</t>
  </si>
  <si>
    <t>State/UT Tax Amount</t>
  </si>
  <si>
    <t>Nil Rated Supplies</t>
  </si>
  <si>
    <t>Exempted(other than nil rated/non GST supply)</t>
  </si>
  <si>
    <t>Non-GST Supplies</t>
  </si>
  <si>
    <t>Inter-State supplies to registered persons</t>
  </si>
  <si>
    <t>Intra-State supplies to registered persons</t>
  </si>
  <si>
    <t>Inter-State supplies to unregistered persons</t>
  </si>
  <si>
    <t>Intra-State supplies to unregistered persons</t>
  </si>
  <si>
    <t>S</t>
  </si>
  <si>
    <t>Nature of Document</t>
  </si>
  <si>
    <t>Sr. No. From</t>
  </si>
  <si>
    <t>Sr. No. To</t>
  </si>
  <si>
    <t>Total Number</t>
  </si>
  <si>
    <t>Cancelled</t>
  </si>
  <si>
    <t>Invoices for outward supply</t>
  </si>
  <si>
    <t>Debit Note</t>
  </si>
  <si>
    <t>Delivery Challan for job work</t>
  </si>
  <si>
    <t>Invoices for inward supply from unregistered person</t>
  </si>
  <si>
    <t>Refund Voucher</t>
  </si>
  <si>
    <t>Integrated Tax Paid</t>
  </si>
  <si>
    <t>Cess Paid</t>
  </si>
  <si>
    <t>Eligibility For ITC</t>
  </si>
  <si>
    <t>Availed ITC Integrated Tax</t>
  </si>
  <si>
    <t>Availed ITC Cess</t>
  </si>
  <si>
    <t>Invoice Number of Reg Recipient</t>
  </si>
  <si>
    <t>Invoice Date</t>
  </si>
  <si>
    <t>Invoice Value</t>
  </si>
  <si>
    <t>Place Of Supply</t>
  </si>
  <si>
    <t>Port Code</t>
  </si>
  <si>
    <t>Bill Of Entry Number</t>
  </si>
  <si>
    <t>Bill Of Entry Date</t>
  </si>
  <si>
    <t>Bill Of Entry Value</t>
  </si>
  <si>
    <t>Document type</t>
  </si>
  <si>
    <t>GSTIN Of SEZ Supplier</t>
  </si>
  <si>
    <t>Composition taxable person</t>
  </si>
  <si>
    <t>Exempted (other than nil rated/non GST supply )</t>
  </si>
  <si>
    <t>Non-GST supplies</t>
  </si>
  <si>
    <t>To be added or reduced from output liability</t>
  </si>
  <si>
    <t>Description for reversal of ITC</t>
  </si>
  <si>
    <t>(a) Amount in terms of rule 37 (2)</t>
  </si>
  <si>
    <t>To be added</t>
  </si>
  <si>
    <t>(b) Amount in terms of rule 42 (1) (m)</t>
  </si>
  <si>
    <t>(c) Amount in terms of rule 43(1) (h)</t>
  </si>
  <si>
    <t>(d) Amount in terms of rule 42 (2)(a)</t>
  </si>
  <si>
    <t>(e) Amount in terms of rule 42(2)(b)</t>
  </si>
  <si>
    <t>To be reduced</t>
  </si>
  <si>
    <t>(f) On account of amount paid subsequent to reversal of ITC</t>
  </si>
  <si>
    <t>(g) Any other liability (Specify)</t>
  </si>
  <si>
    <t>Gross Advance Paid</t>
  </si>
  <si>
    <t>Reverse Charge/Pre GST</t>
  </si>
  <si>
    <t>Note Type</t>
  </si>
  <si>
    <t>Tax Rate</t>
  </si>
  <si>
    <t>POS</t>
  </si>
  <si>
    <t>Invoice Type</t>
  </si>
  <si>
    <t>Reason For Issuing Note</t>
  </si>
  <si>
    <t>ITC Eligibility</t>
  </si>
  <si>
    <t>Document Type Inputs received from Overseas or from SEZ</t>
  </si>
  <si>
    <t xml:space="preserve">Supply Type </t>
  </si>
  <si>
    <t xml:space="preserve">Invoice Type </t>
  </si>
  <si>
    <t xml:space="preserve">BAG-BAGS </t>
  </si>
  <si>
    <t>C</t>
  </si>
  <si>
    <t>01-Jammu &amp; Kashmir</t>
  </si>
  <si>
    <t>01-Sales Return</t>
  </si>
  <si>
    <t>Inputs</t>
  </si>
  <si>
    <t>Imports</t>
  </si>
  <si>
    <t>Inter State</t>
  </si>
  <si>
    <t>B2BUR</t>
  </si>
  <si>
    <t xml:space="preserve">BAL-BALE </t>
  </si>
  <si>
    <t>Y</t>
  </si>
  <si>
    <t>D</t>
  </si>
  <si>
    <t>02-Himachal Pradesh</t>
  </si>
  <si>
    <t>SEZ supplies with payment</t>
  </si>
  <si>
    <t>02-Post Sale Discount</t>
  </si>
  <si>
    <t>Capital goods</t>
  </si>
  <si>
    <t>Received from SEZ</t>
  </si>
  <si>
    <t>Intra State</t>
  </si>
  <si>
    <t>IMPS</t>
  </si>
  <si>
    <t xml:space="preserve">BDL-BUNDLES </t>
  </si>
  <si>
    <t>R</t>
  </si>
  <si>
    <t>03-Punjab</t>
  </si>
  <si>
    <t>SEZ supplies without payment</t>
  </si>
  <si>
    <t>03-Deficiency in services</t>
  </si>
  <si>
    <t>Input services</t>
  </si>
  <si>
    <t xml:space="preserve">BKL-BUCKLES </t>
  </si>
  <si>
    <t>04-Chandigarh</t>
  </si>
  <si>
    <t>Deemed Exp</t>
  </si>
  <si>
    <t>04-Correction in Invoice</t>
  </si>
  <si>
    <t>Ineligible</t>
  </si>
  <si>
    <t xml:space="preserve">BOU-BILLION OF UNITS </t>
  </si>
  <si>
    <t>05-Uttarakhand</t>
  </si>
  <si>
    <t>05-Change in POS</t>
  </si>
  <si>
    <t xml:space="preserve">BOX-BOX </t>
  </si>
  <si>
    <t>06-Haryana</t>
  </si>
  <si>
    <t>06-Finalization of Provisional assessment</t>
  </si>
  <si>
    <t xml:space="preserve">BTL-BOTTLES </t>
  </si>
  <si>
    <t>07-Delhi</t>
  </si>
  <si>
    <t>07-Others</t>
  </si>
  <si>
    <t xml:space="preserve">BUN-BUNCHES </t>
  </si>
  <si>
    <t>08-Rajasthan</t>
  </si>
  <si>
    <t xml:space="preserve">CAN-CANS </t>
  </si>
  <si>
    <t>09-Uttar Pradesh</t>
  </si>
  <si>
    <t xml:space="preserve">CBM-CUBIC METERS </t>
  </si>
  <si>
    <t>10-Bihar</t>
  </si>
  <si>
    <t xml:space="preserve">CCM-CUBIC CENTIMETERS </t>
  </si>
  <si>
    <t>11-Sikkim</t>
  </si>
  <si>
    <t xml:space="preserve">CMS-CENTIMETERS </t>
  </si>
  <si>
    <t>12-Arunachal Pradesh</t>
  </si>
  <si>
    <t xml:space="preserve">CTN-CARTONS </t>
  </si>
  <si>
    <t>13-Nagaland</t>
  </si>
  <si>
    <t xml:space="preserve">DOZ-DOZENS </t>
  </si>
  <si>
    <t>14-Manipur</t>
  </si>
  <si>
    <t xml:space="preserve">DRM-DRUMS </t>
  </si>
  <si>
    <t>15-Mizoram</t>
  </si>
  <si>
    <t xml:space="preserve">GGK-GREAT GROSS </t>
  </si>
  <si>
    <t>16-Tripura</t>
  </si>
  <si>
    <t xml:space="preserve">GMS-GRAMMES </t>
  </si>
  <si>
    <t>17-Meghalaya</t>
  </si>
  <si>
    <t xml:space="preserve">GRS-GROSS </t>
  </si>
  <si>
    <t>18-Assam</t>
  </si>
  <si>
    <t xml:space="preserve">GYD-GROSS YARDS </t>
  </si>
  <si>
    <t>19-West Bengal</t>
  </si>
  <si>
    <t xml:space="preserve">KGS-KILOGRAMS </t>
  </si>
  <si>
    <t>20-Jharkhand</t>
  </si>
  <si>
    <t>KLR-KILOLITRE</t>
  </si>
  <si>
    <t>21-Odisha</t>
  </si>
  <si>
    <t xml:space="preserve">KME-KILOMETRE </t>
  </si>
  <si>
    <t>22-Chhattisgarh</t>
  </si>
  <si>
    <t>MLT-MILILITRE</t>
  </si>
  <si>
    <t>MTR-METERS</t>
  </si>
  <si>
    <t>24-Gujarat</t>
  </si>
  <si>
    <t>MTS-METRIC TON</t>
  </si>
  <si>
    <t>25-Daman &amp; Diu</t>
  </si>
  <si>
    <t>NOS-NUMBERS</t>
  </si>
  <si>
    <t>26-Dadra &amp; Nagar Haveli</t>
  </si>
  <si>
    <t>PAC-PACKS</t>
  </si>
  <si>
    <t>27-Maharashtra</t>
  </si>
  <si>
    <t>PCS-PIECES</t>
  </si>
  <si>
    <t>29-Karnataka</t>
  </si>
  <si>
    <t>PRS-PAIRS</t>
  </si>
  <si>
    <t>30-Goa</t>
  </si>
  <si>
    <t>QTL-QUINTAL</t>
  </si>
  <si>
    <t>31-Lakshdweep</t>
  </si>
  <si>
    <t>ROL-ROLLS</t>
  </si>
  <si>
    <t>32-Kerala</t>
  </si>
  <si>
    <t>SET-SETS</t>
  </si>
  <si>
    <t>33-Tamil Nadu</t>
  </si>
  <si>
    <t>SQF-SQUARE FEET</t>
  </si>
  <si>
    <t>34-Pondicherry</t>
  </si>
  <si>
    <t>SQM-SQUARE METERS</t>
  </si>
  <si>
    <t>35-Andaman &amp; Nicobar Islands</t>
  </si>
  <si>
    <t>SQY-SQUARE YARDS</t>
  </si>
  <si>
    <t>36-Telangana</t>
  </si>
  <si>
    <t>TBS-TABLETS</t>
  </si>
  <si>
    <t>37-Andhra Pradesh</t>
  </si>
  <si>
    <t>TGM-TEN GROSS</t>
  </si>
  <si>
    <t>97-Other Territory</t>
  </si>
  <si>
    <t>THD-THOUSANDS</t>
  </si>
  <si>
    <t>TON-TONNES</t>
  </si>
  <si>
    <t>TUB-TUBES</t>
  </si>
  <si>
    <t>UGS-US GALLONS</t>
  </si>
  <si>
    <t>UNT-UNITS</t>
  </si>
  <si>
    <t>YDS-YARDS</t>
  </si>
  <si>
    <t>OTH-OTHERS</t>
  </si>
  <si>
    <t>Export Type</t>
  </si>
  <si>
    <t>Reverse Charge/Provisional Assessment</t>
  </si>
  <si>
    <t>Nature  of Document</t>
  </si>
  <si>
    <t>UR Type</t>
  </si>
  <si>
    <t>Month</t>
  </si>
  <si>
    <t>Financial Year</t>
  </si>
  <si>
    <t>BAG-BAGS</t>
  </si>
  <si>
    <t>WOPAY</t>
  </si>
  <si>
    <t>OE</t>
  </si>
  <si>
    <t>B2CL</t>
  </si>
  <si>
    <t>JANUARY</t>
  </si>
  <si>
    <t>2017-18</t>
  </si>
  <si>
    <t>BAL-BALE</t>
  </si>
  <si>
    <t>WPAY</t>
  </si>
  <si>
    <t>E</t>
  </si>
  <si>
    <t>EXPWP</t>
  </si>
  <si>
    <t>FEBRUARY</t>
  </si>
  <si>
    <t>2018-19</t>
  </si>
  <si>
    <t>BDL-BUNDLES</t>
  </si>
  <si>
    <t>Revised Invoice</t>
  </si>
  <si>
    <t>EXPWOP</t>
  </si>
  <si>
    <t>MARCH</t>
  </si>
  <si>
    <t>BKL-BUCKLES</t>
  </si>
  <si>
    <t>APRIL</t>
  </si>
  <si>
    <t>BOU-BILLION OF UNITS</t>
  </si>
  <si>
    <t>Credit Note</t>
  </si>
  <si>
    <t>MAY</t>
  </si>
  <si>
    <t>BOX-BOX</t>
  </si>
  <si>
    <t>Receipt Voucher</t>
  </si>
  <si>
    <t>JUNE</t>
  </si>
  <si>
    <t>BTL-BOTTLES</t>
  </si>
  <si>
    <t>Payment Voucher</t>
  </si>
  <si>
    <t>JULY</t>
  </si>
  <si>
    <t>BUN-BUNCHES</t>
  </si>
  <si>
    <t>AUGUST</t>
  </si>
  <si>
    <t>CAN-CANS</t>
  </si>
  <si>
    <t>SEPTEMBER</t>
  </si>
  <si>
    <t>CBM-CUBIC METERS</t>
  </si>
  <si>
    <t>Delivery Challan for supply on approval</t>
  </si>
  <si>
    <t>OCTOBER</t>
  </si>
  <si>
    <t>CCM-CUBIC CENTIMETERS</t>
  </si>
  <si>
    <t>Delivery Challan in case of liquid gas</t>
  </si>
  <si>
    <t>NOVEMBER</t>
  </si>
  <si>
    <t>CMS-CENTIMETERS</t>
  </si>
  <si>
    <t>Delivery Challan in case other than by way of supply (excluding at S no. 9 to 11)</t>
  </si>
  <si>
    <t>DECEMBER</t>
  </si>
  <si>
    <t>CTN-CARTONS</t>
  </si>
  <si>
    <t>DOZ-DOZENS</t>
  </si>
  <si>
    <t>DRM-DRUMS</t>
  </si>
  <si>
    <t>GGK-GREAT GROSS</t>
  </si>
  <si>
    <t>GMS-GRAMMES</t>
  </si>
  <si>
    <t>GRS-GROSS</t>
  </si>
  <si>
    <t>GYD-GROSS YARDS</t>
  </si>
  <si>
    <t>KGS-KILOGRAMS</t>
  </si>
  <si>
    <t>KME-KILOMETRE</t>
  </si>
  <si>
    <t>34-Puducherry</t>
  </si>
  <si>
    <t>27AMMPB3648M1ZO</t>
  </si>
  <si>
    <t>27AABFA1883E1ZQ</t>
  </si>
  <si>
    <t>27AAHCA1363L1ZK</t>
  </si>
  <si>
    <t>27AJZPM2520M1ZL</t>
  </si>
  <si>
    <t>27AAJFA8391F1Z7</t>
  </si>
  <si>
    <t>27AABCL0595K1Z9</t>
  </si>
  <si>
    <t>27AAECD2713N1ZK</t>
  </si>
  <si>
    <t>27AAPFG4989F1ZR</t>
  </si>
  <si>
    <t>27AAACA8832H1ZO</t>
  </si>
  <si>
    <t>27AAACB4599E1ZL</t>
  </si>
  <si>
    <t>27ABXPV6045J1ZP</t>
  </si>
  <si>
    <t>27ACFPY4813JIZ6</t>
  </si>
  <si>
    <t>27AAHFP1154BIZN</t>
  </si>
  <si>
    <t>27AASCS0290B1ZC</t>
  </si>
  <si>
    <t>27AATPC2316A1Z7</t>
  </si>
  <si>
    <t>27AAMFG7702P1ZS</t>
  </si>
  <si>
    <t>27BSEPS5026B1ZX</t>
  </si>
  <si>
    <t>27AAZFM6461A1ZY</t>
  </si>
  <si>
    <t>27AABCP6517B1ZQ</t>
  </si>
  <si>
    <t>27ATWPK5509M1ZV</t>
  </si>
  <si>
    <t>27AHVPG8951G1ZQ</t>
  </si>
  <si>
    <t>06AAACM6984G1Z9</t>
  </si>
  <si>
    <t>27AJAPG7696K1ZP</t>
  </si>
  <si>
    <t>27ADOPJ4418Q1ZV</t>
  </si>
  <si>
    <t>27AASCS9231J1ZO</t>
  </si>
  <si>
    <t>27AYCPB9228K1ZA</t>
  </si>
  <si>
    <t>27AAACU5552C1ZJ</t>
  </si>
  <si>
    <t>27AAACO4716C1ZT</t>
  </si>
  <si>
    <t>27ABXFSO61P1Z5</t>
  </si>
  <si>
    <t>27AACPH4424P1ZJ</t>
  </si>
  <si>
    <t>27AAACM2185R1ZX</t>
  </si>
  <si>
    <t>27AAACD257111ZO</t>
  </si>
  <si>
    <t>27AABFM8397H1ZT</t>
  </si>
  <si>
    <t>27AFJPK6177Q1ZJ</t>
  </si>
  <si>
    <t>27AAACB2894G1ZN</t>
  </si>
  <si>
    <t>27AABCF6516A1Z3</t>
  </si>
  <si>
    <t>27AVIPS7433C1ZF</t>
  </si>
  <si>
    <t>27BAEPM8837J1Z6</t>
  </si>
  <si>
    <t>27AEZPB3304H1ZI</t>
  </si>
  <si>
    <t>33AAACM2185R1Z4</t>
  </si>
  <si>
    <t>27AAECP8535C1ZF</t>
  </si>
  <si>
    <t>27AACCG8994N1ZO</t>
  </si>
  <si>
    <t>27AACFM2940F1ZJ</t>
  </si>
  <si>
    <t>27AGRPA3908N1Z0</t>
  </si>
  <si>
    <t>27AAACI6297A1ZN</t>
  </si>
  <si>
    <t>27BUQPM7574N1ZH</t>
  </si>
  <si>
    <t>27APHPD1073Q1ZM</t>
  </si>
  <si>
    <t>27AAEFS2599G1ZU</t>
  </si>
  <si>
    <t>27AAACT6649K1ZV</t>
  </si>
  <si>
    <t>27ACNPS6908C1ZB</t>
  </si>
  <si>
    <t>27AJTPD5059N1ZI</t>
  </si>
  <si>
    <t>27AEEPP4832R1ZT</t>
  </si>
  <si>
    <t>27AABFR5119A1ZO</t>
  </si>
  <si>
    <t>27AAOPJ7179F1Z8</t>
  </si>
  <si>
    <t>27ACPPS1076B1ZI</t>
  </si>
  <si>
    <t>27AABFM8411A1ZS</t>
  </si>
  <si>
    <t>27AAMFC2124K1ZG</t>
  </si>
  <si>
    <t>27AJIPP2958D1Z0</t>
  </si>
  <si>
    <t>27AGOPA8563A1ZH</t>
  </si>
  <si>
    <t>27AAACU2414K1ZF</t>
  </si>
  <si>
    <t>Aditya Enteprises</t>
  </si>
  <si>
    <t>Aeroaids Corporation</t>
  </si>
  <si>
    <t>Atharva Polymers Pvt Ltd,</t>
  </si>
  <si>
    <t>Sai Traders</t>
  </si>
  <si>
    <t>Adm Engineering</t>
  </si>
  <si>
    <t>Lotus Tapes (India) Pvt Ltd,</t>
  </si>
  <si>
    <t>Axalta Coating Systems India Pvt.Ltd,</t>
  </si>
  <si>
    <t>Gawade Steel Traders</t>
  </si>
  <si>
    <t>Ppg Asian Paints Pvt Ltd,</t>
  </si>
  <si>
    <t>BASF India Limited</t>
  </si>
  <si>
    <t>National Chemicals</t>
  </si>
  <si>
    <t>Om Enterprises</t>
  </si>
  <si>
    <t>Varroc Polymers Pvt Ltd,</t>
  </si>
  <si>
    <t>Premier Sales Corporation</t>
  </si>
  <si>
    <t>S &amp; P Electrocoating Pvt Ltd,</t>
  </si>
  <si>
    <t>Raj Hardware &amp; Electricals</t>
  </si>
  <si>
    <t>Ganesh Total Gaz Distributor</t>
  </si>
  <si>
    <t>Riddhi Traders</t>
  </si>
  <si>
    <t>Micro Plast</t>
  </si>
  <si>
    <t>Premier Seals (India) Pvt Ltd</t>
  </si>
  <si>
    <t>Disha Fire Solutions</t>
  </si>
  <si>
    <t>Sam Systems</t>
  </si>
  <si>
    <t>Kansai Nerolac Paints Ltd,</t>
  </si>
  <si>
    <t>Machino Plastics Ltd. Unit-II</t>
  </si>
  <si>
    <t>Deep Enterprises</t>
  </si>
  <si>
    <t>Yeshodeep enterpises</t>
  </si>
  <si>
    <t>Shubham Biz Facility Management (p) Ltd,</t>
  </si>
  <si>
    <t>Vnet Corporation</t>
  </si>
  <si>
    <t>United India Insurance Company Ltd,</t>
  </si>
  <si>
    <t>Om logistics ltd.</t>
  </si>
  <si>
    <t>S R Enterprises</t>
  </si>
  <si>
    <t>Promise Pest Control System</t>
  </si>
  <si>
    <t>Mrf Corp Limited</t>
  </si>
  <si>
    <t>Lumax Ancillary Limited</t>
  </si>
  <si>
    <t>Master Pressing Works</t>
  </si>
  <si>
    <t>Lumax Autotechnologies Ltd</t>
  </si>
  <si>
    <t>Nutan Enterprises</t>
  </si>
  <si>
    <t>Bharti Airtel Limited relationship no 1335956435</t>
  </si>
  <si>
    <t>Fedex express Transportation And Supply Chain Services (India) Private Ltd</t>
  </si>
  <si>
    <t>Rajendra Enterprises</t>
  </si>
  <si>
    <t>Anuradha Enterprises</t>
  </si>
  <si>
    <t>Hari Om Enterprises</t>
  </si>
  <si>
    <t>Mrf Corp Limited-Hub</t>
  </si>
  <si>
    <t>Polyplastics Industries (India) Pvt.Ltd</t>
  </si>
  <si>
    <t>Galva Decoparts Pvt.Ltd</t>
  </si>
  <si>
    <t>M Traders</t>
  </si>
  <si>
    <t>New Radha hardware</t>
  </si>
  <si>
    <t>Akzo Noble India Limited</t>
  </si>
  <si>
    <t>M-Tech Enterprises</t>
  </si>
  <si>
    <t>Allwell Products</t>
  </si>
  <si>
    <t>Sigma Air Filters</t>
  </si>
  <si>
    <t>TNT India Pvt Ltd.</t>
  </si>
  <si>
    <t>Shalimar Electricals</t>
  </si>
  <si>
    <t>Dhumal Motor Glass</t>
  </si>
  <si>
    <t>Vijay Vallbh Traders</t>
  </si>
  <si>
    <t>Exergon Chemical (MFG) Company</t>
  </si>
  <si>
    <t>Pooja Enterprises</t>
  </si>
  <si>
    <t>Spire India</t>
  </si>
  <si>
    <t>Maharashtra Paints &amp; H/w Stores</t>
  </si>
  <si>
    <t>Chhatrapati Business Group</t>
  </si>
  <si>
    <t>SSQA</t>
  </si>
  <si>
    <t>Rajdeep Electric co.</t>
  </si>
  <si>
    <t>Axis Bank Ltd</t>
  </si>
  <si>
    <t>Yuan Heng Tai Water Transfer Printing Co .,Ltd</t>
  </si>
  <si>
    <t>TDS</t>
  </si>
  <si>
    <t>Misc Chemical Products Thinner</t>
  </si>
  <si>
    <t>Lighting &amp; Fitting</t>
  </si>
  <si>
    <t>Polish Paper</t>
  </si>
  <si>
    <t>Gypsum Powder</t>
  </si>
  <si>
    <t>Broom</t>
  </si>
  <si>
    <t>Tackrog</t>
  </si>
  <si>
    <t>Cotton Gloves</t>
  </si>
  <si>
    <t>Cloth Lint</t>
  </si>
  <si>
    <t>Cloth Filter</t>
  </si>
  <si>
    <t>Pencil</t>
  </si>
  <si>
    <t>Box Files</t>
  </si>
  <si>
    <t>PEN</t>
  </si>
  <si>
    <t>Nitrial Glove</t>
  </si>
  <si>
    <t>Finger</t>
  </si>
  <si>
    <t>Battery</t>
  </si>
  <si>
    <t>Liquid</t>
  </si>
  <si>
    <t>Wiper</t>
  </si>
  <si>
    <t>Distilled Water</t>
  </si>
  <si>
    <t>Lambi Patti</t>
  </si>
  <si>
    <t>Self-Adhesive Tape</t>
  </si>
  <si>
    <t>Bopp Tapes</t>
  </si>
  <si>
    <t>Cutter</t>
  </si>
  <si>
    <t>Calculator</t>
  </si>
  <si>
    <t>Toluene</t>
  </si>
  <si>
    <t>IPA</t>
  </si>
  <si>
    <t>Mask</t>
  </si>
  <si>
    <t>Lizol</t>
  </si>
  <si>
    <t>colin spray</t>
  </si>
  <si>
    <t>Cement</t>
  </si>
  <si>
    <t>Automatic Data Processing</t>
  </si>
  <si>
    <t>Parts &amp; Accessories Of Other Cover</t>
  </si>
  <si>
    <t>Fire Extinguishers</t>
  </si>
  <si>
    <t>Hand Glove</t>
  </si>
  <si>
    <t>Lease Rental Machinery</t>
  </si>
  <si>
    <t>Services</t>
  </si>
  <si>
    <t>Petroleum Gases &amp; Other</t>
  </si>
  <si>
    <t>Wheel Powder</t>
  </si>
  <si>
    <t>White Napkin</t>
  </si>
  <si>
    <t>Degreasing</t>
  </si>
  <si>
    <t>Magnetic</t>
  </si>
  <si>
    <t>capacitors</t>
  </si>
  <si>
    <t>valves</t>
  </si>
  <si>
    <t>Other articles of vulcanised r</t>
  </si>
  <si>
    <t>including spring washers</t>
  </si>
  <si>
    <t>PISTEN</t>
  </si>
  <si>
    <t>New pneumatic tyres</t>
  </si>
  <si>
    <t>40119320/</t>
  </si>
  <si>
    <t>Adapter</t>
  </si>
  <si>
    <t>40169320/</t>
  </si>
  <si>
    <t>Transmission shafts</t>
  </si>
  <si>
    <t>Maintenance and repair service</t>
  </si>
  <si>
    <t>39239090</t>
  </si>
  <si>
    <t>Bubble Bag</t>
  </si>
  <si>
    <t xml:space="preserve">Bubble </t>
  </si>
  <si>
    <t>N C Thinner</t>
  </si>
  <si>
    <t>Manpower Recuritment Agency Se</t>
  </si>
  <si>
    <t>998422</t>
  </si>
  <si>
    <t>Internet Charges</t>
  </si>
  <si>
    <t>39172310</t>
  </si>
  <si>
    <t>Tubes pipes and hoses and fitt</t>
  </si>
  <si>
    <t>3917</t>
  </si>
  <si>
    <t>Clips</t>
  </si>
  <si>
    <t>39174000</t>
  </si>
  <si>
    <t>Tubes Pipes and Hoses and Fitt</t>
  </si>
  <si>
    <t>7317</t>
  </si>
  <si>
    <t>Nails-KGS</t>
  </si>
  <si>
    <t>7307</t>
  </si>
  <si>
    <t>Pipe  Fittings</t>
  </si>
  <si>
    <t>3506</t>
  </si>
  <si>
    <t>Glues  Other Adhesives</t>
  </si>
  <si>
    <t>chemical products and </t>
  </si>
  <si>
    <t>Building blocks and bricks</t>
  </si>
  <si>
    <t>Tools for working</t>
  </si>
  <si>
    <t>Fossil Fuels - Coal &amp; Petroleum</t>
  </si>
  <si>
    <t>I Card</t>
  </si>
  <si>
    <t>tools for hand tools</t>
  </si>
  <si>
    <t>Tape</t>
  </si>
  <si>
    <t>Glaziers Putty</t>
  </si>
  <si>
    <t>Grease</t>
  </si>
  <si>
    <t>Brushes</t>
  </si>
  <si>
    <t>Other clays</t>
  </si>
  <si>
    <t>Copper</t>
  </si>
  <si>
    <t>Earthing</t>
  </si>
  <si>
    <t>Technical testing and analysis services</t>
  </si>
  <si>
    <t>Power driven pumps</t>
  </si>
  <si>
    <t>Apron</t>
  </si>
  <si>
    <t>39199090/</t>
  </si>
  <si>
    <t>Pencil Apsara Glass</t>
  </si>
  <si>
    <t>Allwell Skid</t>
  </si>
  <si>
    <t>Filters</t>
  </si>
  <si>
    <t>Pre-Dispatch</t>
  </si>
  <si>
    <t>3814/</t>
  </si>
  <si>
    <t>38140010/</t>
  </si>
  <si>
    <t>Parts and accessories</t>
  </si>
  <si>
    <t>Stainer</t>
  </si>
  <si>
    <t>Other Plates, Sheets,</t>
  </si>
  <si>
    <t>Casein, Albumin, Gelatin, Enzymes</t>
  </si>
  <si>
    <t>Taps, Cocks,</t>
  </si>
  <si>
    <t>Wood Cutter</t>
  </si>
  <si>
    <t>Sealed Beam Lamp Units</t>
  </si>
  <si>
    <t>Mix Solvent</t>
  </si>
  <si>
    <t>SS COMB</t>
  </si>
  <si>
    <t xml:space="preserve">Polish </t>
  </si>
  <si>
    <t>Aldrop</t>
  </si>
  <si>
    <t>handle</t>
  </si>
  <si>
    <t>Tubes Pipes &amp; Hoses</t>
  </si>
  <si>
    <t>pop</t>
  </si>
  <si>
    <t>Water Tank</t>
  </si>
  <si>
    <t>Seat Tapes</t>
  </si>
  <si>
    <t>Hose Joint</t>
  </si>
  <si>
    <t>Cut Off Wheel</t>
  </si>
  <si>
    <t>Courier Services</t>
  </si>
  <si>
    <t>Telephone</t>
  </si>
  <si>
    <t>Sink Coupling</t>
  </si>
  <si>
    <t>Welding Cable</t>
  </si>
  <si>
    <t>Welding Holder</t>
  </si>
  <si>
    <t>Comb Plier</t>
  </si>
  <si>
    <t>Solder gun</t>
  </si>
  <si>
    <t>Wall Fan</t>
  </si>
  <si>
    <t>Cable</t>
  </si>
  <si>
    <t>3208/</t>
  </si>
  <si>
    <t>39269099/</t>
  </si>
  <si>
    <t>29029090/</t>
  </si>
  <si>
    <t>Phynoil</t>
  </si>
  <si>
    <t>Soft Broom</t>
  </si>
  <si>
    <t>Prestoplast Pipe</t>
  </si>
  <si>
    <t>Legrnad Mcb Box</t>
  </si>
  <si>
    <t>8538/</t>
  </si>
  <si>
    <t>Ms Box</t>
  </si>
  <si>
    <t>Note Book</t>
  </si>
  <si>
    <t>40159030/</t>
  </si>
  <si>
    <t>GLAZIERS PUTTY</t>
  </si>
  <si>
    <t>OTHERS ( PAINT &amp; VARNISHES)</t>
  </si>
  <si>
    <t>Photographic &amp; Cinematographic Films</t>
  </si>
  <si>
    <t>Digital Stopwatch</t>
  </si>
  <si>
    <t>LABELS</t>
  </si>
  <si>
    <t>8506/</t>
  </si>
  <si>
    <t>8302/</t>
  </si>
  <si>
    <t>Lamineted glass</t>
  </si>
  <si>
    <t>pneumatic,</t>
  </si>
  <si>
    <t>Cable Tie</t>
  </si>
  <si>
    <t>Machinery parts</t>
  </si>
  <si>
    <t>paper, paperboard, plastics or similar backing materials</t>
  </si>
  <si>
    <t xml:space="preserve"> Star Clips</t>
  </si>
  <si>
    <t>85061000/</t>
  </si>
  <si>
    <t>Padlock</t>
  </si>
  <si>
    <t>Bharti Ppc</t>
  </si>
  <si>
    <t>Management consulting and management services</t>
  </si>
  <si>
    <t>8539/</t>
  </si>
  <si>
    <t>996812</t>
  </si>
  <si>
    <t>Courior Service</t>
  </si>
  <si>
    <t>9984</t>
  </si>
  <si>
    <t>TelecommunicationsBroadcasting</t>
  </si>
  <si>
    <t>Transportation Of Goods By Road</t>
  </si>
  <si>
    <t>9971</t>
  </si>
  <si>
    <t>Financial  Related Services</t>
  </si>
  <si>
    <t>Party Name</t>
  </si>
  <si>
    <t>GSTN NO.</t>
  </si>
  <si>
    <t>Invoice No.</t>
  </si>
  <si>
    <t>Date</t>
  </si>
  <si>
    <t>Place of</t>
  </si>
  <si>
    <t>E-Commerce GSTIN</t>
  </si>
  <si>
    <t>Charges</t>
  </si>
  <si>
    <t>Maharashatra electricity Disc co.ltd</t>
  </si>
  <si>
    <t>TOTAL</t>
  </si>
  <si>
    <t>Non GST supply</t>
  </si>
  <si>
    <t>Inter-State supplies</t>
  </si>
  <si>
    <t>Intra-State supplies</t>
  </si>
  <si>
    <t>PURCHASE REGISTER MONTH OF DEC 2017</t>
  </si>
  <si>
    <t>Tax Deducted at Source [ TDS ]</t>
  </si>
  <si>
    <t>Tax Collected at Source [ TCS ]</t>
  </si>
  <si>
    <t>e.g. motor vehicles and other conveyances</t>
  </si>
  <si>
    <t>e.g. food and beverages, outdoor catering</t>
  </si>
  <si>
    <t>e.g. beauty treatment, health services, cosmetic and plastic surgery</t>
  </si>
  <si>
    <t>e.g. membership of a club, health and fitness centre</t>
  </si>
  <si>
    <t>e.g. rent-a-cab, life insurance and health insurance</t>
  </si>
  <si>
    <t>e.g. works contract, goods or services received for immovable property</t>
  </si>
  <si>
    <t>e.g. goods lost, stolen, destroyed, written off or disposed of as gift or free samples</t>
  </si>
  <si>
    <t>Collection of Details for GST Return FORM GSTR-3B</t>
  </si>
  <si>
    <t>Year</t>
  </si>
  <si>
    <t>GSTIN</t>
  </si>
  <si>
    <t>27AASFA7303G1ZE</t>
  </si>
  <si>
    <t>Legal name of registered person</t>
  </si>
  <si>
    <t>Details of Outward Supplies and inward supplies liable to reverse charge</t>
  </si>
  <si>
    <t>Nature of Supplies</t>
  </si>
  <si>
    <t>Integrated Tax</t>
  </si>
  <si>
    <t>Central Tax</t>
  </si>
  <si>
    <t>State/UT Tax</t>
  </si>
  <si>
    <t>%</t>
  </si>
  <si>
    <t>Details</t>
  </si>
  <si>
    <t>Nature of supplies</t>
  </si>
  <si>
    <t>Payment of tax</t>
  </si>
  <si>
    <t>AUTOFINA</t>
  </si>
  <si>
    <t>Sales (Output)</t>
  </si>
  <si>
    <t xml:space="preserve">Rate </t>
  </si>
  <si>
    <t>Total A</t>
  </si>
  <si>
    <t xml:space="preserve"> Purchase (Input)</t>
  </si>
  <si>
    <t>Total B</t>
  </si>
  <si>
    <t>Particular</t>
  </si>
  <si>
    <t>At the end you can adjust the Liability or Credit in the following prefereance</t>
  </si>
  <si>
    <t>Against Liability of:</t>
  </si>
  <si>
    <t>1st Preference</t>
  </si>
  <si>
    <t>2nd Preferance</t>
  </si>
  <si>
    <t>3rd Preference</t>
  </si>
  <si>
    <t>NET LIABILITY</t>
  </si>
  <si>
    <t>ITC BALANCE</t>
  </si>
  <si>
    <t>CURRENT OUTPUT</t>
  </si>
  <si>
    <t>REVERSE CHARGE</t>
  </si>
  <si>
    <t>CURRENT ITC</t>
  </si>
  <si>
    <t>CURRENT BALANCE</t>
  </si>
  <si>
    <t>LIABILITY</t>
  </si>
  <si>
    <t>ADJUST THROUGH ITC</t>
  </si>
  <si>
    <t>TAX PAYBLE</t>
  </si>
  <si>
    <t>TAX</t>
  </si>
  <si>
    <t>INTEREST</t>
  </si>
  <si>
    <t>LATE FEES</t>
  </si>
  <si>
    <t>CLOSING BANACE</t>
  </si>
  <si>
    <t>ITC</t>
  </si>
  <si>
    <t>CASH</t>
  </si>
  <si>
    <t>PAID</t>
  </si>
  <si>
    <t>CHALLAN</t>
  </si>
  <si>
    <t>ADJUST</t>
  </si>
  <si>
    <t>OPENING BALANCE</t>
  </si>
  <si>
    <t>(a) Outward Taxable  supplies  (other than zero rated, nil rated and exempted)</t>
  </si>
  <si>
    <t>(b) Outward Taxable  supplies  (zero rated )</t>
  </si>
  <si>
    <t>(c) Other Outward Taxable  supplies (Nil rated, exempted)</t>
  </si>
  <si>
    <t xml:space="preserve">(d) Inward supplies (liable to reverse charge) </t>
  </si>
  <si>
    <t>(e) Non-GST Outward supplies</t>
  </si>
  <si>
    <t>(A) ITC Available (Whether in full or part)</t>
  </si>
  <si>
    <t xml:space="preserve">(1)   Import of goods </t>
  </si>
  <si>
    <t>(2)   Import of services</t>
  </si>
  <si>
    <t>(3)   Inward supplies liable to reverse charge
        (other than 1 &amp;2 above)</t>
  </si>
  <si>
    <t>(4)   Inward supplies from ISD</t>
  </si>
  <si>
    <t>(5)   All other ITC</t>
  </si>
  <si>
    <t xml:space="preserve">(1)   As per Rule 42 &amp; 43 of SGST/CGST rules </t>
  </si>
  <si>
    <t>(2)   Others</t>
  </si>
  <si>
    <t>(1)   As per section 17(5) of CGST//SGST Act</t>
  </si>
  <si>
    <t>5. Values of exempt, Nil-rated and non-GST inward supplies</t>
  </si>
  <si>
    <t>Intra-state supplies</t>
  </si>
  <si>
    <t>From a supplier under composition scheme, Exempt  and Nil rated supply</t>
  </si>
  <si>
    <t>S.No</t>
  </si>
  <si>
    <t>Nature of Expenses</t>
  </si>
  <si>
    <t>Rate of Tax</t>
  </si>
  <si>
    <t>Whether registered supplier will levy tax</t>
  </si>
  <si>
    <t>Reverse Charge (If supply is unregistered)</t>
  </si>
  <si>
    <t>Whether Eligible for Input Tax Credit</t>
  </si>
  <si>
    <t>Salaay, wages &amp; bonus paid to employee</t>
  </si>
  <si>
    <t>No</t>
  </si>
  <si>
    <t>Electricity bill</t>
  </si>
  <si>
    <t>Water Charges/ Plain Water</t>
  </si>
  <si>
    <t>Bank Interest</t>
  </si>
  <si>
    <t>Professional Tax</t>
  </si>
  <si>
    <t>BMC Tax</t>
  </si>
  <si>
    <t>Building / Property Tax</t>
  </si>
  <si>
    <t>Rent Deposits</t>
  </si>
  <si>
    <t>Other Deposits</t>
  </si>
  <si>
    <t>Petrol / Disel/ CNG/Kerosene Expenses (Motor Spirit)</t>
  </si>
  <si>
    <t>Liquor Expenses</t>
  </si>
  <si>
    <t>Registration Fees (ROF / ROC / RTO etc)</t>
  </si>
  <si>
    <t>Bad Debt</t>
  </si>
  <si>
    <t>Donation</t>
  </si>
  <si>
    <t>Labour Welfare Contribution to Government</t>
  </si>
  <si>
    <t>Fine &amp; Penalities</t>
  </si>
  <si>
    <t>Conveyance Expense - Non AC Taxi, Auto, Bus, Train</t>
  </si>
  <si>
    <t>Loading &amp; Unloading in relation agricultural produce/ Hamali</t>
  </si>
  <si>
    <t>Rent Paid for residential use</t>
  </si>
  <si>
    <t>Godown Rent for agricultural produce</t>
  </si>
  <si>
    <t>News paper &amp; magazines</t>
  </si>
  <si>
    <t>Remuneration to Director &amp; partners</t>
  </si>
  <si>
    <t>Conveyance Expense - Radio Taxi like OLA &amp; UBER or other AC vechile</t>
  </si>
  <si>
    <t>Yes</t>
  </si>
  <si>
    <t>Payment to Goods Transport Agency</t>
  </si>
  <si>
    <t>Travelling in Train by AC or First class</t>
  </si>
  <si>
    <t>Job Work / Labour Charges for textile yarn &amp; textile fabric</t>
  </si>
  <si>
    <t>Job Work / Labour Charges for diamond , jewellery &amp; precious metal</t>
  </si>
  <si>
    <t>Job Work / Labour Charges for printing of books, journals &amp; periodicals</t>
  </si>
  <si>
    <t>Food &amp; Beverages Expense (Non AC restaurant)</t>
  </si>
  <si>
    <t>Room Rent in a hotel, lodge (Rs.1000 to 2500 per room per day</t>
  </si>
  <si>
    <t>Fuel (Furnace Oil/LPG)</t>
  </si>
  <si>
    <t>Sales Promotion/Business Promotion</t>
  </si>
  <si>
    <t>Food &amp; Beverages Expense (AC restaurant)</t>
  </si>
  <si>
    <t>Mineral water</t>
  </si>
  <si>
    <t>Truck/ Tempo Hire Charges</t>
  </si>
  <si>
    <t>Club &amp; Membership fees</t>
  </si>
  <si>
    <t>Advertisement Charges / Hoarding / Magazine / News Papers / Media</t>
  </si>
  <si>
    <t>AMC Charges</t>
  </si>
  <si>
    <t>Bank Charges - Service charges recovered</t>
  </si>
  <si>
    <t>Broker Fee &amp; Charges</t>
  </si>
  <si>
    <t>Cancellation Charges</t>
  </si>
  <si>
    <t>Extended Warranty</t>
  </si>
  <si>
    <t>House Keeping Charges</t>
  </si>
  <si>
    <t>Insurance paid on goods &amp; vechile</t>
  </si>
  <si>
    <t>Health Insurance</t>
  </si>
  <si>
    <t>Payment to advocate</t>
  </si>
  <si>
    <t>Loading &amp; Unloading - others/ Hamali</t>
  </si>
  <si>
    <t>Training Expense</t>
  </si>
  <si>
    <t>Payment to Post office for Speed post &amp; parcel post</t>
  </si>
  <si>
    <t>Postage and Courier Charges</t>
  </si>
  <si>
    <t>Printing &amp; Stationery (Flex Printing, Broad Printing, Notice Printing)</t>
  </si>
  <si>
    <t>Recruitment Expenses</t>
  </si>
  <si>
    <t>Commission Paid</t>
  </si>
  <si>
    <t>Rent Paid for commercial use of premises</t>
  </si>
  <si>
    <t>Godown Rent for commercial purpose</t>
  </si>
  <si>
    <t>Repair and Maintenance - Building / Electrical / P&amp; M / Others</t>
  </si>
  <si>
    <t>Refer Note 1</t>
  </si>
  <si>
    <t>Room Rent in a hotel, lodge (Rs.2500 to 7500 per room per day</t>
  </si>
  <si>
    <t>Payment for Sponsorship Services</t>
  </si>
  <si>
    <t>Security Charges</t>
  </si>
  <si>
    <t>Telephone, Mobile &amp; internet Charges</t>
  </si>
  <si>
    <t>Refer Note 2</t>
  </si>
  <si>
    <t>Sundry Expenses</t>
  </si>
  <si>
    <t>Job Work / Labour Charges for garment processing</t>
  </si>
  <si>
    <t>Job Work / Labour Charges (Other)</t>
  </si>
  <si>
    <t>Sitting Fees, Commission or any other payment made to director by company</t>
  </si>
  <si>
    <t>Audit Fees, Account Writing , Professional Fees (other than Advocate)</t>
  </si>
  <si>
    <t>Research &amp; Development Expenses</t>
  </si>
  <si>
    <t>Wall Paint</t>
  </si>
  <si>
    <t>Room Rent in a hotel, lodge Above Rs.7500/-</t>
  </si>
  <si>
    <t>Travelling Expenses International</t>
  </si>
  <si>
    <t>Amusement Park/ Theatre Ticket</t>
  </si>
  <si>
    <t>Cold drink</t>
  </si>
  <si>
    <t>Repairs &amp; maintainance Charges if it has not resulted into immovable property</t>
  </si>
  <si>
    <t>Electrical Fittings</t>
  </si>
  <si>
    <t>Staff Uniform Expenses</t>
  </si>
  <si>
    <t>Packing material &amp; Packing Charges</t>
  </si>
  <si>
    <t>Plant &amp; Machinery</t>
  </si>
  <si>
    <t>Actual Rate</t>
  </si>
  <si>
    <t>Refer Note 3</t>
  </si>
  <si>
    <t>Furniture &amp; Fixture</t>
  </si>
  <si>
    <t>Motor Car</t>
  </si>
  <si>
    <t>Building</t>
  </si>
  <si>
    <t>Office Equipment including Computer, Software &amp; Hardware</t>
  </si>
  <si>
    <t>Free Gift given to staff (Exempt upto Rs.50000/- per staff p.a)</t>
  </si>
  <si>
    <t>Applicable Rate</t>
  </si>
  <si>
    <t>Free Gift given to staff (Above Rs.50000/- per staff p.a)</t>
  </si>
  <si>
    <t>Divali/ New year Gift purchased &amp; debited to P &amp; L</t>
  </si>
  <si>
    <t>of Expenses</t>
  </si>
  <si>
    <t xml:space="preserve">Nature </t>
  </si>
  <si>
    <t>Inter-state</t>
  </si>
  <si>
    <t>Intra-state</t>
  </si>
  <si>
    <t>UnRegistered Dealer</t>
  </si>
  <si>
    <t>Registered Dealer</t>
  </si>
  <si>
    <t>Disallowed</t>
  </si>
  <si>
    <t>itc claim</t>
  </si>
  <si>
    <t xml:space="preserve">Availed ITC </t>
  </si>
  <si>
    <t xml:space="preserve">Eligibility </t>
  </si>
  <si>
    <t>For ITC</t>
  </si>
  <si>
    <t xml:space="preserve">Central Tax </t>
  </si>
  <si>
    <t>Paid</t>
  </si>
  <si>
    <t xml:space="preserve">State/UT Tax </t>
  </si>
  <si>
    <t xml:space="preserve"> Voucher date</t>
  </si>
  <si>
    <t>Invoice/Advance Payment</t>
  </si>
  <si>
    <t>Voucher date</t>
  </si>
  <si>
    <t xml:space="preserve"> Issuing document</t>
  </si>
  <si>
    <t>Reason For</t>
  </si>
  <si>
    <t>Document</t>
  </si>
  <si>
    <t xml:space="preserve"> Voucher Value</t>
  </si>
  <si>
    <t xml:space="preserve">Invoice/Advance </t>
  </si>
  <si>
    <t>Receipt Date</t>
  </si>
  <si>
    <t>Invoice/Advance</t>
  </si>
  <si>
    <t xml:space="preserve">  Receipt Number</t>
  </si>
  <si>
    <t xml:space="preserve">Note/Refund </t>
  </si>
  <si>
    <t>Voucher Value</t>
  </si>
  <si>
    <t xml:space="preserve">Original Note/Refund </t>
  </si>
  <si>
    <t>Voucher Number</t>
  </si>
  <si>
    <t>Original Invoice/</t>
  </si>
  <si>
    <t>Advance Receipt Number</t>
  </si>
  <si>
    <t>Advance Receipt date</t>
  </si>
  <si>
    <t xml:space="preserve">Revised Note/Refund </t>
  </si>
  <si>
    <t xml:space="preserve">Taxable </t>
  </si>
  <si>
    <t xml:space="preserve">Cess </t>
  </si>
  <si>
    <t xml:space="preserve"> (B) ITC Reversed</t>
  </si>
  <si>
    <t xml:space="preserve"> (C) Net ITC Available (A)-(B)</t>
  </si>
  <si>
    <t xml:space="preserve"> (D) Ineligible ITC</t>
  </si>
  <si>
    <t>BALANCE</t>
  </si>
  <si>
    <t>ADJUST THROUGH</t>
  </si>
  <si>
    <t>TDS/TCS</t>
  </si>
  <si>
    <t xml:space="preserve"> </t>
  </si>
  <si>
    <t>Tax Amount</t>
  </si>
  <si>
    <t>IGST Tax Amount</t>
  </si>
  <si>
    <t>CGST Tax Amount</t>
  </si>
  <si>
    <t>SGST Tax Amount</t>
  </si>
  <si>
    <t>CESS Tax Amount</t>
  </si>
  <si>
    <t>Return</t>
  </si>
  <si>
    <t>Sale Amount</t>
  </si>
  <si>
    <t>Purchase Amt</t>
  </si>
  <si>
    <t>TOTAL AS PER EXCEL BOOK</t>
  </si>
  <si>
    <t>TOTAL AS PER TALLY BOOK</t>
  </si>
  <si>
    <t>DIFFRANCE</t>
  </si>
  <si>
    <t>JV</t>
  </si>
  <si>
    <t>YES</t>
  </si>
  <si>
    <t>REGULAR</t>
  </si>
  <si>
    <t>No.</t>
  </si>
  <si>
    <t xml:space="preserve">Invoice </t>
  </si>
  <si>
    <t xml:space="preserve">Voucher </t>
  </si>
  <si>
    <t>As per Orginal bill</t>
  </si>
  <si>
    <t>purchase Amount</t>
  </si>
  <si>
    <t>Net ITC ABAILABLE</t>
  </si>
  <si>
    <t>PARTYWISE SALE</t>
  </si>
  <si>
    <t>PARTYWISE PURCHASE</t>
  </si>
  <si>
    <t>Purchase Reverse charges</t>
  </si>
  <si>
    <t>Sale Reverse charges</t>
  </si>
  <si>
    <t>27ABOFS4993B1ZQ</t>
  </si>
  <si>
    <t>S M Rolling Works</t>
  </si>
  <si>
    <t>27AAACV2420J1ZI</t>
  </si>
  <si>
    <t>Varroc Engineering Pvt Ltd</t>
  </si>
  <si>
    <t>AUDI AUTOMOBILES</t>
  </si>
  <si>
    <t>27AAACG1376N1ZC</t>
  </si>
  <si>
    <t>27AABCO8467D1ZA</t>
  </si>
  <si>
    <t>Origa Lease Finance Pvt Ltd</t>
  </si>
  <si>
    <t>27AAHCS2420A1ZX</t>
  </si>
  <si>
    <t>Snjay Tools &amp; Accessories Pvt Ltd</t>
  </si>
  <si>
    <t>27AAZPJ4136D1ZI</t>
  </si>
  <si>
    <t>Bajaj Automobiles</t>
  </si>
  <si>
    <t>27AABFI6338L1Z3</t>
  </si>
  <si>
    <t>Industrial Trading Company</t>
  </si>
  <si>
    <t>27ABTPB8020D1ZV</t>
  </si>
  <si>
    <t>Gayatri Aqua Solutions</t>
  </si>
  <si>
    <t>27ADTPJ2325F1ZJ</t>
  </si>
  <si>
    <t>Tri-K Inc</t>
  </si>
  <si>
    <t>27AAYPA0273F1ZQ</t>
  </si>
  <si>
    <t>Swan Electricals</t>
  </si>
  <si>
    <t>27ALMPJ2823M1ZR</t>
  </si>
  <si>
    <t>Aaltis Lighting Solutions</t>
  </si>
  <si>
    <t>Mast Double Pipe Mod1</t>
  </si>
  <si>
    <t>2710</t>
  </si>
  <si>
    <t>Petroleum Oils and Oils</t>
  </si>
  <si>
    <t>4016</t>
  </si>
  <si>
    <t>Rubber Gasket</t>
  </si>
  <si>
    <t>94054090</t>
  </si>
  <si>
    <t>85446090/</t>
  </si>
  <si>
    <t>48201010</t>
  </si>
  <si>
    <t>48025690</t>
  </si>
  <si>
    <t>2668/17-18</t>
  </si>
  <si>
    <t>Local Sale</t>
  </si>
  <si>
    <t>Oms Sale</t>
  </si>
  <si>
    <t>Local 18.00%</t>
  </si>
  <si>
    <t>Local Pur</t>
  </si>
  <si>
    <t>Oms Pur</t>
  </si>
  <si>
    <t>Local 28.00%</t>
  </si>
  <si>
    <t>Local 5.00%</t>
  </si>
  <si>
    <t>Net</t>
  </si>
  <si>
    <t>Local 3.00%</t>
  </si>
  <si>
    <t>Local 0.00%</t>
  </si>
  <si>
    <t>Local 12.00%</t>
  </si>
  <si>
    <t>Oms 28.00%</t>
  </si>
  <si>
    <t>Oms 0.00%</t>
  </si>
  <si>
    <t>Oms 3.00%</t>
  </si>
  <si>
    <t>Oms 5.00%</t>
  </si>
  <si>
    <t>Oms 12.00%</t>
  </si>
  <si>
    <t>Oms 18.00%</t>
  </si>
  <si>
    <t>Assy.value</t>
  </si>
  <si>
    <t>GST</t>
  </si>
  <si>
    <t>Purchase (Itc)</t>
  </si>
  <si>
    <t>rate</t>
  </si>
  <si>
    <t>44123190</t>
  </si>
  <si>
    <t>48239019</t>
  </si>
  <si>
    <t>70072190</t>
  </si>
  <si>
    <t>7210</t>
  </si>
  <si>
    <t>73170013</t>
  </si>
  <si>
    <t>84249000</t>
  </si>
  <si>
    <t>85198990</t>
  </si>
  <si>
    <t>96039000/</t>
  </si>
  <si>
    <t>27AHUPC1514G1ZI</t>
  </si>
  <si>
    <t>Good Knight</t>
  </si>
  <si>
    <t>Toner Wiper</t>
  </si>
  <si>
    <t>Ready Plaster</t>
  </si>
  <si>
    <t>39173990</t>
  </si>
  <si>
    <t xml:space="preserve"> Hoses and Fitt</t>
  </si>
  <si>
    <t>Overload Relay</t>
  </si>
  <si>
    <t>M S JALI</t>
  </si>
  <si>
    <t>Carb Brush</t>
  </si>
  <si>
    <t>Led Lights</t>
  </si>
  <si>
    <t>9405</t>
  </si>
  <si>
    <t>48196000</t>
  </si>
  <si>
    <t>OTHER ARTCLES OF PLASTICS</t>
  </si>
  <si>
    <t>43039000</t>
  </si>
  <si>
    <t>Lambswool</t>
  </si>
  <si>
    <t>96081019</t>
  </si>
  <si>
    <t>Pens [Other Than Fountain Pens, Stylograph Pens</t>
  </si>
  <si>
    <t>Plywood, veneered panels</t>
  </si>
  <si>
    <t>Braille paper, kites, Paper mache articles</t>
  </si>
  <si>
    <t>Nails, tacks, drawing pins, corrugated nails, staples</t>
  </si>
  <si>
    <t>Register</t>
  </si>
  <si>
    <t>Mouse</t>
  </si>
  <si>
    <t>Uncoated Paper and Paperboard,</t>
  </si>
  <si>
    <t>8204</t>
  </si>
  <si>
    <t>Allenkey</t>
  </si>
  <si>
    <t>4008</t>
  </si>
  <si>
    <t>Sponge</t>
  </si>
  <si>
    <t>4203</t>
  </si>
  <si>
    <t>Kenedian Gloves</t>
  </si>
  <si>
    <t>spray guns and similar appliances</t>
  </si>
  <si>
    <t>8428</t>
  </si>
  <si>
    <t>Monorail Conveyor</t>
  </si>
  <si>
    <t>G I Dect</t>
  </si>
  <si>
    <t>caustic soda</t>
  </si>
  <si>
    <t>Sefety Shoe</t>
  </si>
  <si>
    <t xml:space="preserve">Varroc Engineering Ltd </t>
  </si>
  <si>
    <t>27AAYFS6552R1ZU</t>
  </si>
  <si>
    <t>Sager Enterprises</t>
  </si>
  <si>
    <t>27AASPJ2582N1ZY</t>
  </si>
  <si>
    <t>Joanit Controls</t>
  </si>
  <si>
    <t>27CDLPS3021D1ZP</t>
  </si>
  <si>
    <t>Krishna Hardware</t>
  </si>
  <si>
    <t>27AAGPO6738D1ZK</t>
  </si>
  <si>
    <t>Ganpati ply Laminate And Hardware</t>
  </si>
  <si>
    <t>27AAFCP3402M1ZD</t>
  </si>
  <si>
    <t>Proton Power Control Pvt.Ltd</t>
  </si>
  <si>
    <t>27APUPP6829B2ZD</t>
  </si>
  <si>
    <t>Shahid Sheet Fabricarion</t>
  </si>
  <si>
    <t>27AADCM9750F1ZA</t>
  </si>
  <si>
    <t>Membrane Filers (India) Pvt.Ltd</t>
  </si>
  <si>
    <t>27AADFA5996L1ZV</t>
  </si>
  <si>
    <t>Abdulhusain Abdulally Hakim</t>
  </si>
  <si>
    <t>27ACKPT7340N1ZU</t>
  </si>
  <si>
    <t>Zenith Engineering</t>
  </si>
  <si>
    <t>Mataji Hardware And Eleectricals</t>
  </si>
  <si>
    <t>27AADCR3007N1ZA</t>
  </si>
  <si>
    <t>Renata Precision Components Pvt Ltd</t>
  </si>
  <si>
    <t>23AAACB7066L1ZM</t>
  </si>
  <si>
    <t>Force Motors Limited</t>
  </si>
  <si>
    <t>2906/17-18</t>
  </si>
  <si>
    <t>2907/17-18</t>
  </si>
  <si>
    <t>2908/17-18</t>
  </si>
  <si>
    <t>2909/17-18</t>
  </si>
  <si>
    <t>2910/17-18</t>
  </si>
  <si>
    <t>2911/17-18</t>
  </si>
  <si>
    <t>2912/17-18</t>
  </si>
  <si>
    <t>2913/17-18</t>
  </si>
  <si>
    <t>2914/17-18</t>
  </si>
  <si>
    <t>2915/17-18</t>
  </si>
  <si>
    <t>2916/17-18</t>
  </si>
  <si>
    <t>2917/17-18</t>
  </si>
  <si>
    <t>2918/17-18</t>
  </si>
  <si>
    <t>2919/17-18</t>
  </si>
  <si>
    <t>2920/17-18</t>
  </si>
  <si>
    <t>2921/17-18</t>
  </si>
  <si>
    <t>2922/17-18</t>
  </si>
  <si>
    <t>2923/17-18</t>
  </si>
  <si>
    <t>2924/17-18</t>
  </si>
  <si>
    <t>2925/17-18</t>
  </si>
  <si>
    <t>2926/17-18</t>
  </si>
  <si>
    <t>2927/17-18</t>
  </si>
  <si>
    <t>2928/17-18</t>
  </si>
  <si>
    <t>2929/17-18</t>
  </si>
  <si>
    <t>2930/17-18</t>
  </si>
  <si>
    <t>2931/17-18</t>
  </si>
  <si>
    <t>2932/17-18</t>
  </si>
  <si>
    <t>2933/17-18</t>
  </si>
  <si>
    <t>2934/17-18</t>
  </si>
  <si>
    <t>2935/17-18</t>
  </si>
  <si>
    <t>2936/17-18</t>
  </si>
  <si>
    <t>2937/17-18</t>
  </si>
  <si>
    <t>2938/17-18</t>
  </si>
  <si>
    <t>2939/17-18</t>
  </si>
  <si>
    <t>2940/17-18</t>
  </si>
  <si>
    <t>2941/17-18</t>
  </si>
  <si>
    <t>2942/17-18</t>
  </si>
  <si>
    <t>2943/17-18</t>
  </si>
  <si>
    <t>2944/17-18</t>
  </si>
  <si>
    <t>2945/17-18</t>
  </si>
  <si>
    <t>2946/17-18</t>
  </si>
  <si>
    <t>2947/17-18</t>
  </si>
  <si>
    <t>2948/17-18</t>
  </si>
  <si>
    <t>2949/17-18</t>
  </si>
  <si>
    <t>2950/17-18</t>
  </si>
  <si>
    <t>2951/17-18</t>
  </si>
  <si>
    <t>2952/17-18</t>
  </si>
  <si>
    <t>2953/17-18</t>
  </si>
  <si>
    <t>2954/17-18</t>
  </si>
  <si>
    <t>2955/17-18</t>
  </si>
  <si>
    <t>2956/17-18</t>
  </si>
  <si>
    <t>2957/17-18</t>
  </si>
  <si>
    <t>2958/17-18</t>
  </si>
  <si>
    <t>2959/17-18</t>
  </si>
  <si>
    <t>2960/17-18</t>
  </si>
  <si>
    <t>2961/17-18</t>
  </si>
  <si>
    <t>2962/17-18</t>
  </si>
  <si>
    <t>2963/17-18</t>
  </si>
  <si>
    <t>2964/17-18</t>
  </si>
  <si>
    <t>2965/17-18</t>
  </si>
  <si>
    <t>2966/17-18</t>
  </si>
  <si>
    <t>2967/17-18</t>
  </si>
  <si>
    <t>2968/17-18</t>
  </si>
  <si>
    <t>2969/17-18</t>
  </si>
  <si>
    <t>2970/17-18</t>
  </si>
  <si>
    <t>2971/17-18</t>
  </si>
  <si>
    <t>2972/17-18</t>
  </si>
  <si>
    <t>2973/17-18</t>
  </si>
  <si>
    <t>2974/17-18</t>
  </si>
  <si>
    <t>2975/17-18</t>
  </si>
  <si>
    <t>2976/17-18</t>
  </si>
  <si>
    <t>2977/17-18</t>
  </si>
  <si>
    <t>2978/17-18</t>
  </si>
  <si>
    <t>2979/17-18</t>
  </si>
  <si>
    <t>2980/17-18</t>
  </si>
  <si>
    <t>2981/17-18</t>
  </si>
  <si>
    <t>2982/17-18</t>
  </si>
  <si>
    <t>2983/17-18</t>
  </si>
  <si>
    <t>2984/17-18</t>
  </si>
  <si>
    <t>2985/17-18</t>
  </si>
  <si>
    <t>2986/17-18</t>
  </si>
  <si>
    <t>2987/17-18</t>
  </si>
  <si>
    <t>2988/17-18</t>
  </si>
  <si>
    <t>2989/17-18</t>
  </si>
  <si>
    <t>2990/17-18</t>
  </si>
  <si>
    <t>2991/17-18</t>
  </si>
  <si>
    <t>2992/17-18</t>
  </si>
  <si>
    <t>2993/17-18</t>
  </si>
  <si>
    <t>2994/17-18</t>
  </si>
  <si>
    <t>2995/17-18</t>
  </si>
  <si>
    <t>2996/17-18</t>
  </si>
  <si>
    <t>2997/17-18</t>
  </si>
  <si>
    <t>2998/17-18</t>
  </si>
  <si>
    <t>2999/17-18</t>
  </si>
  <si>
    <t>3000/17-18</t>
  </si>
  <si>
    <t>3001/17-18</t>
  </si>
  <si>
    <t>3002/17-18</t>
  </si>
  <si>
    <t>3003/17-18</t>
  </si>
  <si>
    <t>3004/17-18</t>
  </si>
  <si>
    <t>3005/17-18</t>
  </si>
  <si>
    <t>3006/17-18</t>
  </si>
  <si>
    <t>3007/17-18</t>
  </si>
  <si>
    <t>3008/17-18</t>
  </si>
  <si>
    <t>3009/17-18</t>
  </si>
  <si>
    <t>3010/17-18</t>
  </si>
  <si>
    <t>3011/17-18</t>
  </si>
  <si>
    <t>3012/17-18</t>
  </si>
  <si>
    <t>3013/17-18</t>
  </si>
  <si>
    <t>3014/17-18</t>
  </si>
  <si>
    <t>3015/17-18</t>
  </si>
  <si>
    <t>3016/17-18</t>
  </si>
  <si>
    <t>3017/17-18</t>
  </si>
  <si>
    <t>3018/17-18</t>
  </si>
  <si>
    <t>3019/17-18</t>
  </si>
  <si>
    <t>3020/17-18</t>
  </si>
  <si>
    <t>3021/17-18</t>
  </si>
  <si>
    <t>3022/17-18</t>
  </si>
  <si>
    <t>3023/17-18</t>
  </si>
  <si>
    <t>3024/17-18</t>
  </si>
  <si>
    <t>3025/17-18</t>
  </si>
  <si>
    <t>3026/17-18</t>
  </si>
  <si>
    <t>3027/17-18</t>
  </si>
  <si>
    <t>3028/17-18</t>
  </si>
  <si>
    <t>3029/17-18</t>
  </si>
  <si>
    <t>3030/17-18</t>
  </si>
  <si>
    <t>3031/17-18</t>
  </si>
  <si>
    <t>3032/17-18</t>
  </si>
  <si>
    <t>3033/17-18</t>
  </si>
  <si>
    <t>3034/17-18</t>
  </si>
  <si>
    <t>3035/17-18</t>
  </si>
  <si>
    <t>3036/17-18</t>
  </si>
  <si>
    <t>3037/17-18</t>
  </si>
  <si>
    <t>3038/17-18</t>
  </si>
  <si>
    <t>3039/17-18</t>
  </si>
  <si>
    <t>3040/17-18</t>
  </si>
  <si>
    <t>3041/17-18</t>
  </si>
  <si>
    <t>3042/17-18</t>
  </si>
  <si>
    <t>3043/17-18</t>
  </si>
  <si>
    <t>3044/17-18</t>
  </si>
  <si>
    <t>3045/17-18</t>
  </si>
  <si>
    <t>3046/17-18</t>
  </si>
  <si>
    <t>3047/17-18</t>
  </si>
  <si>
    <t>3048/17-18</t>
  </si>
  <si>
    <t>3049/17-18</t>
  </si>
  <si>
    <t>3050/17-18</t>
  </si>
  <si>
    <t>3051/17-18</t>
  </si>
  <si>
    <t>3052/17-18</t>
  </si>
  <si>
    <t>3053/17-18</t>
  </si>
  <si>
    <t>3054/17-18</t>
  </si>
  <si>
    <t>3055/17-18</t>
  </si>
  <si>
    <t>3056/17-18</t>
  </si>
  <si>
    <t>3057/17-18</t>
  </si>
  <si>
    <t>3058/17-18</t>
  </si>
  <si>
    <t>3059/17-18</t>
  </si>
  <si>
    <t>3060/17-18</t>
  </si>
  <si>
    <t>3061/17-18</t>
  </si>
  <si>
    <t>3062/17-18</t>
  </si>
  <si>
    <t>3063/17-18</t>
  </si>
  <si>
    <t>3064/17-18</t>
  </si>
  <si>
    <t>3065/17-18</t>
  </si>
  <si>
    <t>3066/17-18</t>
  </si>
  <si>
    <t>3067/17-18</t>
  </si>
  <si>
    <t>3068/17-18</t>
  </si>
  <si>
    <t>3069/17-18</t>
  </si>
  <si>
    <t>3070/17-18</t>
  </si>
  <si>
    <t>3071/17-18</t>
  </si>
  <si>
    <t>3072/17-18</t>
  </si>
  <si>
    <t>3073/17-18</t>
  </si>
  <si>
    <t>3074/17-18</t>
  </si>
  <si>
    <t>3075/17-18</t>
  </si>
  <si>
    <t>3076/17-18</t>
  </si>
  <si>
    <t>3077/17-18</t>
  </si>
  <si>
    <t>3078/17-18</t>
  </si>
  <si>
    <t>3079/17-18</t>
  </si>
  <si>
    <t>3080/17-18</t>
  </si>
  <si>
    <t>3081/17-18</t>
  </si>
  <si>
    <t>3082/17-18</t>
  </si>
  <si>
    <t>3083/17-18</t>
  </si>
  <si>
    <t>3084/17-18</t>
  </si>
  <si>
    <t>3085/17-18</t>
  </si>
  <si>
    <t>3086/17-18</t>
  </si>
  <si>
    <t>3087/17-18</t>
  </si>
  <si>
    <t>3088/17-18</t>
  </si>
  <si>
    <t>3089/17-18</t>
  </si>
  <si>
    <t>3090/17-18</t>
  </si>
  <si>
    <t>3091/17-18</t>
  </si>
  <si>
    <t>3092/17-18</t>
  </si>
  <si>
    <t>3093/17-18</t>
  </si>
  <si>
    <t>3094/17-18</t>
  </si>
  <si>
    <t>3095/17-18</t>
  </si>
  <si>
    <t>3096/17-18</t>
  </si>
  <si>
    <t>3097/17-18</t>
  </si>
  <si>
    <t>3098/17-18</t>
  </si>
  <si>
    <t>3099/17-18</t>
  </si>
  <si>
    <t>3100/17-18</t>
  </si>
  <si>
    <t>3101/17-18</t>
  </si>
  <si>
    <t>3102/17-18</t>
  </si>
  <si>
    <t>3103/17-18</t>
  </si>
  <si>
    <t>3104/17-18</t>
  </si>
  <si>
    <t>3105/17-18</t>
  </si>
  <si>
    <t>3106/17-18</t>
  </si>
  <si>
    <t>3107/17-18</t>
  </si>
  <si>
    <t>3108/17-18</t>
  </si>
  <si>
    <t>3109/17-18</t>
  </si>
  <si>
    <t>3110/17-18</t>
  </si>
  <si>
    <t>3111/17-18</t>
  </si>
  <si>
    <t>3112/17-18</t>
  </si>
  <si>
    <t>3113/17-18</t>
  </si>
  <si>
    <t>3114/17-18</t>
  </si>
  <si>
    <t>3115/17-18</t>
  </si>
  <si>
    <t>3116/17-18</t>
  </si>
  <si>
    <t>3117/17-18</t>
  </si>
  <si>
    <t>3118/17-18</t>
  </si>
  <si>
    <t>3119/17-18</t>
  </si>
  <si>
    <t>3120/17-18</t>
  </si>
  <si>
    <t>3121/17-18</t>
  </si>
  <si>
    <t>3122/17-18</t>
  </si>
  <si>
    <t>3123/17-18</t>
  </si>
  <si>
    <t>3124/17-18</t>
  </si>
  <si>
    <t>3125/17-18</t>
  </si>
  <si>
    <t>3126/17-18</t>
  </si>
  <si>
    <t>3127/17-18</t>
  </si>
  <si>
    <t>3128/17-18</t>
  </si>
  <si>
    <t>3129/17-18</t>
  </si>
  <si>
    <t>3130/17-18</t>
  </si>
  <si>
    <t>3131/17-18</t>
  </si>
  <si>
    <t>3132/17-18</t>
  </si>
  <si>
    <t>3133/17-18</t>
  </si>
  <si>
    <t>3134/17-18</t>
  </si>
  <si>
    <t>3135/17-18</t>
  </si>
  <si>
    <t>3136/17-18</t>
  </si>
  <si>
    <t>3137/17-18</t>
  </si>
  <si>
    <t>3138/17-18</t>
  </si>
  <si>
    <t>3139/17-18</t>
  </si>
  <si>
    <t>3140/17-18</t>
  </si>
  <si>
    <t>3141/17-18</t>
  </si>
  <si>
    <t>3142/17-18</t>
  </si>
  <si>
    <t>3143/17-18</t>
  </si>
  <si>
    <t>3144/17-18</t>
  </si>
  <si>
    <t>3145/17-18</t>
  </si>
  <si>
    <t>3146/17-18</t>
  </si>
  <si>
    <t>3147/17-18</t>
  </si>
  <si>
    <t>3148/17-18</t>
  </si>
  <si>
    <t>3149/17-18</t>
  </si>
  <si>
    <t>3150/17-18</t>
  </si>
  <si>
    <t>3151/17-18</t>
  </si>
  <si>
    <t>3152/17-18</t>
  </si>
  <si>
    <t>3153/17-18</t>
  </si>
  <si>
    <t>3154/17-18</t>
  </si>
  <si>
    <t>3155/17-18</t>
  </si>
  <si>
    <t>3156/17-18</t>
  </si>
  <si>
    <t>3157/17-18</t>
  </si>
  <si>
    <t>3158/17-18</t>
  </si>
  <si>
    <t>3159/17-18</t>
  </si>
  <si>
    <t>3160/17-18</t>
  </si>
  <si>
    <t>3161/17-18</t>
  </si>
  <si>
    <t>3162/17-18</t>
  </si>
  <si>
    <t>3163/17-18</t>
  </si>
  <si>
    <t>3164/17-18</t>
  </si>
  <si>
    <t>3165/17-18</t>
  </si>
  <si>
    <t>3166/17-18</t>
  </si>
  <si>
    <t>3167/17-18</t>
  </si>
  <si>
    <t>3168/17-18</t>
  </si>
  <si>
    <t>3169/17-18</t>
  </si>
  <si>
    <t>3170/17-18</t>
  </si>
  <si>
    <t>3171/17-18</t>
  </si>
  <si>
    <t>3172/17-18</t>
  </si>
  <si>
    <t>3173/17-18</t>
  </si>
  <si>
    <t>3174/17-18</t>
  </si>
  <si>
    <t>3175/17-18</t>
  </si>
  <si>
    <t>3176/17-18</t>
  </si>
  <si>
    <t>3177/17-18</t>
  </si>
  <si>
    <t>3178/17-18</t>
  </si>
  <si>
    <t>3179/17-18</t>
  </si>
  <si>
    <t>3180/17-18</t>
  </si>
  <si>
    <t>3181/17-18</t>
  </si>
  <si>
    <t>3182/17-18</t>
  </si>
  <si>
    <t>3183/17-18</t>
  </si>
  <si>
    <t>3184/17-18</t>
  </si>
  <si>
    <t>3185/17-18</t>
  </si>
  <si>
    <t>3186/17-18</t>
  </si>
  <si>
    <t>3187/17-18</t>
  </si>
  <si>
    <t>3188/17-18</t>
  </si>
  <si>
    <t>3189/17-18</t>
  </si>
  <si>
    <t>3190/17-18</t>
  </si>
  <si>
    <t>3191/17-18</t>
  </si>
  <si>
    <t>3192/17-18</t>
  </si>
  <si>
    <t>3193/17-18</t>
  </si>
  <si>
    <t>3194/17-18</t>
  </si>
  <si>
    <t>3195/17-18</t>
  </si>
  <si>
    <t>3196/17-18</t>
  </si>
  <si>
    <t>3197/17-18</t>
  </si>
  <si>
    <t>3198/17-18</t>
  </si>
  <si>
    <t>3199/17-18</t>
  </si>
  <si>
    <t>3200/17-18</t>
  </si>
  <si>
    <t>3201/17-18</t>
  </si>
  <si>
    <t>3202/17-18</t>
  </si>
  <si>
    <t>3203/17-18</t>
  </si>
  <si>
    <t>3204/17-18</t>
  </si>
  <si>
    <t>3205/17-18</t>
  </si>
  <si>
    <t>3206/17-18</t>
  </si>
  <si>
    <t>3207/17-18</t>
  </si>
  <si>
    <t>3208/17-18</t>
  </si>
  <si>
    <t>3209/17-18</t>
  </si>
  <si>
    <t>3210/17-18</t>
  </si>
  <si>
    <t>3211/17-18</t>
  </si>
  <si>
    <t>3212/17-18</t>
  </si>
  <si>
    <t>3213/17-18</t>
  </si>
  <si>
    <t>3214/17-18</t>
  </si>
  <si>
    <t>3215/17-18</t>
  </si>
  <si>
    <t>3216/17-18</t>
  </si>
  <si>
    <t>3217/17-18</t>
  </si>
  <si>
    <t>3218/17-18</t>
  </si>
  <si>
    <t>3219/17-18</t>
  </si>
  <si>
    <t>3220/17-18</t>
  </si>
  <si>
    <t>3221/17-18</t>
  </si>
  <si>
    <t>3222/17-18</t>
  </si>
  <si>
    <t>3223/17-18</t>
  </si>
  <si>
    <t>3224/17-18</t>
  </si>
  <si>
    <t>3225/17-18</t>
  </si>
  <si>
    <t>3226/17-18</t>
  </si>
  <si>
    <t>3227/17-18</t>
  </si>
  <si>
    <t>3228/17-18</t>
  </si>
  <si>
    <t>3229/17-18</t>
  </si>
  <si>
    <t>3230/17-18</t>
  </si>
  <si>
    <t>3231/17-18</t>
  </si>
  <si>
    <t>3232/17-18</t>
  </si>
  <si>
    <t>3233/17-18</t>
  </si>
  <si>
    <t>3234/17-18</t>
  </si>
  <si>
    <t>3235/17-18</t>
  </si>
  <si>
    <t>3236/17-18</t>
  </si>
  <si>
    <t>3237/17-18</t>
  </si>
  <si>
    <t>3238/17-18</t>
  </si>
  <si>
    <t>3239/17-18</t>
  </si>
  <si>
    <t>3240/17-18</t>
  </si>
  <si>
    <t>3241/17-18</t>
  </si>
  <si>
    <t>3242/17-18</t>
  </si>
  <si>
    <t>3243/17-18</t>
  </si>
  <si>
    <t>3244/17-18</t>
  </si>
  <si>
    <t>3245/17-18</t>
  </si>
  <si>
    <t>3246/17-18</t>
  </si>
  <si>
    <t>3247/17-18</t>
  </si>
  <si>
    <t>3248/17-18</t>
  </si>
  <si>
    <t>3249/17-18</t>
  </si>
  <si>
    <t>3250/17-18</t>
  </si>
  <si>
    <t>3251/17-18</t>
  </si>
  <si>
    <t>3252/17-18</t>
  </si>
  <si>
    <t>3253/17-18</t>
  </si>
  <si>
    <t>3254/17-18</t>
  </si>
  <si>
    <t>3255/17-18</t>
  </si>
  <si>
    <t>3256/17-18</t>
  </si>
  <si>
    <t>3257/17-18</t>
  </si>
  <si>
    <t>3258/17-18</t>
  </si>
  <si>
    <t>3259/17-18</t>
  </si>
  <si>
    <t>3260/17-18</t>
  </si>
  <si>
    <t>3261/17-18</t>
  </si>
  <si>
    <t>3262/17-18</t>
  </si>
  <si>
    <t>3263/17-18</t>
  </si>
  <si>
    <t>3264/17-18</t>
  </si>
  <si>
    <t>3265/17-18</t>
  </si>
  <si>
    <t>3266/17-18</t>
  </si>
  <si>
    <t>3267/17-18</t>
  </si>
  <si>
    <t>3268/17-18</t>
  </si>
  <si>
    <t>3269/17-18</t>
  </si>
  <si>
    <t>3270/17-18</t>
  </si>
  <si>
    <t>3271/17-18</t>
  </si>
  <si>
    <t>7726/17-18</t>
  </si>
  <si>
    <t>7728/17-18</t>
  </si>
  <si>
    <t>7729/17-18</t>
  </si>
  <si>
    <t>7730/17-18</t>
  </si>
  <si>
    <t>MH1761032688</t>
  </si>
  <si>
    <t>MH1761032689</t>
  </si>
  <si>
    <t>AP/17-18/20702</t>
  </si>
  <si>
    <t>SS/17-18/0001095</t>
  </si>
  <si>
    <t>TB/P/1718/4491</t>
  </si>
  <si>
    <t>J271168950</t>
  </si>
  <si>
    <t>J271168951</t>
  </si>
  <si>
    <t>SI1840112539</t>
  </si>
  <si>
    <t>AP/17-18/20763</t>
  </si>
  <si>
    <t>AP/17-18/20808</t>
  </si>
  <si>
    <t>AP/17-18/20872</t>
  </si>
  <si>
    <t>7775/17-18</t>
  </si>
  <si>
    <t>AWP/364</t>
  </si>
  <si>
    <t>OLFPL/17-18/060</t>
  </si>
  <si>
    <t>SI1840113841</t>
  </si>
  <si>
    <t>AP/17-18/20919</t>
  </si>
  <si>
    <t>G0869</t>
  </si>
  <si>
    <t>G0871</t>
  </si>
  <si>
    <t>HP804529</t>
  </si>
  <si>
    <t>VNET/17-18/2166</t>
  </si>
  <si>
    <t>AP/17-18/20974</t>
  </si>
  <si>
    <t>SI1840114739</t>
  </si>
  <si>
    <t>MH1761033421</t>
  </si>
  <si>
    <t>488/17-18</t>
  </si>
  <si>
    <t>AP/17-18/21068</t>
  </si>
  <si>
    <t>AP/17-18/21086</t>
  </si>
  <si>
    <t>AP/17-18/21087</t>
  </si>
  <si>
    <t>SI1840115474</t>
  </si>
  <si>
    <t>AP/17-18/21117</t>
  </si>
  <si>
    <t>AP/17-18/21159</t>
  </si>
  <si>
    <t>OS2702030749</t>
  </si>
  <si>
    <t>AP/17-18/21214</t>
  </si>
  <si>
    <t>SI1840116592</t>
  </si>
  <si>
    <t>SI1840117310</t>
  </si>
  <si>
    <t>AP/17-18/21293</t>
  </si>
  <si>
    <t>HP804621</t>
  </si>
  <si>
    <t>HP804622</t>
  </si>
  <si>
    <t>AP/17-18/21334</t>
  </si>
  <si>
    <t>AP/17-18/21372</t>
  </si>
  <si>
    <t>AP/17-18/21373</t>
  </si>
  <si>
    <t>AWP/378</t>
  </si>
  <si>
    <t>AWP/379</t>
  </si>
  <si>
    <t>SI1840117838</t>
  </si>
  <si>
    <t>AP/17-18/21388</t>
  </si>
  <si>
    <t>AP/17-18/21441</t>
  </si>
  <si>
    <t>AP/17-18/21472</t>
  </si>
  <si>
    <t>TB/P/G1718/4743</t>
  </si>
  <si>
    <t>BA/17-18/297</t>
  </si>
  <si>
    <t>SI1840119081</t>
  </si>
  <si>
    <t>SI1840119080</t>
  </si>
  <si>
    <t>AP/17-18/21554</t>
  </si>
  <si>
    <t>AP/17-18/21590</t>
  </si>
  <si>
    <t>SI1840119747</t>
  </si>
  <si>
    <t>7727/17-18</t>
  </si>
  <si>
    <t>8079/17-18</t>
  </si>
  <si>
    <t>8148/17-18</t>
  </si>
  <si>
    <t>8149/17-18</t>
  </si>
  <si>
    <t>8150/17-18</t>
  </si>
  <si>
    <t>SI1840120509</t>
  </si>
  <si>
    <t>AP/17-18/21720</t>
  </si>
  <si>
    <t>AP/17-18/21749</t>
  </si>
  <si>
    <t>PMH09247</t>
  </si>
  <si>
    <t>MH1761035192</t>
  </si>
  <si>
    <t>MH1761035193</t>
  </si>
  <si>
    <t>J271183212</t>
  </si>
  <si>
    <t>J271183213</t>
  </si>
  <si>
    <t>AP/17-18/21770</t>
  </si>
  <si>
    <t>AP/17-18/21828</t>
  </si>
  <si>
    <t>SI1840121573</t>
  </si>
  <si>
    <t>AP/17-18/21906</t>
  </si>
  <si>
    <t>8253/17-18</t>
  </si>
  <si>
    <t>NC/0806</t>
  </si>
  <si>
    <t>BA/17-18/307</t>
  </si>
  <si>
    <t>HP804759</t>
  </si>
  <si>
    <t>GST201718-0357</t>
  </si>
  <si>
    <t>AP/17-18/21957</t>
  </si>
  <si>
    <t>HP804786</t>
  </si>
  <si>
    <t>495/17-18</t>
  </si>
  <si>
    <t>J271186943</t>
  </si>
  <si>
    <t>J271186944</t>
  </si>
  <si>
    <t>J271186945</t>
  </si>
  <si>
    <t>AP/17-18/22036</t>
  </si>
  <si>
    <t>AP/17-18/22087</t>
  </si>
  <si>
    <t>SI1840123849</t>
  </si>
  <si>
    <t>AWP/398</t>
  </si>
  <si>
    <t>AWP/399</t>
  </si>
  <si>
    <t>17-18/6631</t>
  </si>
  <si>
    <t>AP/17-18/22187</t>
  </si>
  <si>
    <t>80/17-18</t>
  </si>
  <si>
    <t>TB/P/G1718/4973</t>
  </si>
  <si>
    <t>8398/17-18</t>
  </si>
  <si>
    <t>8399/17-18</t>
  </si>
  <si>
    <t>8400/17-18</t>
  </si>
  <si>
    <t>8401/17-18</t>
  </si>
  <si>
    <t>17-18/6665</t>
  </si>
  <si>
    <t>AP/17-18/22238</t>
  </si>
  <si>
    <t>AP/17-18/22327</t>
  </si>
  <si>
    <t>17-18/6690</t>
  </si>
  <si>
    <t>83/17-18</t>
  </si>
  <si>
    <t>PR/17-18/625</t>
  </si>
  <si>
    <t>SI1840125840</t>
  </si>
  <si>
    <t>17-18/6711</t>
  </si>
  <si>
    <t>AP/17-18/22354</t>
  </si>
  <si>
    <t>SS/17-18/0001171</t>
  </si>
  <si>
    <t>GT/643</t>
  </si>
  <si>
    <t>SI1840127330</t>
  </si>
  <si>
    <t>AP/17-18/22442</t>
  </si>
  <si>
    <t>AP/17-18/22461</t>
  </si>
  <si>
    <t>509/17-18</t>
  </si>
  <si>
    <t>Sabale Industries</t>
  </si>
  <si>
    <t>Lokseva Petroleum</t>
  </si>
  <si>
    <t>Maharashtra State Electricity Distribution Co Ltd.</t>
  </si>
  <si>
    <t>29</t>
  </si>
  <si>
    <t>1683</t>
  </si>
  <si>
    <t>MONTH OF jan-18/6776</t>
  </si>
  <si>
    <t>S P Enterprises</t>
  </si>
  <si>
    <t>Pratibha Tea House</t>
  </si>
  <si>
    <t>Golden winding Works</t>
  </si>
  <si>
    <t>Overseas Logistics &amp; Service</t>
  </si>
  <si>
    <t>OLS/AF/639</t>
  </si>
  <si>
    <t>Yah Transport</t>
  </si>
  <si>
    <t>MONTH OF jan-18/03354</t>
  </si>
  <si>
    <t>PURCHASE REGISTER MONTH OF FEB 2018</t>
  </si>
  <si>
    <t>1636-BE477235</t>
  </si>
  <si>
    <t>1636-BE477237</t>
  </si>
  <si>
    <t>1636-BE477240</t>
  </si>
  <si>
    <t>1636-BE477242</t>
  </si>
  <si>
    <t>1636-BE477244</t>
  </si>
  <si>
    <t xml:space="preserve"> Purchase (Input) capital</t>
  </si>
  <si>
    <t>Sales (Output) capital</t>
  </si>
  <si>
    <t>STATUTORY WORKING FOR GST MONTH OF  JULY 2018</t>
  </si>
  <si>
    <t>OUTPUT GST</t>
  </si>
  <si>
    <t>PARTICULAR</t>
  </si>
  <si>
    <t xml:space="preserve">IGST Taxable </t>
  </si>
  <si>
    <t xml:space="preserve">CGST/SGST Taxable </t>
  </si>
  <si>
    <t>Total Taxable</t>
  </si>
  <si>
    <t xml:space="preserve">TOTAL </t>
  </si>
  <si>
    <t>Output GST</t>
  </si>
  <si>
    <t>Add:- Purchase Return</t>
  </si>
  <si>
    <t>Less Sales Return</t>
  </si>
  <si>
    <t>Net Taxable</t>
  </si>
  <si>
    <t>Input GST capital</t>
  </si>
  <si>
    <t>Net Taxable as per sale</t>
  </si>
  <si>
    <t>Output Zero Taxable</t>
  </si>
  <si>
    <t>Output NIL ,Exempted</t>
  </si>
  <si>
    <t>Reverse Charges</t>
  </si>
  <si>
    <t>NON GST Suppliers</t>
  </si>
  <si>
    <t>Unregistred Person compo</t>
  </si>
  <si>
    <t>Registred Person compo</t>
  </si>
  <si>
    <t>Suppliers UIN Holders</t>
  </si>
  <si>
    <t>TOTAL OUTPUT</t>
  </si>
  <si>
    <t xml:space="preserve"> Add Opening Balance</t>
  </si>
  <si>
    <t>INPUT GST</t>
  </si>
  <si>
    <t>Input GST Regular</t>
  </si>
  <si>
    <t>Add:- Sales Return</t>
  </si>
  <si>
    <t>Less Purchase Return</t>
  </si>
  <si>
    <t>Input Import Goods</t>
  </si>
  <si>
    <t>Input Import service</t>
  </si>
  <si>
    <t>NIL Exempted NON GST</t>
  </si>
  <si>
    <t>Inward Suppliers From ISD</t>
  </si>
  <si>
    <t>Less TDS Amout</t>
  </si>
  <si>
    <t>Less Mouling cost</t>
  </si>
  <si>
    <t>Round off</t>
  </si>
  <si>
    <t>TOTAL ITC as per Purchase</t>
  </si>
  <si>
    <t xml:space="preserve"> Add itc from bank</t>
  </si>
  <si>
    <t>TOTAL TURNOVER</t>
  </si>
  <si>
    <t>LESS ITC Reversed</t>
  </si>
  <si>
    <t>Rule 42 &amp;43 Of GST</t>
  </si>
  <si>
    <t>Other</t>
  </si>
  <si>
    <t>INELIGIBLE ITC</t>
  </si>
  <si>
    <t xml:space="preserve"> Rule 175(5)</t>
  </si>
  <si>
    <t>LIABILITY ADJUSTED THROUGH ITC ,CASH &amp; TDS,TCS</t>
  </si>
  <si>
    <t>Liability</t>
  </si>
  <si>
    <t>Adjust Through ITC</t>
  </si>
  <si>
    <t>Adjust ITC WITH CASH/TDS/TCS</t>
  </si>
  <si>
    <t>NET BAL</t>
  </si>
  <si>
    <t>Tax Payable</t>
  </si>
  <si>
    <t>Cash</t>
  </si>
  <si>
    <t>CASH /BANK PAYMENT DETAIL</t>
  </si>
  <si>
    <t xml:space="preserve">Opening </t>
  </si>
  <si>
    <t>Adust in</t>
  </si>
  <si>
    <t>Intrest</t>
  </si>
  <si>
    <t>Late Fee</t>
  </si>
  <si>
    <t>Challan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</si>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</sst>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[$₹-4009]\ #,##0.00"/>
    <numFmt numFmtId="166" formatCode="0;[Red]0"/>
    <numFmt numFmtId="167" formatCode="dd/mmm/yyyy"/>
    <numFmt numFmtId="168" formatCode="&quot;&quot;0.00"/>
  </numFmts>
  <fonts count="4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9"/>
      <color rgb="FF333333"/>
      <name val="Times New Roman"/>
      <family val="1"/>
    </font>
    <font>
      <i/>
      <sz val="11"/>
      <color theme="1"/>
      <name val="Calibri"/>
      <family val="2"/>
      <scheme val="minor"/>
    </font>
    <font>
      <b/>
      <sz val="18"/>
      <color rgb="FF000000"/>
      <name val="Times New Roman"/>
      <family val="1"/>
    </font>
    <font>
      <sz val="18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rgb="FF000000"/>
      <name val="Times New Roman"/>
      <family val="1"/>
    </font>
    <font>
      <b/>
      <i/>
      <sz val="11"/>
      <color rgb="FF000000"/>
      <name val="Calibri"/>
      <family val="2"/>
    </font>
    <font>
      <b/>
      <sz val="12"/>
      <color rgb="FFFF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"/>
      <name val="Times New Roman"/>
      <family val="1"/>
    </font>
    <font>
      <sz val="10"/>
      <name val="Times New Roman"/>
      <family val="1"/>
    </font>
    <font>
      <sz val="10"/>
      <color theme="1" tint="4.9989318521683403E-2"/>
      <name val="Times New Roman"/>
      <family val="1"/>
    </font>
    <font>
      <b/>
      <sz val="14"/>
      <color rgb="FF000000"/>
      <name val="Calibri"/>
      <family val="2"/>
    </font>
    <font>
      <b/>
      <sz val="12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9"/>
      <color theme="1"/>
      <name val="Arial"/>
      <family val="2"/>
    </font>
    <font>
      <sz val="10"/>
      <name val="Calibri"/>
      <family val="2"/>
      <scheme val="minor"/>
    </font>
    <font>
      <b/>
      <sz val="16"/>
      <color theme="1"/>
      <name val="Times New Roman"/>
      <family val="1"/>
    </font>
    <font>
      <sz val="9"/>
      <color theme="1"/>
      <name val="Arial"/>
      <family val="2"/>
    </font>
    <font>
      <sz val="9"/>
      <color rgb="FF333333"/>
      <name val="Arial"/>
      <family val="2"/>
    </font>
    <font>
      <sz val="9"/>
      <color theme="1"/>
      <name val="Calibri"/>
      <family val="2"/>
      <scheme val="minor"/>
    </font>
    <font>
      <sz val="12"/>
      <color rgb="FF333333"/>
      <name val="Arial"/>
      <family val="2"/>
    </font>
    <font>
      <sz val="11"/>
      <name val="Calibri"/>
      <family val="2"/>
      <scheme val="minor"/>
    </font>
    <font>
      <i/>
      <sz val="9"/>
      <color theme="0"/>
      <name val="Times New Roman"/>
      <family val="1"/>
    </font>
    <font>
      <i/>
      <sz val="9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9"/>
      <name val="Times New Roman"/>
      <family val="1"/>
    </font>
    <font>
      <i/>
      <sz val="9"/>
      <color theme="1"/>
      <name val="Calibri"/>
      <family val="2"/>
      <scheme val="minor"/>
    </font>
    <font>
      <sz val="9"/>
      <color rgb="FFFF0000"/>
      <name val="Times New Roman"/>
      <family val="1"/>
    </font>
    <font>
      <b/>
      <sz val="9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59999389629810485"/>
        <bgColor indexed="3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3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CC6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rgb="FFC6D1F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92D050"/>
        <bgColor indexed="64"/>
      </patternFill>
    </fill>
  </fills>
  <borders count="10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theme="8" tint="-0.499984740745262"/>
      </right>
      <top style="medium">
        <color indexed="64"/>
      </top>
      <bottom style="medium">
        <color indexed="64"/>
      </bottom>
      <diagonal/>
    </border>
    <border>
      <left style="thin">
        <color theme="8" tint="-0.499984740745262"/>
      </left>
      <right style="thin">
        <color theme="8" tint="-0.499984740745262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theme="8" tint="-0.499984740745262"/>
      </right>
      <top style="medium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theme="3" tint="-0.499984740745262"/>
      </bottom>
      <diagonal/>
    </border>
    <border>
      <left style="medium">
        <color auto="1"/>
      </left>
      <right style="thick">
        <color auto="1"/>
      </right>
      <top/>
      <bottom style="thin">
        <color theme="3" tint="-0.499984740745262"/>
      </bottom>
      <diagonal/>
    </border>
    <border>
      <left style="medium">
        <color auto="1"/>
      </left>
      <right style="medium">
        <color auto="1"/>
      </right>
      <top style="thin">
        <color theme="3" tint="-0.499984740745262"/>
      </top>
      <bottom/>
      <diagonal/>
    </border>
    <border>
      <left style="medium">
        <color auto="1"/>
      </left>
      <right style="medium">
        <color auto="1"/>
      </right>
      <top style="thin">
        <color theme="3" tint="-0.499984740745262"/>
      </top>
      <bottom style="thin">
        <color theme="3" tint="-0.499984740745262"/>
      </bottom>
      <diagonal/>
    </border>
    <border>
      <left style="medium">
        <color auto="1"/>
      </left>
      <right style="thick">
        <color auto="1"/>
      </right>
      <top style="thin">
        <color theme="3" tint="-0.499984740745262"/>
      </top>
      <bottom style="thin">
        <color theme="3" tint="-0.499984740745262"/>
      </bottom>
      <diagonal/>
    </border>
    <border>
      <left style="medium">
        <color auto="1"/>
      </left>
      <right style="medium">
        <color auto="1"/>
      </right>
      <top style="thin">
        <color theme="3" tint="-0.499984740745262"/>
      </top>
      <bottom style="medium">
        <color theme="3" tint="-0.499984740745262"/>
      </bottom>
      <diagonal/>
    </border>
    <border>
      <left style="medium">
        <color auto="1"/>
      </left>
      <right style="thick">
        <color auto="1"/>
      </right>
      <top style="thin">
        <color theme="3" tint="-0.499984740745262"/>
      </top>
      <bottom style="medium">
        <color theme="3" tint="-0.499984740745262"/>
      </bottom>
      <diagonal/>
    </border>
    <border>
      <left style="medium">
        <color auto="1"/>
      </left>
      <right style="medium">
        <color auto="1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auto="1"/>
      </left>
      <right style="thick">
        <color auto="1"/>
      </right>
      <top style="medium">
        <color theme="3" tint="-0.499984740745262"/>
      </top>
      <bottom style="medium">
        <color theme="3" tint="-0.499984740745262"/>
      </bottom>
      <diagonal/>
    </border>
    <border>
      <left style="medium">
        <color auto="1"/>
      </left>
      <right style="medium">
        <color auto="1"/>
      </right>
      <top/>
      <bottom style="thin">
        <color theme="8" tint="-0.499984740745262"/>
      </bottom>
      <diagonal/>
    </border>
    <border>
      <left style="medium">
        <color auto="1"/>
      </left>
      <right style="thick">
        <color auto="1"/>
      </right>
      <top/>
      <bottom style="thin">
        <color theme="8" tint="-0.499984740745262"/>
      </bottom>
      <diagonal/>
    </border>
    <border>
      <left style="medium">
        <color auto="1"/>
      </left>
      <right style="medium">
        <color auto="1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auto="1"/>
      </left>
      <right style="medium">
        <color auto="1"/>
      </right>
      <top style="thin">
        <color theme="8" tint="-0.499984740745262"/>
      </top>
      <bottom/>
      <diagonal/>
    </border>
    <border>
      <left style="medium">
        <color auto="1"/>
      </left>
      <right style="thick">
        <color auto="1"/>
      </right>
      <top style="thin">
        <color theme="8" tint="-0.499984740745262"/>
      </top>
      <bottom style="thin">
        <color theme="8" tint="-0.499984740745262"/>
      </bottom>
      <diagonal/>
    </border>
    <border>
      <left style="medium">
        <color auto="1"/>
      </left>
      <right style="medium">
        <color auto="1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auto="1"/>
      </left>
      <right style="medium">
        <color auto="1"/>
      </right>
      <top style="thin">
        <color theme="8" tint="-0.499984740745262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thin">
        <color theme="8" tint="-0.499984740745262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ck">
        <color auto="1"/>
      </right>
      <top/>
      <bottom style="thin">
        <color indexed="64"/>
      </bottom>
      <diagonal/>
    </border>
    <border>
      <left style="thick">
        <color auto="1"/>
      </left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66">
    <xf numFmtId="0" fontId="0" fillId="0" borderId="0" xfId="0"/>
    <xf numFmtId="0" fontId="2" fillId="2" borderId="0" xfId="0" applyFont="1" applyFill="1" applyBorder="1" applyAlignment="1" applyProtection="1">
      <alignment horizontal="center"/>
    </xf>
    <xf numFmtId="0" fontId="2" fillId="2" borderId="0" xfId="0" applyFont="1" applyFill="1" applyBorder="1" applyAlignment="1" applyProtection="1">
      <alignment horizontal="left"/>
    </xf>
    <xf numFmtId="0" fontId="0" fillId="0" borderId="2" xfId="0" applyBorder="1"/>
    <xf numFmtId="0" fontId="2" fillId="2" borderId="3" xfId="0" applyFont="1" applyFill="1" applyBorder="1" applyAlignment="1" applyProtection="1">
      <alignment horizontal="left"/>
    </xf>
    <xf numFmtId="0" fontId="3" fillId="0" borderId="0" xfId="0" applyFont="1"/>
    <xf numFmtId="0" fontId="3" fillId="0" borderId="4" xfId="0" applyFont="1" applyBorder="1"/>
    <xf numFmtId="0" fontId="3" fillId="0" borderId="3" xfId="0" applyFont="1" applyBorder="1"/>
    <xf numFmtId="0" fontId="3" fillId="0" borderId="5" xfId="0" applyFont="1" applyBorder="1"/>
    <xf numFmtId="0" fontId="3" fillId="3" borderId="5" xfId="0" applyFont="1" applyFill="1" applyBorder="1"/>
    <xf numFmtId="2" fontId="3" fillId="0" borderId="5" xfId="0" applyNumberFormat="1" applyFont="1" applyBorder="1"/>
    <xf numFmtId="0" fontId="3" fillId="0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2" fontId="3" fillId="0" borderId="7" xfId="0" applyNumberFormat="1" applyFont="1" applyBorder="1"/>
    <xf numFmtId="0" fontId="3" fillId="0" borderId="7" xfId="0" applyFont="1" applyFill="1" applyBorder="1"/>
    <xf numFmtId="0" fontId="2" fillId="2" borderId="4" xfId="0" applyFont="1" applyFill="1" applyBorder="1" applyAlignment="1" applyProtection="1">
      <alignment horizontal="center"/>
    </xf>
    <xf numFmtId="0" fontId="2" fillId="4" borderId="3" xfId="0" applyFont="1" applyFill="1" applyBorder="1" applyAlignment="1" applyProtection="1">
      <alignment horizontal="left" wrapText="1"/>
    </xf>
    <xf numFmtId="0" fontId="4" fillId="3" borderId="4" xfId="0" applyFont="1" applyFill="1" applyBorder="1" applyProtection="1">
      <protection locked="0"/>
    </xf>
    <xf numFmtId="0" fontId="4" fillId="3" borderId="5" xfId="0" applyFont="1" applyFill="1" applyBorder="1" applyProtection="1">
      <protection locked="0"/>
    </xf>
    <xf numFmtId="2" fontId="3" fillId="0" borderId="4" xfId="0" applyNumberFormat="1" applyFont="1" applyBorder="1"/>
    <xf numFmtId="0" fontId="2" fillId="2" borderId="4" xfId="0" applyFont="1" applyFill="1" applyBorder="1" applyAlignment="1" applyProtection="1">
      <alignment horizontal="left"/>
    </xf>
    <xf numFmtId="0" fontId="3" fillId="0" borderId="0" xfId="0" applyFont="1" applyBorder="1"/>
    <xf numFmtId="49" fontId="5" fillId="0" borderId="4" xfId="0" applyNumberFormat="1" applyFont="1" applyBorder="1" applyAlignment="1">
      <alignment vertical="top"/>
    </xf>
    <xf numFmtId="2" fontId="3" fillId="3" borderId="4" xfId="0" applyNumberFormat="1" applyFont="1" applyFill="1" applyBorder="1" applyAlignment="1">
      <alignment horizontal="left"/>
    </xf>
    <xf numFmtId="49" fontId="5" fillId="0" borderId="3" xfId="0" applyNumberFormat="1" applyFont="1" applyBorder="1" applyAlignment="1">
      <alignment vertical="top"/>
    </xf>
    <xf numFmtId="2" fontId="3" fillId="3" borderId="3" xfId="0" applyNumberFormat="1" applyFont="1" applyFill="1" applyBorder="1"/>
    <xf numFmtId="49" fontId="6" fillId="0" borderId="5" xfId="0" applyNumberFormat="1" applyFont="1" applyBorder="1" applyAlignment="1">
      <alignment vertical="top"/>
    </xf>
    <xf numFmtId="0" fontId="2" fillId="4" borderId="0" xfId="0" applyFont="1" applyFill="1" applyBorder="1" applyAlignment="1" applyProtection="1">
      <alignment horizontal="left" wrapText="1"/>
    </xf>
    <xf numFmtId="0" fontId="2" fillId="3" borderId="0" xfId="0" applyFont="1" applyFill="1" applyBorder="1" applyAlignment="1" applyProtection="1">
      <alignment horizontal="left" wrapText="1"/>
    </xf>
    <xf numFmtId="49" fontId="5" fillId="0" borderId="0" xfId="0" applyNumberFormat="1" applyFont="1" applyBorder="1" applyAlignment="1">
      <alignment vertical="top"/>
    </xf>
    <xf numFmtId="0" fontId="3" fillId="3" borderId="0" xfId="0" applyFont="1" applyFill="1" applyBorder="1"/>
    <xf numFmtId="2" fontId="3" fillId="0" borderId="0" xfId="0" applyNumberFormat="1" applyFont="1" applyBorder="1"/>
    <xf numFmtId="0" fontId="3" fillId="0" borderId="0" xfId="0" applyFont="1" applyFill="1" applyBorder="1"/>
    <xf numFmtId="43" fontId="3" fillId="6" borderId="0" xfId="1" applyFont="1" applyFill="1" applyBorder="1" applyAlignment="1" applyProtection="1">
      <alignment horizontal="right"/>
      <protection hidden="1"/>
    </xf>
    <xf numFmtId="0" fontId="7" fillId="0" borderId="3" xfId="0" applyFont="1" applyBorder="1"/>
    <xf numFmtId="164" fontId="2" fillId="0" borderId="5" xfId="0" applyNumberFormat="1" applyFont="1" applyFill="1" applyBorder="1"/>
    <xf numFmtId="0" fontId="3" fillId="7" borderId="0" xfId="0" applyFont="1" applyFill="1" applyProtection="1">
      <protection hidden="1"/>
    </xf>
    <xf numFmtId="0" fontId="3" fillId="7" borderId="0" xfId="0" applyFont="1" applyFill="1" applyAlignment="1" applyProtection="1">
      <alignment horizontal="left"/>
      <protection hidden="1"/>
    </xf>
    <xf numFmtId="0" fontId="2" fillId="2" borderId="0" xfId="0" applyFont="1" applyFill="1" applyAlignment="1" applyProtection="1">
      <alignment horizontal="center" vertical="top"/>
      <protection hidden="1"/>
    </xf>
    <xf numFmtId="2" fontId="2" fillId="2" borderId="0" xfId="0" applyNumberFormat="1" applyFont="1" applyFill="1" applyAlignment="1" applyProtection="1">
      <alignment horizontal="right" vertical="top"/>
      <protection hidden="1"/>
    </xf>
    <xf numFmtId="2" fontId="2" fillId="2" borderId="0" xfId="0" applyNumberFormat="1" applyFont="1" applyFill="1" applyAlignment="1" applyProtection="1">
      <alignment horizontal="right" wrapText="1"/>
      <protection hidden="1"/>
    </xf>
    <xf numFmtId="2" fontId="2" fillId="2" borderId="0" xfId="0" applyNumberFormat="1" applyFont="1" applyFill="1" applyBorder="1" applyAlignment="1" applyProtection="1">
      <alignment horizontal="right" vertical="top" wrapText="1"/>
      <protection hidden="1"/>
    </xf>
    <xf numFmtId="0" fontId="3" fillId="0" borderId="0" xfId="0" applyFont="1" applyProtection="1">
      <protection locked="0"/>
    </xf>
    <xf numFmtId="0" fontId="2" fillId="2" borderId="0" xfId="0" applyFont="1" applyFill="1" applyBorder="1" applyAlignment="1" applyProtection="1">
      <alignment horizontal="left" vertical="top"/>
      <protection hidden="1"/>
    </xf>
    <xf numFmtId="0" fontId="2" fillId="2" borderId="0" xfId="0" applyFont="1" applyFill="1" applyBorder="1" applyAlignment="1" applyProtection="1">
      <alignment vertical="top"/>
      <protection hidden="1"/>
    </xf>
    <xf numFmtId="2" fontId="3" fillId="7" borderId="0" xfId="0" applyNumberFormat="1" applyFont="1" applyFill="1" applyBorder="1" applyAlignment="1" applyProtection="1">
      <alignment horizontal="right" vertical="top"/>
      <protection hidden="1"/>
    </xf>
    <xf numFmtId="0" fontId="3" fillId="0" borderId="0" xfId="0" applyFont="1" applyBorder="1" applyAlignment="1" applyProtection="1">
      <alignment horizontal="left"/>
      <protection locked="0"/>
    </xf>
    <xf numFmtId="0" fontId="3" fillId="5" borderId="0" xfId="0" applyFont="1" applyFill="1"/>
    <xf numFmtId="0" fontId="3" fillId="3" borderId="0" xfId="0" applyFont="1" applyFill="1"/>
    <xf numFmtId="0" fontId="3" fillId="6" borderId="0" xfId="0" applyFont="1" applyFill="1"/>
    <xf numFmtId="2" fontId="2" fillId="2" borderId="0" xfId="0" applyNumberFormat="1" applyFont="1" applyFill="1" applyBorder="1" applyAlignment="1" applyProtection="1">
      <alignment horizontal="left"/>
      <protection hidden="1"/>
    </xf>
    <xf numFmtId="2" fontId="3" fillId="7" borderId="0" xfId="0" applyNumberFormat="1" applyFont="1" applyFill="1" applyAlignment="1" applyProtection="1">
      <alignment horizontal="left"/>
      <protection hidden="1"/>
    </xf>
    <xf numFmtId="0" fontId="3" fillId="7" borderId="0" xfId="0" applyFont="1" applyFill="1" applyProtection="1"/>
    <xf numFmtId="0" fontId="3" fillId="7" borderId="0" xfId="0" applyFont="1" applyFill="1" applyAlignment="1" applyProtection="1">
      <alignment horizontal="center"/>
    </xf>
    <xf numFmtId="0" fontId="3" fillId="7" borderId="0" xfId="0" applyFont="1" applyFill="1" applyAlignment="1" applyProtection="1">
      <alignment horizontal="left"/>
    </xf>
    <xf numFmtId="0" fontId="3" fillId="7" borderId="0" xfId="0" applyFont="1" applyFill="1" applyAlignment="1" applyProtection="1"/>
    <xf numFmtId="0" fontId="2" fillId="2" borderId="0" xfId="0" applyFont="1" applyFill="1" applyAlignment="1" applyProtection="1">
      <alignment horizontal="left" vertical="top"/>
      <protection hidden="1"/>
    </xf>
    <xf numFmtId="2" fontId="2" fillId="2" borderId="0" xfId="0" applyNumberFormat="1" applyFont="1" applyFill="1" applyAlignment="1" applyProtection="1">
      <alignment horizontal="left" vertical="top"/>
      <protection hidden="1"/>
    </xf>
    <xf numFmtId="2" fontId="2" fillId="2" borderId="0" xfId="0" applyNumberFormat="1" applyFont="1" applyFill="1" applyAlignment="1" applyProtection="1">
      <alignment horizontal="left" wrapText="1"/>
      <protection hidden="1"/>
    </xf>
    <xf numFmtId="2" fontId="2" fillId="2" borderId="0" xfId="0" applyNumberFormat="1" applyFont="1" applyFill="1" applyBorder="1" applyAlignment="1" applyProtection="1">
      <alignment horizontal="left" vertical="top" wrapText="1"/>
      <protection hidden="1"/>
    </xf>
    <xf numFmtId="0" fontId="0" fillId="0" borderId="0" xfId="0" applyProtection="1">
      <protection locked="0"/>
    </xf>
    <xf numFmtId="0" fontId="2" fillId="2" borderId="0" xfId="0" applyFont="1" applyFill="1" applyAlignment="1" applyProtection="1">
      <alignment horizontal="left"/>
      <protection hidden="1"/>
    </xf>
    <xf numFmtId="2" fontId="2" fillId="2" borderId="0" xfId="0" applyNumberFormat="1" applyFont="1" applyFill="1" applyAlignment="1" applyProtection="1">
      <alignment horizontal="left"/>
      <protection hidden="1"/>
    </xf>
    <xf numFmtId="0" fontId="8" fillId="10" borderId="3" xfId="0" applyFont="1" applyFill="1" applyBorder="1" applyAlignment="1" applyProtection="1">
      <alignment horizontal="center" vertical="center"/>
    </xf>
    <xf numFmtId="0" fontId="8" fillId="10" borderId="3" xfId="0" applyFont="1" applyFill="1" applyBorder="1" applyAlignment="1" applyProtection="1">
      <alignment horizontal="center" vertical="center" wrapText="1"/>
    </xf>
    <xf numFmtId="0" fontId="9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horizontal="center" wrapText="1"/>
    </xf>
    <xf numFmtId="0" fontId="3" fillId="0" borderId="3" xfId="0" applyFont="1" applyFill="1" applyBorder="1" applyAlignment="1" applyProtection="1">
      <alignment horizontal="center"/>
    </xf>
    <xf numFmtId="2" fontId="3" fillId="0" borderId="3" xfId="0" applyNumberFormat="1" applyFont="1" applyBorder="1" applyAlignment="1">
      <alignment horizontal="center"/>
    </xf>
    <xf numFmtId="0" fontId="9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horizontal="left"/>
    </xf>
    <xf numFmtId="0" fontId="0" fillId="0" borderId="3" xfId="0" applyBorder="1"/>
    <xf numFmtId="0" fontId="9" fillId="0" borderId="3" xfId="0" applyFont="1" applyBorder="1"/>
    <xf numFmtId="0" fontId="3" fillId="0" borderId="3" xfId="0" applyFont="1" applyBorder="1" applyAlignment="1" applyProtection="1">
      <alignment horizontal="center"/>
      <protection locked="0"/>
    </xf>
    <xf numFmtId="0" fontId="3" fillId="0" borderId="3" xfId="0" applyFont="1" applyFill="1" applyBorder="1"/>
    <xf numFmtId="0" fontId="3" fillId="0" borderId="3" xfId="0" applyFont="1" applyBorder="1" applyAlignment="1" applyProtection="1">
      <alignment wrapText="1"/>
      <protection locked="0"/>
    </xf>
    <xf numFmtId="0" fontId="3" fillId="0" borderId="3" xfId="0" applyFont="1" applyBorder="1" applyProtection="1">
      <protection locked="0"/>
    </xf>
    <xf numFmtId="0" fontId="0" fillId="0" borderId="3" xfId="0" applyFont="1" applyBorder="1"/>
    <xf numFmtId="0" fontId="3" fillId="0" borderId="3" xfId="0" applyFont="1" applyBorder="1" applyAlignment="1">
      <alignment horizontal="center"/>
    </xf>
    <xf numFmtId="0" fontId="8" fillId="10" borderId="4" xfId="0" applyFont="1" applyFill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3" fillId="0" borderId="8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0" fillId="0" borderId="9" xfId="0" applyBorder="1"/>
    <xf numFmtId="43" fontId="0" fillId="3" borderId="2" xfId="0" applyNumberFormat="1" applyFill="1" applyBorder="1"/>
    <xf numFmtId="43" fontId="0" fillId="0" borderId="0" xfId="0" applyNumberFormat="1"/>
    <xf numFmtId="0" fontId="0" fillId="0" borderId="10" xfId="0" applyBorder="1"/>
    <xf numFmtId="0" fontId="11" fillId="0" borderId="10" xfId="0" applyFont="1" applyBorder="1"/>
    <xf numFmtId="0" fontId="0" fillId="0" borderId="11" xfId="0" applyBorder="1"/>
    <xf numFmtId="2" fontId="0" fillId="0" borderId="12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 applyProtection="1">
      <alignment horizontal="center"/>
    </xf>
    <xf numFmtId="2" fontId="0" fillId="3" borderId="1" xfId="0" applyNumberFormat="1" applyFill="1" applyBorder="1" applyAlignment="1">
      <alignment horizontal="left"/>
    </xf>
    <xf numFmtId="2" fontId="11" fillId="0" borderId="1" xfId="0" applyNumberFormat="1" applyFont="1" applyBorder="1"/>
    <xf numFmtId="2" fontId="0" fillId="0" borderId="1" xfId="0" applyNumberFormat="1" applyBorder="1" applyAlignment="1"/>
    <xf numFmtId="2" fontId="0" fillId="0" borderId="1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/>
    <xf numFmtId="2" fontId="0" fillId="0" borderId="9" xfId="0" applyNumberFormat="1" applyBorder="1"/>
    <xf numFmtId="2" fontId="0" fillId="3" borderId="9" xfId="0" applyNumberFormat="1" applyFill="1" applyBorder="1"/>
    <xf numFmtId="2" fontId="11" fillId="0" borderId="9" xfId="0" applyNumberFormat="1" applyFont="1" applyBorder="1"/>
    <xf numFmtId="2" fontId="0" fillId="0" borderId="15" xfId="0" applyNumberFormat="1" applyBorder="1"/>
    <xf numFmtId="0" fontId="0" fillId="0" borderId="16" xfId="0" applyBorder="1"/>
    <xf numFmtId="43" fontId="0" fillId="0" borderId="2" xfId="0" applyNumberFormat="1" applyBorder="1"/>
    <xf numFmtId="43" fontId="11" fillId="0" borderId="2" xfId="0" applyNumberFormat="1" applyFont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43" fontId="0" fillId="0" borderId="19" xfId="0" applyNumberFormat="1" applyBorder="1"/>
    <xf numFmtId="0" fontId="0" fillId="0" borderId="20" xfId="0" applyBorder="1"/>
    <xf numFmtId="0" fontId="3" fillId="0" borderId="0" xfId="0" applyFont="1" applyProtection="1">
      <protection hidden="1"/>
    </xf>
    <xf numFmtId="0" fontId="0" fillId="0" borderId="21" xfId="0" applyBorder="1"/>
    <xf numFmtId="0" fontId="0" fillId="0" borderId="22" xfId="0" applyBorder="1"/>
    <xf numFmtId="0" fontId="11" fillId="0" borderId="22" xfId="0" applyFont="1" applyBorder="1"/>
    <xf numFmtId="0" fontId="0" fillId="0" borderId="23" xfId="0" applyBorder="1"/>
    <xf numFmtId="0" fontId="0" fillId="0" borderId="24" xfId="0" applyBorder="1"/>
    <xf numFmtId="0" fontId="0" fillId="0" borderId="0" xfId="0" applyBorder="1"/>
    <xf numFmtId="0" fontId="11" fillId="0" borderId="0" xfId="0" applyFont="1" applyBorder="1"/>
    <xf numFmtId="0" fontId="0" fillId="0" borderId="25" xfId="0" applyBorder="1"/>
    <xf numFmtId="0" fontId="12" fillId="5" borderId="3" xfId="0" applyFont="1" applyFill="1" applyBorder="1" applyAlignment="1" applyProtection="1">
      <alignment vertical="center"/>
      <protection locked="0" hidden="1"/>
    </xf>
    <xf numFmtId="0" fontId="0" fillId="0" borderId="6" xfId="0" applyBorder="1"/>
    <xf numFmtId="0" fontId="0" fillId="0" borderId="4" xfId="0" applyBorder="1"/>
    <xf numFmtId="0" fontId="19" fillId="0" borderId="0" xfId="0" applyFont="1"/>
    <xf numFmtId="0" fontId="0" fillId="0" borderId="0" xfId="0"/>
    <xf numFmtId="0" fontId="0" fillId="0" borderId="32" xfId="0" applyBorder="1"/>
    <xf numFmtId="0" fontId="0" fillId="0" borderId="28" xfId="0" applyBorder="1"/>
    <xf numFmtId="0" fontId="0" fillId="0" borderId="33" xfId="0" applyBorder="1"/>
    <xf numFmtId="0" fontId="0" fillId="0" borderId="5" xfId="0" applyBorder="1"/>
    <xf numFmtId="43" fontId="19" fillId="10" borderId="40" xfId="1" applyFont="1" applyFill="1" applyBorder="1"/>
    <xf numFmtId="0" fontId="19" fillId="17" borderId="35" xfId="0" applyFont="1" applyFill="1" applyBorder="1" applyAlignment="1"/>
    <xf numFmtId="0" fontId="19" fillId="17" borderId="10" xfId="0" applyFont="1" applyFill="1" applyBorder="1" applyAlignment="1"/>
    <xf numFmtId="0" fontId="19" fillId="17" borderId="39" xfId="0" applyFont="1" applyFill="1" applyBorder="1" applyAlignment="1"/>
    <xf numFmtId="0" fontId="19" fillId="16" borderId="19" xfId="0" applyFont="1" applyFill="1" applyBorder="1" applyAlignment="1">
      <alignment vertical="center"/>
    </xf>
    <xf numFmtId="43" fontId="19" fillId="0" borderId="1" xfId="1" applyFont="1" applyBorder="1"/>
    <xf numFmtId="43" fontId="19" fillId="10" borderId="1" xfId="1" applyFont="1" applyFill="1" applyBorder="1" applyAlignment="1">
      <alignment vertical="center"/>
    </xf>
    <xf numFmtId="43" fontId="19" fillId="0" borderId="2" xfId="1" applyFont="1" applyBorder="1"/>
    <xf numFmtId="43" fontId="19" fillId="10" borderId="2" xfId="1" applyFont="1" applyFill="1" applyBorder="1" applyAlignment="1">
      <alignment vertical="center"/>
    </xf>
    <xf numFmtId="43" fontId="19" fillId="0" borderId="9" xfId="1" applyFont="1" applyBorder="1"/>
    <xf numFmtId="43" fontId="19" fillId="10" borderId="9" xfId="1" applyFont="1" applyFill="1" applyBorder="1" applyAlignment="1">
      <alignment vertical="center"/>
    </xf>
    <xf numFmtId="43" fontId="19" fillId="10" borderId="19" xfId="1" applyFont="1" applyFill="1" applyBorder="1"/>
    <xf numFmtId="43" fontId="19" fillId="0" borderId="0" xfId="1" applyFont="1" applyFill="1" applyBorder="1"/>
    <xf numFmtId="39" fontId="19" fillId="10" borderId="12" xfId="0" applyNumberFormat="1" applyFont="1" applyFill="1" applyBorder="1"/>
    <xf numFmtId="43" fontId="19" fillId="10" borderId="13" xfId="1" applyFont="1" applyFill="1" applyBorder="1" applyAlignment="1">
      <alignment vertical="center"/>
    </xf>
    <xf numFmtId="39" fontId="19" fillId="10" borderId="16" xfId="0" applyNumberFormat="1" applyFont="1" applyFill="1" applyBorder="1"/>
    <xf numFmtId="43" fontId="19" fillId="10" borderId="17" xfId="1" applyFont="1" applyFill="1" applyBorder="1" applyAlignment="1">
      <alignment vertical="center"/>
    </xf>
    <xf numFmtId="39" fontId="19" fillId="10" borderId="14" xfId="0" applyNumberFormat="1" applyFont="1" applyFill="1" applyBorder="1"/>
    <xf numFmtId="0" fontId="19" fillId="16" borderId="58" xfId="0" applyFont="1" applyFill="1" applyBorder="1"/>
    <xf numFmtId="0" fontId="19" fillId="16" borderId="18" xfId="0" applyFont="1" applyFill="1" applyBorder="1" applyAlignment="1">
      <alignment wrapText="1"/>
    </xf>
    <xf numFmtId="0" fontId="19" fillId="16" borderId="20" xfId="0" applyFont="1" applyFill="1" applyBorder="1" applyAlignment="1">
      <alignment vertical="center"/>
    </xf>
    <xf numFmtId="0" fontId="19" fillId="16" borderId="18" xfId="0" applyFont="1" applyFill="1" applyBorder="1"/>
    <xf numFmtId="43" fontId="19" fillId="10" borderId="20" xfId="1" applyFont="1" applyFill="1" applyBorder="1"/>
    <xf numFmtId="0" fontId="11" fillId="0" borderId="19" xfId="0" applyFont="1" applyBorder="1"/>
    <xf numFmtId="0" fontId="19" fillId="0" borderId="57" xfId="0" applyFont="1" applyFill="1" applyBorder="1"/>
    <xf numFmtId="43" fontId="19" fillId="0" borderId="10" xfId="1" applyFont="1" applyFill="1" applyBorder="1"/>
    <xf numFmtId="165" fontId="15" fillId="28" borderId="68" xfId="0" applyNumberFormat="1" applyFont="1" applyFill="1" applyBorder="1" applyAlignment="1" applyProtection="1">
      <alignment horizontal="right" vertical="center" shrinkToFit="1"/>
      <protection locked="0"/>
    </xf>
    <xf numFmtId="165" fontId="15" fillId="28" borderId="2" xfId="0" applyNumberFormat="1" applyFont="1" applyFill="1" applyBorder="1" applyAlignment="1" applyProtection="1">
      <alignment horizontal="right" vertical="center" shrinkToFit="1"/>
    </xf>
    <xf numFmtId="165" fontId="15" fillId="28" borderId="69" xfId="0" applyNumberFormat="1" applyFont="1" applyFill="1" applyBorder="1" applyAlignment="1" applyProtection="1">
      <alignment horizontal="right" vertical="center" shrinkToFit="1"/>
      <protection locked="0"/>
    </xf>
    <xf numFmtId="165" fontId="15" fillId="28" borderId="71" xfId="0" applyNumberFormat="1" applyFont="1" applyFill="1" applyBorder="1" applyAlignment="1" applyProtection="1">
      <alignment horizontal="right" vertical="center" shrinkToFit="1"/>
    </xf>
    <xf numFmtId="165" fontId="24" fillId="29" borderId="75" xfId="0" applyNumberFormat="1" applyFont="1" applyFill="1" applyBorder="1" applyAlignment="1" applyProtection="1">
      <alignment horizontal="right" vertical="center" shrinkToFit="1"/>
    </xf>
    <xf numFmtId="165" fontId="24" fillId="29" borderId="76" xfId="0" applyNumberFormat="1" applyFont="1" applyFill="1" applyBorder="1" applyAlignment="1" applyProtection="1">
      <alignment horizontal="right" vertical="center" shrinkToFit="1"/>
    </xf>
    <xf numFmtId="0" fontId="19" fillId="0" borderId="2" xfId="0" applyFont="1" applyBorder="1"/>
    <xf numFmtId="0" fontId="19" fillId="0" borderId="77" xfId="0" applyNumberFormat="1" applyFont="1" applyBorder="1" applyAlignment="1" applyProtection="1">
      <alignment horizontal="center" vertical="center" wrapText="1"/>
    </xf>
    <xf numFmtId="0" fontId="19" fillId="0" borderId="78" xfId="0" applyNumberFormat="1" applyFont="1" applyBorder="1" applyAlignment="1" applyProtection="1">
      <alignment horizontal="center" vertical="center" wrapText="1"/>
    </xf>
    <xf numFmtId="0" fontId="19" fillId="0" borderId="50" xfId="0" applyFont="1" applyBorder="1"/>
    <xf numFmtId="165" fontId="15" fillId="32" borderId="79" xfId="0" applyNumberFormat="1" applyFont="1" applyFill="1" applyBorder="1" applyAlignment="1" applyProtection="1">
      <alignment horizontal="right" vertical="center" shrinkToFit="1"/>
      <protection locked="0"/>
    </xf>
    <xf numFmtId="0" fontId="23" fillId="31" borderId="80" xfId="0" applyNumberFormat="1" applyFont="1" applyFill="1" applyBorder="1" applyAlignment="1" applyProtection="1">
      <alignment horizontal="center" vertical="center" wrapText="1"/>
    </xf>
    <xf numFmtId="165" fontId="15" fillId="32" borderId="81" xfId="0" applyNumberFormat="1" applyFont="1" applyFill="1" applyBorder="1" applyAlignment="1" applyProtection="1">
      <alignment horizontal="right" vertical="center" shrinkToFit="1"/>
      <protection locked="0"/>
    </xf>
    <xf numFmtId="0" fontId="23" fillId="31" borderId="77" xfId="0" applyNumberFormat="1" applyFont="1" applyFill="1" applyBorder="1" applyAlignment="1" applyProtection="1">
      <alignment horizontal="center" vertical="center" wrapText="1"/>
    </xf>
    <xf numFmtId="165" fontId="15" fillId="32" borderId="79" xfId="0" applyNumberFormat="1" applyFont="1" applyFill="1" applyBorder="1" applyAlignment="1" applyProtection="1">
      <alignment horizontal="right" vertical="center" shrinkToFit="1"/>
    </xf>
    <xf numFmtId="0" fontId="19" fillId="0" borderId="79" xfId="0" applyFont="1" applyBorder="1"/>
    <xf numFmtId="165" fontId="19" fillId="29" borderId="82" xfId="0" applyNumberFormat="1" applyFont="1" applyFill="1" applyBorder="1" applyAlignment="1" applyProtection="1">
      <alignment horizontal="right" vertical="center" shrinkToFit="1"/>
    </xf>
    <xf numFmtId="0" fontId="19" fillId="0" borderId="83" xfId="0" applyFont="1" applyBorder="1"/>
    <xf numFmtId="165" fontId="15" fillId="32" borderId="83" xfId="0" applyNumberFormat="1" applyFont="1" applyFill="1" applyBorder="1" applyAlignment="1" applyProtection="1">
      <alignment horizontal="right" vertical="center" shrinkToFit="1"/>
      <protection locked="0"/>
    </xf>
    <xf numFmtId="165" fontId="15" fillId="32" borderId="84" xfId="0" applyNumberFormat="1" applyFont="1" applyFill="1" applyBorder="1" applyAlignment="1" applyProtection="1">
      <alignment horizontal="right" vertical="center" shrinkToFit="1"/>
      <protection locked="0"/>
    </xf>
    <xf numFmtId="43" fontId="19" fillId="33" borderId="35" xfId="1" applyFont="1" applyFill="1" applyBorder="1"/>
    <xf numFmtId="43" fontId="19" fillId="0" borderId="11" xfId="1" applyFont="1" applyFill="1" applyBorder="1"/>
    <xf numFmtId="0" fontId="8" fillId="14" borderId="57" xfId="0" applyFont="1" applyFill="1" applyBorder="1" applyAlignment="1" applyProtection="1">
      <alignment vertical="center"/>
      <protection hidden="1"/>
    </xf>
    <xf numFmtId="0" fontId="9" fillId="0" borderId="4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43" fontId="3" fillId="3" borderId="5" xfId="0" applyNumberFormat="1" applyFont="1" applyFill="1" applyBorder="1"/>
    <xf numFmtId="0" fontId="21" fillId="3" borderId="0" xfId="0" applyFont="1" applyFill="1"/>
    <xf numFmtId="0" fontId="3" fillId="3" borderId="3" xfId="0" applyFont="1" applyFill="1" applyBorder="1"/>
    <xf numFmtId="164" fontId="3" fillId="3" borderId="3" xfId="0" applyNumberFormat="1" applyFont="1" applyFill="1" applyBorder="1"/>
    <xf numFmtId="0" fontId="0" fillId="3" borderId="3" xfId="0" applyFill="1" applyBorder="1"/>
    <xf numFmtId="164" fontId="0" fillId="3" borderId="3" xfId="0" applyNumberFormat="1" applyFill="1" applyBorder="1"/>
    <xf numFmtId="0" fontId="2" fillId="2" borderId="3" xfId="0" applyFont="1" applyFill="1" applyBorder="1" applyAlignment="1" applyProtection="1">
      <alignment horizontal="center"/>
    </xf>
    <xf numFmtId="2" fontId="2" fillId="2" borderId="3" xfId="0" applyNumberFormat="1" applyFont="1" applyFill="1" applyBorder="1" applyAlignment="1" applyProtection="1">
      <alignment horizontal="right"/>
    </xf>
    <xf numFmtId="2" fontId="2" fillId="2" borderId="4" xfId="0" applyNumberFormat="1" applyFont="1" applyFill="1" applyBorder="1" applyAlignment="1" applyProtection="1">
      <alignment horizontal="left"/>
      <protection hidden="1"/>
    </xf>
    <xf numFmtId="0" fontId="3" fillId="7" borderId="4" xfId="0" applyFont="1" applyFill="1" applyBorder="1" applyAlignment="1" applyProtection="1">
      <alignment horizontal="left"/>
      <protection hidden="1"/>
    </xf>
    <xf numFmtId="2" fontId="3" fillId="7" borderId="4" xfId="0" applyNumberFormat="1" applyFont="1" applyFill="1" applyBorder="1" applyAlignment="1" applyProtection="1">
      <alignment horizontal="left"/>
      <protection hidden="1"/>
    </xf>
    <xf numFmtId="0" fontId="2" fillId="4" borderId="4" xfId="0" applyFont="1" applyFill="1" applyBorder="1" applyAlignment="1" applyProtection="1">
      <alignment horizontal="left" wrapText="1"/>
    </xf>
    <xf numFmtId="0" fontId="2" fillId="0" borderId="4" xfId="0" applyFont="1" applyFill="1" applyBorder="1" applyAlignment="1" applyProtection="1">
      <alignment horizontal="left" wrapText="1"/>
    </xf>
    <xf numFmtId="0" fontId="2" fillId="3" borderId="4" xfId="0" applyFont="1" applyFill="1" applyBorder="1" applyAlignment="1" applyProtection="1">
      <alignment horizontal="left" wrapText="1"/>
    </xf>
    <xf numFmtId="0" fontId="3" fillId="3" borderId="4" xfId="0" applyFont="1" applyFill="1" applyBorder="1"/>
    <xf numFmtId="0" fontId="3" fillId="5" borderId="5" xfId="0" applyFont="1" applyFill="1" applyBorder="1"/>
    <xf numFmtId="43" fontId="0" fillId="0" borderId="5" xfId="0" applyNumberFormat="1" applyBorder="1"/>
    <xf numFmtId="0" fontId="3" fillId="6" borderId="5" xfId="0" applyFont="1" applyFill="1" applyBorder="1"/>
    <xf numFmtId="43" fontId="3" fillId="6" borderId="5" xfId="1" applyFont="1" applyFill="1" applyBorder="1" applyAlignment="1" applyProtection="1">
      <alignment horizontal="right"/>
      <protection hidden="1"/>
    </xf>
    <xf numFmtId="0" fontId="21" fillId="3" borderId="4" xfId="0" applyFont="1" applyFill="1" applyBorder="1"/>
    <xf numFmtId="0" fontId="2" fillId="7" borderId="4" xfId="0" applyFont="1" applyFill="1" applyBorder="1" applyProtection="1">
      <protection hidden="1"/>
    </xf>
    <xf numFmtId="0" fontId="3" fillId="7" borderId="4" xfId="0" applyFont="1" applyFill="1" applyBorder="1" applyProtection="1">
      <protection hidden="1"/>
    </xf>
    <xf numFmtId="2" fontId="3" fillId="7" borderId="4" xfId="0" applyNumberFormat="1" applyFont="1" applyFill="1" applyBorder="1" applyAlignment="1" applyProtection="1">
      <alignment horizontal="right"/>
      <protection hidden="1"/>
    </xf>
    <xf numFmtId="0" fontId="0" fillId="7" borderId="3" xfId="0" applyFont="1" applyFill="1" applyBorder="1" applyAlignment="1" applyProtection="1">
      <alignment horizontal="left"/>
      <protection hidden="1"/>
    </xf>
    <xf numFmtId="2" fontId="3" fillId="7" borderId="3" xfId="0" applyNumberFormat="1" applyFont="1" applyFill="1" applyBorder="1" applyAlignment="1" applyProtection="1">
      <alignment horizontal="left"/>
      <protection hidden="1"/>
    </xf>
    <xf numFmtId="2" fontId="2" fillId="2" borderId="3" xfId="0" applyNumberFormat="1" applyFont="1" applyFill="1" applyBorder="1" applyAlignment="1" applyProtection="1">
      <alignment horizontal="left"/>
      <protection hidden="1"/>
    </xf>
    <xf numFmtId="0" fontId="0" fillId="0" borderId="4" xfId="0" applyFill="1" applyBorder="1"/>
    <xf numFmtId="0" fontId="21" fillId="3" borderId="3" xfId="0" applyFont="1" applyFill="1" applyBorder="1"/>
    <xf numFmtId="0" fontId="2" fillId="2" borderId="0" xfId="0" applyFont="1" applyFill="1" applyAlignment="1" applyProtection="1">
      <alignment horizontal="left" vertical="top" wrapText="1" shrinkToFit="1"/>
      <protection hidden="1"/>
    </xf>
    <xf numFmtId="0" fontId="3" fillId="7" borderId="0" xfId="0" applyFont="1" applyFill="1" applyAlignment="1" applyProtection="1">
      <alignment wrapText="1" shrinkToFit="1"/>
      <protection hidden="1"/>
    </xf>
    <xf numFmtId="0" fontId="3" fillId="0" borderId="5" xfId="0" applyFont="1" applyBorder="1" applyAlignment="1">
      <alignment horizontal="left"/>
    </xf>
    <xf numFmtId="0" fontId="9" fillId="0" borderId="5" xfId="0" applyFont="1" applyBorder="1" applyAlignment="1">
      <alignment horizontal="left" vertical="center"/>
    </xf>
    <xf numFmtId="49" fontId="6" fillId="0" borderId="5" xfId="0" applyNumberFormat="1" applyFont="1" applyBorder="1" applyAlignment="1">
      <alignment horizontal="left" vertical="top"/>
    </xf>
    <xf numFmtId="0" fontId="10" fillId="0" borderId="5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49" fontId="6" fillId="0" borderId="6" xfId="0" applyNumberFormat="1" applyFont="1" applyBorder="1" applyAlignment="1">
      <alignment horizontal="left" vertical="top"/>
    </xf>
    <xf numFmtId="0" fontId="9" fillId="0" borderId="6" xfId="0" applyFont="1" applyBorder="1" applyAlignment="1">
      <alignment horizontal="left" vertical="center"/>
    </xf>
    <xf numFmtId="164" fontId="2" fillId="0" borderId="6" xfId="0" applyNumberFormat="1" applyFont="1" applyFill="1" applyBorder="1"/>
    <xf numFmtId="0" fontId="2" fillId="2" borderId="3" xfId="0" applyFont="1" applyFill="1" applyBorder="1" applyAlignment="1" applyProtection="1">
      <alignment horizontal="center"/>
      <protection hidden="1"/>
    </xf>
    <xf numFmtId="2" fontId="2" fillId="2" borderId="3" xfId="0" applyNumberFormat="1" applyFont="1" applyFill="1" applyBorder="1" applyAlignment="1" applyProtection="1">
      <alignment horizontal="right"/>
      <protection hidden="1"/>
    </xf>
    <xf numFmtId="164" fontId="21" fillId="3" borderId="3" xfId="0" applyNumberFormat="1" applyFont="1" applyFill="1" applyBorder="1"/>
    <xf numFmtId="0" fontId="21" fillId="3" borderId="19" xfId="0" applyFont="1" applyFill="1" applyBorder="1"/>
    <xf numFmtId="43" fontId="19" fillId="0" borderId="37" xfId="1" applyFont="1" applyBorder="1"/>
    <xf numFmtId="43" fontId="19" fillId="0" borderId="34" xfId="1" applyFont="1" applyBorder="1"/>
    <xf numFmtId="43" fontId="19" fillId="10" borderId="0" xfId="1" applyFont="1" applyFill="1" applyBorder="1" applyAlignment="1">
      <alignment vertical="center"/>
    </xf>
    <xf numFmtId="43" fontId="19" fillId="0" borderId="42" xfId="1" applyFont="1" applyBorder="1"/>
    <xf numFmtId="43" fontId="19" fillId="10" borderId="91" xfId="1" applyFont="1" applyFill="1" applyBorder="1"/>
    <xf numFmtId="0" fontId="14" fillId="0" borderId="22" xfId="0" applyFont="1" applyFill="1" applyBorder="1" applyAlignment="1" applyProtection="1">
      <protection hidden="1"/>
    </xf>
    <xf numFmtId="0" fontId="0" fillId="0" borderId="67" xfId="0" applyFill="1" applyBorder="1"/>
    <xf numFmtId="0" fontId="15" fillId="0" borderId="21" xfId="0" applyFont="1" applyFill="1" applyBorder="1" applyAlignment="1" applyProtection="1">
      <alignment vertical="center"/>
      <protection hidden="1"/>
    </xf>
    <xf numFmtId="0" fontId="0" fillId="5" borderId="92" xfId="0" applyFill="1" applyBorder="1" applyAlignment="1" applyProtection="1">
      <alignment vertical="center"/>
      <protection hidden="1"/>
    </xf>
    <xf numFmtId="0" fontId="15" fillId="0" borderId="93" xfId="0" applyFont="1" applyFill="1" applyBorder="1" applyAlignment="1" applyProtection="1">
      <alignment vertical="center"/>
      <protection hidden="1"/>
    </xf>
    <xf numFmtId="0" fontId="0" fillId="12" borderId="94" xfId="0" applyFill="1" applyBorder="1" applyAlignment="1" applyProtection="1">
      <alignment vertical="center"/>
      <protection locked="0" hidden="1"/>
    </xf>
    <xf numFmtId="0" fontId="17" fillId="0" borderId="63" xfId="0" applyFont="1" applyFill="1" applyBorder="1" applyAlignment="1" applyProtection="1">
      <alignment vertical="center"/>
      <protection hidden="1"/>
    </xf>
    <xf numFmtId="0" fontId="16" fillId="0" borderId="27" xfId="0" applyFont="1" applyFill="1" applyBorder="1" applyAlignment="1" applyProtection="1">
      <protection hidden="1"/>
    </xf>
    <xf numFmtId="0" fontId="17" fillId="0" borderId="95" xfId="0" applyFont="1" applyFill="1" applyBorder="1" applyAlignment="1" applyProtection="1">
      <alignment vertical="center"/>
      <protection hidden="1"/>
    </xf>
    <xf numFmtId="0" fontId="26" fillId="17" borderId="34" xfId="0" applyFont="1" applyFill="1" applyBorder="1" applyAlignment="1"/>
    <xf numFmtId="0" fontId="26" fillId="17" borderId="38" xfId="0" applyFont="1" applyFill="1" applyBorder="1" applyAlignment="1"/>
    <xf numFmtId="0" fontId="19" fillId="16" borderId="20" xfId="0" applyFont="1" applyFill="1" applyBorder="1" applyAlignment="1">
      <alignment horizontal="center"/>
    </xf>
    <xf numFmtId="0" fontId="19" fillId="16" borderId="18" xfId="0" applyFont="1" applyFill="1" applyBorder="1" applyAlignment="1">
      <alignment horizontal="center"/>
    </xf>
    <xf numFmtId="0" fontId="19" fillId="16" borderId="19" xfId="0" applyFont="1" applyFill="1" applyBorder="1" applyAlignment="1">
      <alignment horizontal="center"/>
    </xf>
    <xf numFmtId="0" fontId="19" fillId="16" borderId="19" xfId="0" applyFont="1" applyFill="1" applyBorder="1" applyAlignment="1">
      <alignment horizontal="center"/>
    </xf>
    <xf numFmtId="2" fontId="3" fillId="0" borderId="3" xfId="0" applyNumberFormat="1" applyFont="1" applyBorder="1" applyAlignment="1"/>
    <xf numFmtId="0" fontId="2" fillId="0" borderId="3" xfId="0" applyFont="1" applyFill="1" applyBorder="1" applyAlignment="1" applyProtection="1">
      <alignment horizontal="left" wrapText="1"/>
    </xf>
    <xf numFmtId="0" fontId="2" fillId="3" borderId="3" xfId="0" applyFont="1" applyFill="1" applyBorder="1" applyAlignment="1" applyProtection="1">
      <alignment horizontal="left" wrapText="1"/>
    </xf>
    <xf numFmtId="2" fontId="3" fillId="0" borderId="3" xfId="0" applyNumberFormat="1" applyFont="1" applyBorder="1"/>
    <xf numFmtId="0" fontId="3" fillId="0" borderId="6" xfId="0" applyFont="1" applyFill="1" applyBorder="1"/>
    <xf numFmtId="2" fontId="2" fillId="2" borderId="6" xfId="0" applyNumberFormat="1" applyFont="1" applyFill="1" applyBorder="1" applyAlignment="1" applyProtection="1">
      <alignment horizontal="left"/>
      <protection hidden="1"/>
    </xf>
    <xf numFmtId="0" fontId="19" fillId="16" borderId="19" xfId="0" applyFont="1" applyFill="1" applyBorder="1" applyAlignment="1">
      <alignment horizontal="center"/>
    </xf>
    <xf numFmtId="0" fontId="3" fillId="0" borderId="0" xfId="0" applyFont="1" applyFill="1" applyProtection="1">
      <protection hidden="1"/>
    </xf>
    <xf numFmtId="0" fontId="21" fillId="3" borderId="26" xfId="0" applyFont="1" applyFill="1" applyBorder="1"/>
    <xf numFmtId="0" fontId="21" fillId="3" borderId="27" xfId="0" applyFont="1" applyFill="1" applyBorder="1"/>
    <xf numFmtId="0" fontId="8" fillId="3" borderId="3" xfId="0" applyFont="1" applyFill="1" applyBorder="1"/>
    <xf numFmtId="0" fontId="21" fillId="0" borderId="0" xfId="0" applyFont="1"/>
    <xf numFmtId="0" fontId="3" fillId="0" borderId="27" xfId="0" applyFont="1" applyFill="1" applyBorder="1"/>
    <xf numFmtId="0" fontId="2" fillId="2" borderId="4" xfId="0" applyFont="1" applyFill="1" applyBorder="1" applyAlignment="1" applyProtection="1">
      <alignment horizontal="center"/>
      <protection hidden="1"/>
    </xf>
    <xf numFmtId="2" fontId="3" fillId="0" borderId="4" xfId="0" applyNumberFormat="1" applyFont="1" applyBorder="1" applyAlignment="1"/>
    <xf numFmtId="2" fontId="3" fillId="0" borderId="4" xfId="0" applyNumberFormat="1" applyFont="1" applyBorder="1" applyAlignment="1">
      <alignment horizontal="center"/>
    </xf>
    <xf numFmtId="43" fontId="3" fillId="6" borderId="5" xfId="0" applyNumberFormat="1" applyFont="1" applyFill="1" applyBorder="1"/>
    <xf numFmtId="0" fontId="21" fillId="3" borderId="32" xfId="0" applyFont="1" applyFill="1" applyBorder="1"/>
    <xf numFmtId="0" fontId="21" fillId="3" borderId="28" xfId="0" applyFont="1" applyFill="1" applyBorder="1"/>
    <xf numFmtId="0" fontId="8" fillId="3" borderId="4" xfId="0" applyFont="1" applyFill="1" applyBorder="1"/>
    <xf numFmtId="0" fontId="3" fillId="7" borderId="4" xfId="0" applyFont="1" applyFill="1" applyBorder="1" applyAlignment="1" applyProtection="1">
      <alignment horizontal="center"/>
      <protection hidden="1"/>
    </xf>
    <xf numFmtId="0" fontId="3" fillId="8" borderId="4" xfId="0" applyFont="1" applyFill="1" applyBorder="1" applyProtection="1">
      <protection hidden="1"/>
    </xf>
    <xf numFmtId="0" fontId="3" fillId="8" borderId="4" xfId="0" applyFont="1" applyFill="1" applyBorder="1" applyAlignment="1" applyProtection="1">
      <alignment horizontal="center"/>
      <protection hidden="1"/>
    </xf>
    <xf numFmtId="0" fontId="3" fillId="8" borderId="4" xfId="0" applyFont="1" applyFill="1" applyBorder="1" applyAlignment="1" applyProtection="1">
      <alignment horizontal="left"/>
      <protection hidden="1"/>
    </xf>
    <xf numFmtId="0" fontId="3" fillId="8" borderId="4" xfId="0" applyNumberFormat="1" applyFont="1" applyFill="1" applyBorder="1" applyAlignment="1" applyProtection="1">
      <alignment horizontal="center" vertical="center"/>
      <protection hidden="1"/>
    </xf>
    <xf numFmtId="2" fontId="3" fillId="8" borderId="4" xfId="0" applyNumberFormat="1" applyFont="1" applyFill="1" applyBorder="1" applyAlignment="1" applyProtection="1">
      <alignment horizontal="right"/>
      <protection hidden="1"/>
    </xf>
    <xf numFmtId="0" fontId="3" fillId="3" borderId="3" xfId="0" applyFont="1" applyFill="1" applyBorder="1" applyProtection="1">
      <protection locked="0"/>
    </xf>
    <xf numFmtId="0" fontId="3" fillId="3" borderId="32" xfId="0" applyFont="1" applyFill="1" applyBorder="1"/>
    <xf numFmtId="0" fontId="3" fillId="3" borderId="33" xfId="0" applyFont="1" applyFill="1" applyBorder="1"/>
    <xf numFmtId="164" fontId="3" fillId="3" borderId="4" xfId="0" applyNumberFormat="1" applyFont="1" applyFill="1" applyBorder="1"/>
    <xf numFmtId="0" fontId="5" fillId="3" borderId="3" xfId="0" applyFont="1" applyFill="1" applyBorder="1"/>
    <xf numFmtId="0" fontId="3" fillId="3" borderId="29" xfId="0" applyFont="1" applyFill="1" applyBorder="1"/>
    <xf numFmtId="0" fontId="3" fillId="3" borderId="31" xfId="0" applyFont="1" applyFill="1" applyBorder="1"/>
    <xf numFmtId="0" fontId="5" fillId="3" borderId="6" xfId="0" applyFont="1" applyFill="1" applyBorder="1"/>
    <xf numFmtId="0" fontId="27" fillId="0" borderId="3" xfId="0" applyFont="1" applyFill="1" applyBorder="1" applyAlignment="1" applyProtection="1">
      <alignment vertical="center"/>
      <protection hidden="1"/>
    </xf>
    <xf numFmtId="0" fontId="2" fillId="0" borderId="3" xfId="0" applyFont="1" applyFill="1" applyBorder="1" applyAlignment="1" applyProtection="1">
      <alignment horizontal="left"/>
    </xf>
    <xf numFmtId="2" fontId="3" fillId="0" borderId="5" xfId="0" applyNumberFormat="1" applyFont="1" applyFill="1" applyBorder="1"/>
    <xf numFmtId="0" fontId="19" fillId="0" borderId="2" xfId="0" applyFont="1" applyFill="1" applyBorder="1" applyAlignment="1"/>
    <xf numFmtId="0" fontId="19" fillId="0" borderId="37" xfId="0" applyFont="1" applyFill="1" applyBorder="1" applyAlignment="1"/>
    <xf numFmtId="0" fontId="26" fillId="0" borderId="32" xfId="0" applyFont="1" applyFill="1" applyBorder="1" applyAlignment="1"/>
    <xf numFmtId="0" fontId="19" fillId="0" borderId="0" xfId="0" applyFont="1" applyFill="1" applyBorder="1" applyAlignment="1"/>
    <xf numFmtId="0" fontId="8" fillId="0" borderId="26" xfId="0" applyFont="1" applyFill="1" applyBorder="1" applyAlignment="1" applyProtection="1">
      <alignment vertical="center"/>
      <protection hidden="1"/>
    </xf>
    <xf numFmtId="0" fontId="19" fillId="0" borderId="27" xfId="0" applyFont="1" applyFill="1" applyBorder="1" applyAlignment="1"/>
    <xf numFmtId="0" fontId="26" fillId="0" borderId="26" xfId="0" applyFont="1" applyFill="1" applyBorder="1" applyAlignment="1"/>
    <xf numFmtId="0" fontId="3" fillId="0" borderId="8" xfId="0" applyFont="1" applyFill="1" applyBorder="1"/>
    <xf numFmtId="0" fontId="3" fillId="0" borderId="3" xfId="0" applyFont="1" applyFill="1" applyBorder="1" applyAlignment="1" applyProtection="1">
      <alignment vertical="center"/>
      <protection hidden="1"/>
    </xf>
    <xf numFmtId="0" fontId="3" fillId="0" borderId="3" xfId="0" applyFont="1" applyFill="1" applyBorder="1" applyAlignment="1" applyProtection="1">
      <alignment vertical="center"/>
      <protection locked="0" hidden="1"/>
    </xf>
    <xf numFmtId="0" fontId="3" fillId="0" borderId="32" xfId="0" applyFont="1" applyBorder="1"/>
    <xf numFmtId="0" fontId="3" fillId="0" borderId="28" xfId="0" applyFont="1" applyBorder="1"/>
    <xf numFmtId="0" fontId="3" fillId="0" borderId="33" xfId="0" applyFont="1" applyBorder="1"/>
    <xf numFmtId="0" fontId="19" fillId="0" borderId="96" xfId="0" applyFont="1" applyFill="1" applyBorder="1" applyAlignment="1"/>
    <xf numFmtId="43" fontId="20" fillId="0" borderId="50" xfId="0" applyNumberFormat="1" applyFont="1" applyBorder="1"/>
    <xf numFmtId="14" fontId="0" fillId="0" borderId="0" xfId="0" applyNumberFormat="1"/>
    <xf numFmtId="165" fontId="19" fillId="0" borderId="0" xfId="0" applyNumberFormat="1" applyFont="1"/>
    <xf numFmtId="43" fontId="19" fillId="0" borderId="0" xfId="0" applyNumberFormat="1" applyFont="1"/>
    <xf numFmtId="0" fontId="19" fillId="16" borderId="57" xfId="0" applyFont="1" applyFill="1" applyBorder="1" applyAlignment="1">
      <alignment horizontal="center"/>
    </xf>
    <xf numFmtId="0" fontId="19" fillId="16" borderId="10" xfId="0" applyFont="1" applyFill="1" applyBorder="1" applyAlignment="1">
      <alignment horizontal="center"/>
    </xf>
    <xf numFmtId="2" fontId="0" fillId="0" borderId="5" xfId="0" applyNumberFormat="1" applyBorder="1"/>
    <xf numFmtId="2" fontId="3" fillId="0" borderId="52" xfId="0" applyNumberFormat="1" applyFont="1" applyBorder="1"/>
    <xf numFmtId="0" fontId="3" fillId="0" borderId="52" xfId="0" applyFont="1" applyBorder="1"/>
    <xf numFmtId="49" fontId="29" fillId="0" borderId="5" xfId="0" applyNumberFormat="1" applyFont="1" applyBorder="1" applyAlignment="1">
      <alignment vertical="top"/>
    </xf>
    <xf numFmtId="43" fontId="3" fillId="3" borderId="5" xfId="0" applyNumberFormat="1" applyFont="1" applyFill="1" applyBorder="1" applyAlignment="1">
      <alignment horizontal="right"/>
    </xf>
    <xf numFmtId="43" fontId="3" fillId="0" borderId="5" xfId="0" applyNumberFormat="1" applyFont="1" applyBorder="1" applyAlignment="1">
      <alignment horizontal="right"/>
    </xf>
    <xf numFmtId="43" fontId="2" fillId="0" borderId="4" xfId="0" applyNumberFormat="1" applyFont="1" applyFill="1" applyBorder="1"/>
    <xf numFmtId="43" fontId="2" fillId="0" borderId="5" xfId="0" applyNumberFormat="1" applyFont="1" applyFill="1" applyBorder="1"/>
    <xf numFmtId="43" fontId="0" fillId="0" borderId="6" xfId="0" applyNumberFormat="1" applyBorder="1"/>
    <xf numFmtId="0" fontId="3" fillId="0" borderId="4" xfId="0" applyFont="1" applyFill="1" applyBorder="1"/>
    <xf numFmtId="0" fontId="3" fillId="5" borderId="4" xfId="0" applyFont="1" applyFill="1" applyBorder="1"/>
    <xf numFmtId="43" fontId="3" fillId="9" borderId="4" xfId="0" applyNumberFormat="1" applyFont="1" applyFill="1" applyBorder="1"/>
    <xf numFmtId="43" fontId="3" fillId="5" borderId="4" xfId="0" applyNumberFormat="1" applyFont="1" applyFill="1" applyBorder="1"/>
    <xf numFmtId="43" fontId="3" fillId="6" borderId="4" xfId="0" applyNumberFormat="1" applyFont="1" applyFill="1" applyBorder="1"/>
    <xf numFmtId="43" fontId="3" fillId="3" borderId="4" xfId="0" applyNumberFormat="1" applyFont="1" applyFill="1" applyBorder="1"/>
    <xf numFmtId="43" fontId="3" fillId="6" borderId="4" xfId="1" applyNumberFormat="1" applyFont="1" applyFill="1" applyBorder="1" applyAlignment="1" applyProtection="1">
      <alignment horizontal="right"/>
      <protection hidden="1"/>
    </xf>
    <xf numFmtId="0" fontId="3" fillId="6" borderId="4" xfId="0" applyFont="1" applyFill="1" applyBorder="1"/>
    <xf numFmtId="43" fontId="3" fillId="9" borderId="5" xfId="0" applyNumberFormat="1" applyFont="1" applyFill="1" applyBorder="1"/>
    <xf numFmtId="43" fontId="3" fillId="5" borderId="5" xfId="0" applyNumberFormat="1" applyFont="1" applyFill="1" applyBorder="1"/>
    <xf numFmtId="43" fontId="3" fillId="6" borderId="5" xfId="1" applyNumberFormat="1" applyFont="1" applyFill="1" applyBorder="1" applyAlignment="1" applyProtection="1">
      <alignment horizontal="right"/>
      <protection hidden="1"/>
    </xf>
    <xf numFmtId="43" fontId="3" fillId="3" borderId="6" xfId="0" applyNumberFormat="1" applyFont="1" applyFill="1" applyBorder="1"/>
    <xf numFmtId="43" fontId="7" fillId="0" borderId="4" xfId="0" applyNumberFormat="1" applyFont="1" applyBorder="1"/>
    <xf numFmtId="43" fontId="3" fillId="0" borderId="4" xfId="0" applyNumberFormat="1" applyFont="1" applyBorder="1" applyAlignment="1">
      <alignment horizontal="center"/>
    </xf>
    <xf numFmtId="43" fontId="3" fillId="0" borderId="4" xfId="0" applyNumberFormat="1" applyFont="1" applyBorder="1"/>
    <xf numFmtId="43" fontId="7" fillId="0" borderId="3" xfId="0" applyNumberFormat="1" applyFont="1" applyBorder="1"/>
    <xf numFmtId="43" fontId="3" fillId="0" borderId="3" xfId="0" applyNumberFormat="1" applyFont="1" applyBorder="1"/>
    <xf numFmtId="43" fontId="3" fillId="0" borderId="5" xfId="0" applyNumberFormat="1" applyFont="1" applyBorder="1"/>
    <xf numFmtId="43" fontId="3" fillId="0" borderId="6" xfId="0" applyNumberFormat="1" applyFont="1" applyBorder="1"/>
    <xf numFmtId="0" fontId="3" fillId="0" borderId="4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6" borderId="7" xfId="0" applyFont="1" applyFill="1" applyBorder="1"/>
    <xf numFmtId="43" fontId="2" fillId="0" borderId="52" xfId="0" applyNumberFormat="1" applyFont="1" applyFill="1" applyBorder="1"/>
    <xf numFmtId="0" fontId="3" fillId="0" borderId="2" xfId="0" applyFont="1" applyBorder="1"/>
    <xf numFmtId="0" fontId="3" fillId="3" borderId="2" xfId="0" applyFont="1" applyFill="1" applyBorder="1"/>
    <xf numFmtId="0" fontId="5" fillId="3" borderId="4" xfId="0" applyFont="1" applyFill="1" applyBorder="1"/>
    <xf numFmtId="0" fontId="3" fillId="7" borderId="3" xfId="0" applyFont="1" applyFill="1" applyBorder="1" applyAlignment="1" applyProtection="1">
      <alignment horizontal="left"/>
      <protection hidden="1"/>
    </xf>
    <xf numFmtId="43" fontId="3" fillId="3" borderId="3" xfId="0" applyNumberFormat="1" applyFont="1" applyFill="1" applyBorder="1"/>
    <xf numFmtId="0" fontId="3" fillId="0" borderId="5" xfId="0" applyFont="1" applyBorder="1" applyProtection="1">
      <protection locked="0"/>
    </xf>
    <xf numFmtId="0" fontId="3" fillId="0" borderId="0" xfId="0" applyFont="1" applyAlignment="1" applyProtection="1">
      <alignment wrapText="1"/>
      <protection locked="0"/>
    </xf>
    <xf numFmtId="0" fontId="8" fillId="3" borderId="0" xfId="0" applyFont="1" applyFill="1"/>
    <xf numFmtId="0" fontId="8" fillId="3" borderId="19" xfId="0" applyFont="1" applyFill="1" applyBorder="1" applyProtection="1">
      <protection locked="0"/>
    </xf>
    <xf numFmtId="0" fontId="8" fillId="3" borderId="19" xfId="0" applyFont="1" applyFill="1" applyBorder="1"/>
    <xf numFmtId="0" fontId="3" fillId="0" borderId="26" xfId="0" applyFont="1" applyBorder="1"/>
    <xf numFmtId="0" fontId="3" fillId="0" borderId="19" xfId="0" applyFont="1" applyBorder="1"/>
    <xf numFmtId="0" fontId="8" fillId="0" borderId="4" xfId="0" applyFont="1" applyBorder="1" applyAlignment="1">
      <alignment horizontal="center" vertical="center" wrapText="1"/>
    </xf>
    <xf numFmtId="2" fontId="7" fillId="0" borderId="4" xfId="0" applyNumberFormat="1" applyFont="1" applyBorder="1"/>
    <xf numFmtId="2" fontId="3" fillId="0" borderId="6" xfId="0" applyNumberFormat="1" applyFont="1" applyBorder="1"/>
    <xf numFmtId="2" fontId="3" fillId="3" borderId="6" xfId="0" applyNumberFormat="1" applyFont="1" applyFill="1" applyBorder="1"/>
    <xf numFmtId="2" fontId="7" fillId="0" borderId="6" xfId="0" applyNumberFormat="1" applyFont="1" applyBorder="1"/>
    <xf numFmtId="164" fontId="8" fillId="3" borderId="3" xfId="0" applyNumberFormat="1" applyFont="1" applyFill="1" applyBorder="1"/>
    <xf numFmtId="0" fontId="3" fillId="0" borderId="1" xfId="0" applyFont="1" applyBorder="1"/>
    <xf numFmtId="0" fontId="4" fillId="3" borderId="1" xfId="0" applyFont="1" applyFill="1" applyBorder="1" applyProtection="1">
      <protection locked="0"/>
    </xf>
    <xf numFmtId="0" fontId="4" fillId="3" borderId="2" xfId="0" applyFont="1" applyFill="1" applyBorder="1" applyProtection="1">
      <protection locked="0"/>
    </xf>
    <xf numFmtId="0" fontId="18" fillId="0" borderId="3" xfId="0" applyFont="1" applyBorder="1" applyAlignment="1">
      <alignment horizontal="center" vertical="center" wrapText="1"/>
    </xf>
    <xf numFmtId="43" fontId="18" fillId="0" borderId="3" xfId="0" applyNumberFormat="1" applyFont="1" applyBorder="1" applyAlignment="1">
      <alignment horizontal="center" vertical="center" wrapText="1"/>
    </xf>
    <xf numFmtId="0" fontId="19" fillId="0" borderId="32" xfId="0" applyFont="1" applyBorder="1" applyAlignment="1">
      <alignment horizontal="center"/>
    </xf>
    <xf numFmtId="0" fontId="19" fillId="0" borderId="4" xfId="0" applyFont="1" applyBorder="1" applyAlignment="1">
      <alignment wrapText="1"/>
    </xf>
    <xf numFmtId="43" fontId="19" fillId="0" borderId="28" xfId="2" applyNumberFormat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28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19" fillId="0" borderId="5" xfId="0" applyFont="1" applyBorder="1" applyAlignment="1">
      <alignment wrapText="1"/>
    </xf>
    <xf numFmtId="43" fontId="19" fillId="0" borderId="0" xfId="2" applyNumberFormat="1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6" xfId="0" applyFont="1" applyBorder="1" applyAlignment="1">
      <alignment wrapText="1"/>
    </xf>
    <xf numFmtId="43" fontId="19" fillId="0" borderId="30" xfId="2" applyNumberFormat="1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30" xfId="0" applyFont="1" applyBorder="1" applyAlignment="1">
      <alignment horizontal="center"/>
    </xf>
    <xf numFmtId="43" fontId="19" fillId="0" borderId="0" xfId="0" applyNumberFormat="1" applyFont="1" applyBorder="1" applyAlignment="1">
      <alignment horizontal="center"/>
    </xf>
    <xf numFmtId="43" fontId="19" fillId="0" borderId="30" xfId="0" applyNumberFormat="1" applyFont="1" applyBorder="1" applyAlignment="1">
      <alignment horizontal="center"/>
    </xf>
    <xf numFmtId="43" fontId="3" fillId="0" borderId="0" xfId="0" applyNumberFormat="1" applyFont="1"/>
    <xf numFmtId="0" fontId="19" fillId="17" borderId="35" xfId="0" applyFont="1" applyFill="1" applyBorder="1" applyAlignment="1">
      <alignment horizontal="center"/>
    </xf>
    <xf numFmtId="0" fontId="26" fillId="17" borderId="35" xfId="0" applyFont="1" applyFill="1" applyBorder="1" applyAlignment="1"/>
    <xf numFmtId="0" fontId="26" fillId="17" borderId="10" xfId="0" applyFont="1" applyFill="1" applyBorder="1" applyAlignment="1"/>
    <xf numFmtId="0" fontId="19" fillId="16" borderId="39" xfId="0" applyFont="1" applyFill="1" applyBorder="1" applyAlignment="1">
      <alignment horizontal="center"/>
    </xf>
    <xf numFmtId="0" fontId="19" fillId="16" borderId="10" xfId="0" applyFont="1" applyFill="1" applyBorder="1" applyAlignment="1"/>
    <xf numFmtId="0" fontId="19" fillId="16" borderId="11" xfId="0" applyFont="1" applyFill="1" applyBorder="1" applyAlignment="1"/>
    <xf numFmtId="0" fontId="19" fillId="16" borderId="39" xfId="0" applyFont="1" applyFill="1" applyBorder="1" applyAlignment="1">
      <alignment vertical="center"/>
    </xf>
    <xf numFmtId="0" fontId="19" fillId="16" borderId="10" xfId="0" applyFont="1" applyFill="1" applyBorder="1" applyAlignment="1">
      <alignment horizontal="center" vertical="center"/>
    </xf>
    <xf numFmtId="0" fontId="19" fillId="16" borderId="38" xfId="0" applyFont="1" applyFill="1" applyBorder="1" applyAlignment="1">
      <alignment vertical="center"/>
    </xf>
    <xf numFmtId="0" fontId="3" fillId="5" borderId="7" xfId="0" applyFont="1" applyFill="1" applyBorder="1"/>
    <xf numFmtId="0" fontId="19" fillId="16" borderId="57" xfId="0" applyFont="1" applyFill="1" applyBorder="1"/>
    <xf numFmtId="0" fontId="19" fillId="16" borderId="57" xfId="0" applyFont="1" applyFill="1" applyBorder="1" applyAlignment="1">
      <alignment wrapText="1"/>
    </xf>
    <xf numFmtId="43" fontId="19" fillId="10" borderId="98" xfId="1" applyFont="1" applyFill="1" applyBorder="1"/>
    <xf numFmtId="43" fontId="19" fillId="10" borderId="99" xfId="1" applyFont="1" applyFill="1" applyBorder="1"/>
    <xf numFmtId="0" fontId="19" fillId="16" borderId="97" xfId="0" applyFont="1" applyFill="1" applyBorder="1" applyAlignment="1">
      <alignment horizontal="center"/>
    </xf>
    <xf numFmtId="0" fontId="19" fillId="0" borderId="0" xfId="0" applyFont="1" applyFill="1" applyBorder="1"/>
    <xf numFmtId="0" fontId="0" fillId="0" borderId="0" xfId="0" applyFill="1"/>
    <xf numFmtId="43" fontId="31" fillId="0" borderId="0" xfId="1" applyFont="1" applyFill="1" applyBorder="1"/>
    <xf numFmtId="2" fontId="0" fillId="3" borderId="1" xfId="0" applyNumberFormat="1" applyFill="1" applyBorder="1"/>
    <xf numFmtId="15" fontId="0" fillId="3" borderId="1" xfId="0" applyNumberFormat="1" applyFill="1" applyBorder="1"/>
    <xf numFmtId="2" fontId="0" fillId="3" borderId="2" xfId="0" applyNumberFormat="1" applyFill="1" applyBorder="1"/>
    <xf numFmtId="15" fontId="0" fillId="3" borderId="2" xfId="0" applyNumberFormat="1" applyFill="1" applyBorder="1"/>
    <xf numFmtId="2" fontId="0" fillId="36" borderId="2" xfId="0" applyNumberFormat="1" applyFill="1" applyBorder="1"/>
    <xf numFmtId="2" fontId="11" fillId="3" borderId="2" xfId="0" applyNumberFormat="1" applyFont="1" applyFill="1" applyBorder="1"/>
    <xf numFmtId="166" fontId="30" fillId="3" borderId="2" xfId="1" applyNumberFormat="1" applyFont="1" applyFill="1" applyBorder="1" applyAlignment="1">
      <alignment horizontal="left" wrapText="1"/>
    </xf>
    <xf numFmtId="2" fontId="0" fillId="3" borderId="2" xfId="0" applyNumberFormat="1" applyFill="1" applyBorder="1" applyAlignment="1">
      <alignment horizontal="left"/>
    </xf>
    <xf numFmtId="1" fontId="0" fillId="3" borderId="2" xfId="0" applyNumberFormat="1" applyFill="1" applyBorder="1" applyAlignment="1">
      <alignment horizontal="left"/>
    </xf>
    <xf numFmtId="0" fontId="0" fillId="3" borderId="0" xfId="0" applyFill="1"/>
    <xf numFmtId="0" fontId="9" fillId="0" borderId="2" xfId="0" applyFont="1" applyBorder="1" applyAlignment="1">
      <alignment horizontal="left" vertical="center"/>
    </xf>
    <xf numFmtId="49" fontId="6" fillId="0" borderId="2" xfId="0" applyNumberFormat="1" applyFont="1" applyBorder="1" applyAlignment="1">
      <alignment vertical="top"/>
    </xf>
    <xf numFmtId="49" fontId="32" fillId="0" borderId="2" xfId="0" applyNumberFormat="1" applyFont="1" applyBorder="1" applyAlignment="1">
      <alignment vertical="top"/>
    </xf>
    <xf numFmtId="49" fontId="32" fillId="0" borderId="2" xfId="0" applyNumberFormat="1" applyFont="1" applyBorder="1" applyAlignment="1">
      <alignment horizontal="right" vertical="top"/>
    </xf>
    <xf numFmtId="0" fontId="33" fillId="0" borderId="2" xfId="0" applyFont="1" applyBorder="1"/>
    <xf numFmtId="0" fontId="34" fillId="0" borderId="2" xfId="0" applyFont="1" applyBorder="1"/>
    <xf numFmtId="49" fontId="29" fillId="0" borderId="2" xfId="0" applyNumberFormat="1" applyFont="1" applyBorder="1" applyAlignment="1">
      <alignment vertical="top"/>
    </xf>
    <xf numFmtId="49" fontId="32" fillId="0" borderId="34" xfId="0" applyNumberFormat="1" applyFont="1" applyBorder="1" applyAlignment="1">
      <alignment vertical="top"/>
    </xf>
    <xf numFmtId="0" fontId="9" fillId="0" borderId="9" xfId="0" applyFont="1" applyBorder="1" applyAlignment="1">
      <alignment horizontal="left" vertical="center"/>
    </xf>
    <xf numFmtId="49" fontId="6" fillId="0" borderId="9" xfId="0" applyNumberFormat="1" applyFont="1" applyBorder="1" applyAlignment="1">
      <alignment vertical="top"/>
    </xf>
    <xf numFmtId="43" fontId="0" fillId="3" borderId="36" xfId="0" applyNumberFormat="1" applyFill="1" applyBorder="1"/>
    <xf numFmtId="0" fontId="0" fillId="0" borderId="1" xfId="0" applyFill="1" applyBorder="1"/>
    <xf numFmtId="0" fontId="0" fillId="0" borderId="2" xfId="0" applyFill="1" applyBorder="1"/>
    <xf numFmtId="0" fontId="0" fillId="3" borderId="2" xfId="0" applyFont="1" applyFill="1" applyBorder="1"/>
    <xf numFmtId="0" fontId="36" fillId="0" borderId="2" xfId="0" applyFont="1" applyFill="1" applyBorder="1"/>
    <xf numFmtId="0" fontId="0" fillId="11" borderId="2" xfId="0" applyFill="1" applyBorder="1"/>
    <xf numFmtId="0" fontId="0" fillId="0" borderId="2" xfId="0" applyFont="1" applyFill="1" applyBorder="1"/>
    <xf numFmtId="2" fontId="0" fillId="0" borderId="2" xfId="0" applyNumberFormat="1" applyBorder="1"/>
    <xf numFmtId="43" fontId="30" fillId="0" borderId="2" xfId="1" applyFont="1" applyFill="1" applyBorder="1" applyAlignment="1">
      <alignment horizontal="left" wrapText="1"/>
    </xf>
    <xf numFmtId="0" fontId="0" fillId="0" borderId="37" xfId="0" applyFill="1" applyBorder="1"/>
    <xf numFmtId="2" fontId="0" fillId="0" borderId="2" xfId="0" applyNumberFormat="1" applyFill="1" applyBorder="1"/>
    <xf numFmtId="43" fontId="30" fillId="36" borderId="2" xfId="1" applyFont="1" applyFill="1" applyBorder="1" applyAlignment="1">
      <alignment horizontal="left" wrapText="1"/>
    </xf>
    <xf numFmtId="2" fontId="11" fillId="36" borderId="2" xfId="0" applyNumberFormat="1" applyFont="1" applyFill="1" applyBorder="1"/>
    <xf numFmtId="166" fontId="30" fillId="36" borderId="2" xfId="1" applyNumberFormat="1" applyFont="1" applyFill="1" applyBorder="1" applyAlignment="1">
      <alignment horizontal="left" wrapText="1"/>
    </xf>
    <xf numFmtId="0" fontId="0" fillId="0" borderId="0" xfId="0" applyFill="1" applyBorder="1"/>
    <xf numFmtId="9" fontId="0" fillId="0" borderId="0" xfId="2" applyFont="1" applyFill="1" applyBorder="1"/>
    <xf numFmtId="9" fontId="0" fillId="0" borderId="0" xfId="2" applyFont="1"/>
    <xf numFmtId="0" fontId="0" fillId="0" borderId="2" xfId="0" applyBorder="1" applyAlignment="1">
      <alignment horizontal="right"/>
    </xf>
    <xf numFmtId="0" fontId="3" fillId="0" borderId="5" xfId="0" applyFont="1" applyBorder="1" applyAlignment="1">
      <alignment horizontal="right"/>
    </xf>
    <xf numFmtId="49" fontId="32" fillId="0" borderId="9" xfId="0" applyNumberFormat="1" applyFont="1" applyBorder="1" applyAlignment="1">
      <alignment horizontal="right" vertical="top"/>
    </xf>
    <xf numFmtId="0" fontId="35" fillId="0" borderId="0" xfId="0" applyFont="1" applyBorder="1"/>
    <xf numFmtId="43" fontId="2" fillId="3" borderId="5" xfId="0" applyNumberFormat="1" applyFont="1" applyFill="1" applyBorder="1"/>
    <xf numFmtId="0" fontId="3" fillId="3" borderId="7" xfId="0" applyFont="1" applyFill="1" applyBorder="1"/>
    <xf numFmtId="2" fontId="0" fillId="3" borderId="5" xfId="0" applyNumberFormat="1" applyFill="1" applyBorder="1"/>
    <xf numFmtId="43" fontId="2" fillId="11" borderId="52" xfId="0" applyNumberFormat="1" applyFont="1" applyFill="1" applyBorder="1"/>
    <xf numFmtId="43" fontId="2" fillId="3" borderId="52" xfId="0" applyNumberFormat="1" applyFont="1" applyFill="1" applyBorder="1"/>
    <xf numFmtId="49" fontId="32" fillId="0" borderId="5" xfId="0" applyNumberFormat="1" applyFont="1" applyBorder="1" applyAlignment="1">
      <alignment vertical="top"/>
    </xf>
    <xf numFmtId="49" fontId="32" fillId="0" borderId="5" xfId="0" applyNumberFormat="1" applyFont="1" applyBorder="1" applyAlignment="1">
      <alignment horizontal="right" vertical="top"/>
    </xf>
    <xf numFmtId="167" fontId="32" fillId="0" borderId="5" xfId="0" applyNumberFormat="1" applyFont="1" applyBorder="1" applyAlignment="1">
      <alignment horizontal="right" vertical="top"/>
    </xf>
    <xf numFmtId="168" fontId="32" fillId="0" borderId="5" xfId="0" applyNumberFormat="1" applyFont="1" applyBorder="1" applyAlignment="1">
      <alignment horizontal="right" vertical="top"/>
    </xf>
    <xf numFmtId="49" fontId="32" fillId="0" borderId="5" xfId="0" applyNumberFormat="1" applyFont="1" applyFill="1" applyBorder="1" applyAlignment="1">
      <alignment vertical="top"/>
    </xf>
    <xf numFmtId="49" fontId="32" fillId="0" borderId="0" xfId="0" applyNumberFormat="1" applyFont="1" applyFill="1" applyBorder="1" applyAlignment="1">
      <alignment vertical="top"/>
    </xf>
    <xf numFmtId="165" fontId="3" fillId="29" borderId="82" xfId="0" applyNumberFormat="1" applyFont="1" applyFill="1" applyBorder="1" applyAlignment="1" applyProtection="1">
      <alignment horizontal="right" vertical="center" shrinkToFit="1"/>
    </xf>
    <xf numFmtId="165" fontId="27" fillId="32" borderId="79" xfId="0" applyNumberFormat="1" applyFont="1" applyFill="1" applyBorder="1" applyAlignment="1" applyProtection="1">
      <alignment horizontal="right" vertical="center" shrinkToFit="1"/>
      <protection locked="0"/>
    </xf>
    <xf numFmtId="2" fontId="38" fillId="35" borderId="1" xfId="0" applyNumberFormat="1" applyFont="1" applyFill="1" applyBorder="1"/>
    <xf numFmtId="2" fontId="39" fillId="35" borderId="1" xfId="0" applyNumberFormat="1" applyFont="1" applyFill="1" applyBorder="1" applyAlignment="1"/>
    <xf numFmtId="2" fontId="39" fillId="35" borderId="1" xfId="0" applyNumberFormat="1" applyFont="1" applyFill="1" applyBorder="1" applyAlignment="1">
      <alignment horizontal="center"/>
    </xf>
    <xf numFmtId="2" fontId="39" fillId="35" borderId="13" xfId="0" applyNumberFormat="1" applyFont="1" applyFill="1" applyBorder="1" applyAlignment="1">
      <alignment horizontal="center"/>
    </xf>
    <xf numFmtId="2" fontId="41" fillId="26" borderId="1" xfId="0" applyNumberFormat="1" applyFont="1" applyFill="1" applyBorder="1"/>
    <xf numFmtId="2" fontId="34" fillId="26" borderId="1" xfId="0" applyNumberFormat="1" applyFont="1" applyFill="1" applyBorder="1" applyAlignment="1"/>
    <xf numFmtId="2" fontId="34" fillId="26" borderId="1" xfId="0" applyNumberFormat="1" applyFont="1" applyFill="1" applyBorder="1" applyAlignment="1">
      <alignment horizontal="center"/>
    </xf>
    <xf numFmtId="2" fontId="34" fillId="26" borderId="13" xfId="0" applyNumberFormat="1" applyFont="1" applyFill="1" applyBorder="1" applyAlignment="1">
      <alignment horizontal="center"/>
    </xf>
    <xf numFmtId="0" fontId="8" fillId="17" borderId="34" xfId="0" applyFont="1" applyFill="1" applyBorder="1" applyAlignment="1"/>
    <xf numFmtId="0" fontId="6" fillId="18" borderId="48" xfId="0" applyFont="1" applyFill="1" applyBorder="1" applyAlignment="1" applyProtection="1">
      <alignment horizontal="center" vertical="center"/>
      <protection hidden="1"/>
    </xf>
    <xf numFmtId="0" fontId="6" fillId="18" borderId="1" xfId="0" applyFont="1" applyFill="1" applyBorder="1" applyAlignment="1" applyProtection="1">
      <alignment vertical="center" shrinkToFit="1"/>
      <protection hidden="1"/>
    </xf>
    <xf numFmtId="0" fontId="6" fillId="18" borderId="1" xfId="0" applyFont="1" applyFill="1" applyBorder="1" applyAlignment="1" applyProtection="1">
      <alignment vertical="center"/>
      <protection hidden="1"/>
    </xf>
    <xf numFmtId="0" fontId="6" fillId="18" borderId="1" xfId="0" applyFont="1" applyFill="1" applyBorder="1"/>
    <xf numFmtId="1" fontId="6" fillId="3" borderId="50" xfId="0" applyNumberFormat="1" applyFont="1" applyFill="1" applyBorder="1" applyAlignment="1" applyProtection="1">
      <alignment vertical="center"/>
      <protection locked="0"/>
    </xf>
    <xf numFmtId="1" fontId="6" fillId="19" borderId="50" xfId="0" applyNumberFormat="1" applyFont="1" applyFill="1" applyBorder="1" applyAlignment="1" applyProtection="1">
      <alignment vertical="center"/>
      <protection hidden="1"/>
    </xf>
    <xf numFmtId="0" fontId="6" fillId="0" borderId="0" xfId="0" applyFont="1"/>
    <xf numFmtId="0" fontId="6" fillId="18" borderId="9" xfId="0" applyFont="1" applyFill="1" applyBorder="1"/>
    <xf numFmtId="0" fontId="6" fillId="18" borderId="9" xfId="0" applyFont="1" applyFill="1" applyBorder="1" applyAlignment="1" applyProtection="1">
      <alignment vertical="center"/>
      <protection hidden="1"/>
    </xf>
    <xf numFmtId="1" fontId="6" fillId="3" borderId="50" xfId="0" applyNumberFormat="1" applyFont="1" applyFill="1" applyBorder="1" applyAlignment="1" applyProtection="1">
      <alignment vertical="center"/>
      <protection hidden="1"/>
    </xf>
    <xf numFmtId="0" fontId="6" fillId="18" borderId="2" xfId="0" applyFont="1" applyFill="1" applyBorder="1" applyAlignment="1" applyProtection="1">
      <alignment vertical="center" shrinkToFit="1"/>
      <protection hidden="1"/>
    </xf>
    <xf numFmtId="0" fontId="6" fillId="20" borderId="48" xfId="0" applyFont="1" applyFill="1" applyBorder="1" applyAlignment="1" applyProtection="1">
      <alignment horizontal="right" vertical="center"/>
      <protection hidden="1"/>
    </xf>
    <xf numFmtId="1" fontId="6" fillId="3" borderId="48" xfId="0" applyNumberFormat="1" applyFont="1" applyFill="1" applyBorder="1" applyAlignment="1" applyProtection="1">
      <alignment vertical="center"/>
      <protection locked="0"/>
    </xf>
    <xf numFmtId="1" fontId="6" fillId="3" borderId="51" xfId="0" applyNumberFormat="1" applyFont="1" applyFill="1" applyBorder="1" applyAlignment="1" applyProtection="1">
      <alignment vertical="center"/>
      <protection locked="0"/>
    </xf>
    <xf numFmtId="1" fontId="6" fillId="3" borderId="2" xfId="0" applyNumberFormat="1" applyFont="1" applyFill="1" applyBorder="1"/>
    <xf numFmtId="1" fontId="6" fillId="18" borderId="100" xfId="0" applyNumberFormat="1" applyFont="1" applyFill="1" applyBorder="1" applyAlignment="1" applyProtection="1">
      <alignment vertical="center" wrapText="1"/>
      <protection hidden="1"/>
    </xf>
    <xf numFmtId="0" fontId="6" fillId="20" borderId="50" xfId="0" applyFont="1" applyFill="1" applyBorder="1" applyAlignment="1" applyProtection="1">
      <alignment horizontal="right" vertical="center"/>
      <protection hidden="1"/>
    </xf>
    <xf numFmtId="1" fontId="6" fillId="3" borderId="50" xfId="0" applyNumberFormat="1" applyFont="1" applyFill="1" applyBorder="1"/>
    <xf numFmtId="1" fontId="6" fillId="18" borderId="90" xfId="0" applyNumberFormat="1" applyFont="1" applyFill="1" applyBorder="1" applyAlignment="1" applyProtection="1">
      <alignment vertical="center" wrapText="1"/>
      <protection hidden="1"/>
    </xf>
    <xf numFmtId="0" fontId="6" fillId="18" borderId="51" xfId="0" applyFont="1" applyFill="1" applyBorder="1" applyAlignment="1" applyProtection="1">
      <alignment vertical="center" shrinkToFit="1"/>
      <protection hidden="1"/>
    </xf>
    <xf numFmtId="1" fontId="6" fillId="21" borderId="49" xfId="0" applyNumberFormat="1" applyFont="1" applyFill="1" applyBorder="1" applyAlignment="1" applyProtection="1">
      <alignment vertical="center"/>
      <protection hidden="1"/>
    </xf>
    <xf numFmtId="1" fontId="6" fillId="14" borderId="19" xfId="0" applyNumberFormat="1" applyFont="1" applyFill="1" applyBorder="1" applyAlignment="1" applyProtection="1">
      <alignment horizontal="right" vertical="center"/>
      <protection hidden="1"/>
    </xf>
    <xf numFmtId="0" fontId="6" fillId="20" borderId="9" xfId="0" applyFont="1" applyFill="1" applyBorder="1" applyAlignment="1" applyProtection="1">
      <alignment horizontal="right" vertical="center"/>
      <protection hidden="1"/>
    </xf>
    <xf numFmtId="1" fontId="6" fillId="3" borderId="9" xfId="0" applyNumberFormat="1" applyFont="1" applyFill="1" applyBorder="1" applyAlignment="1" applyProtection="1">
      <alignment vertical="center"/>
      <protection locked="0"/>
    </xf>
    <xf numFmtId="1" fontId="6" fillId="3" borderId="49" xfId="0" applyNumberFormat="1" applyFont="1" applyFill="1" applyBorder="1"/>
    <xf numFmtId="1" fontId="6" fillId="14" borderId="101" xfId="0" applyNumberFormat="1" applyFont="1" applyFill="1" applyBorder="1" applyAlignment="1" applyProtection="1">
      <alignment vertical="center"/>
      <protection hidden="1"/>
    </xf>
    <xf numFmtId="0" fontId="6" fillId="34" borderId="2" xfId="0" applyFont="1" applyFill="1" applyBorder="1"/>
    <xf numFmtId="0" fontId="6" fillId="18" borderId="50" xfId="0" applyFont="1" applyFill="1" applyBorder="1" applyAlignment="1" applyProtection="1">
      <alignment horizontal="center" vertical="center"/>
      <protection hidden="1"/>
    </xf>
    <xf numFmtId="0" fontId="6" fillId="18" borderId="50" xfId="0" applyFont="1" applyFill="1" applyBorder="1" applyAlignment="1" applyProtection="1">
      <alignment vertical="center" wrapText="1"/>
      <protection hidden="1"/>
    </xf>
    <xf numFmtId="0" fontId="6" fillId="10" borderId="50" xfId="0" applyFont="1" applyFill="1" applyBorder="1" applyAlignment="1" applyProtection="1">
      <alignment horizontal="center" vertical="center"/>
      <protection hidden="1"/>
    </xf>
    <xf numFmtId="0" fontId="6" fillId="10" borderId="90" xfId="0" applyFont="1" applyFill="1" applyBorder="1" applyAlignment="1" applyProtection="1">
      <alignment horizontal="center" vertical="center"/>
      <protection hidden="1"/>
    </xf>
    <xf numFmtId="1" fontId="6" fillId="23" borderId="50" xfId="0" applyNumberFormat="1" applyFont="1" applyFill="1" applyBorder="1" applyAlignment="1" applyProtection="1">
      <alignment vertical="center"/>
      <protection hidden="1"/>
    </xf>
    <xf numFmtId="1" fontId="6" fillId="24" borderId="50" xfId="0" applyNumberFormat="1" applyFont="1" applyFill="1" applyBorder="1" applyAlignment="1" applyProtection="1">
      <alignment vertical="center"/>
      <protection hidden="1"/>
    </xf>
    <xf numFmtId="0" fontId="6" fillId="24" borderId="50" xfId="0" applyFont="1" applyFill="1" applyBorder="1" applyAlignment="1" applyProtection="1">
      <alignment vertical="center"/>
      <protection hidden="1"/>
    </xf>
    <xf numFmtId="0" fontId="6" fillId="0" borderId="50" xfId="0" applyFont="1" applyFill="1" applyBorder="1" applyAlignment="1" applyProtection="1">
      <alignment vertical="center"/>
      <protection hidden="1"/>
    </xf>
    <xf numFmtId="1" fontId="6" fillId="24" borderId="50" xfId="0" applyNumberFormat="1" applyFont="1" applyFill="1" applyBorder="1"/>
    <xf numFmtId="1" fontId="42" fillId="20" borderId="50" xfId="0" applyNumberFormat="1" applyFont="1" applyFill="1" applyBorder="1" applyAlignment="1" applyProtection="1">
      <alignment vertical="center"/>
      <protection hidden="1"/>
    </xf>
    <xf numFmtId="1" fontId="6" fillId="3" borderId="90" xfId="0" applyNumberFormat="1" applyFont="1" applyFill="1" applyBorder="1" applyAlignment="1" applyProtection="1">
      <alignment vertical="center"/>
      <protection locked="0"/>
    </xf>
    <xf numFmtId="0" fontId="6" fillId="0" borderId="50" xfId="0" applyFont="1" applyBorder="1" applyAlignment="1" applyProtection="1">
      <alignment vertical="center"/>
      <protection hidden="1"/>
    </xf>
    <xf numFmtId="1" fontId="6" fillId="0" borderId="50" xfId="0" applyNumberFormat="1" applyFont="1" applyFill="1" applyBorder="1" applyAlignment="1" applyProtection="1">
      <alignment vertical="center"/>
      <protection hidden="1"/>
    </xf>
    <xf numFmtId="1" fontId="6" fillId="24" borderId="50" xfId="0" applyNumberFormat="1" applyFont="1" applyFill="1" applyBorder="1" applyAlignment="1" applyProtection="1">
      <alignment horizontal="right" vertical="center"/>
      <protection hidden="1"/>
    </xf>
    <xf numFmtId="1" fontId="42" fillId="20" borderId="90" xfId="0" applyNumberFormat="1" applyFont="1" applyFill="1" applyBorder="1" applyAlignment="1" applyProtection="1">
      <alignment vertical="center"/>
      <protection hidden="1"/>
    </xf>
    <xf numFmtId="0" fontId="6" fillId="18" borderId="3" xfId="0" applyFont="1" applyFill="1" applyBorder="1" applyAlignment="1" applyProtection="1">
      <alignment horizontal="center" vertical="center"/>
      <protection hidden="1"/>
    </xf>
    <xf numFmtId="0" fontId="6" fillId="18" borderId="26" xfId="0" applyFont="1" applyFill="1" applyBorder="1" applyAlignment="1" applyProtection="1">
      <alignment horizontal="center" vertical="center"/>
      <protection hidden="1"/>
    </xf>
    <xf numFmtId="0" fontId="6" fillId="13" borderId="3" xfId="0" applyFont="1" applyFill="1" applyBorder="1"/>
    <xf numFmtId="0" fontId="6" fillId="0" borderId="3" xfId="0" applyFont="1" applyFill="1" applyBorder="1" applyAlignment="1">
      <alignment vertical="center"/>
    </xf>
    <xf numFmtId="0" fontId="6" fillId="0" borderId="41" xfId="0" applyFont="1" applyFill="1" applyBorder="1" applyAlignment="1">
      <alignment vertical="center"/>
    </xf>
    <xf numFmtId="0" fontId="6" fillId="13" borderId="44" xfId="0" applyFont="1" applyFill="1" applyBorder="1" applyAlignment="1">
      <alignment vertical="top" wrapText="1"/>
    </xf>
    <xf numFmtId="1" fontId="6" fillId="7" borderId="3" xfId="0" applyNumberFormat="1" applyFont="1" applyFill="1" applyBorder="1" applyAlignment="1" applyProtection="1">
      <alignment vertical="center"/>
      <protection hidden="1"/>
    </xf>
    <xf numFmtId="0" fontId="6" fillId="7" borderId="3" xfId="0" applyFont="1" applyFill="1" applyBorder="1" applyAlignment="1" applyProtection="1">
      <alignment vertical="center"/>
      <protection hidden="1"/>
    </xf>
    <xf numFmtId="0" fontId="6" fillId="0" borderId="3" xfId="0" applyFont="1" applyBorder="1"/>
    <xf numFmtId="0" fontId="6" fillId="15" borderId="41" xfId="0" applyFont="1" applyFill="1" applyBorder="1"/>
    <xf numFmtId="0" fontId="6" fillId="16" borderId="64" xfId="0" applyFont="1" applyFill="1" applyBorder="1" applyAlignment="1">
      <alignment vertical="center"/>
    </xf>
    <xf numFmtId="1" fontId="6" fillId="25" borderId="3" xfId="0" applyNumberFormat="1" applyFont="1" applyFill="1" applyBorder="1" applyAlignment="1" applyProtection="1">
      <alignment vertical="center"/>
      <protection hidden="1"/>
    </xf>
    <xf numFmtId="0" fontId="6" fillId="13" borderId="41" xfId="0" applyFont="1" applyFill="1" applyBorder="1"/>
    <xf numFmtId="0" fontId="6" fillId="0" borderId="65" xfId="0" applyFont="1" applyBorder="1"/>
    <xf numFmtId="0" fontId="6" fillId="15" borderId="66" xfId="0" applyFont="1" applyFill="1" applyBorder="1"/>
    <xf numFmtId="0" fontId="19" fillId="16" borderId="19" xfId="0" applyFont="1" applyFill="1" applyBorder="1" applyAlignment="1">
      <alignment horizontal="center"/>
    </xf>
    <xf numFmtId="0" fontId="28" fillId="0" borderId="26" xfId="0" applyFont="1" applyFill="1" applyBorder="1" applyAlignment="1" applyProtection="1">
      <alignment horizontal="center"/>
      <protection hidden="1"/>
    </xf>
    <xf numFmtId="0" fontId="28" fillId="0" borderId="27" xfId="0" applyFont="1" applyFill="1" applyBorder="1" applyAlignment="1" applyProtection="1">
      <alignment horizontal="center"/>
      <protection hidden="1"/>
    </xf>
    <xf numFmtId="0" fontId="28" fillId="0" borderId="8" xfId="0" applyFont="1" applyFill="1" applyBorder="1" applyAlignment="1" applyProtection="1">
      <alignment horizontal="center"/>
      <protection hidden="1"/>
    </xf>
    <xf numFmtId="0" fontId="3" fillId="0" borderId="29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9" fillId="16" borderId="38" xfId="0" applyFont="1" applyFill="1" applyBorder="1" applyAlignment="1">
      <alignment horizontal="center" vertical="center"/>
    </xf>
    <xf numFmtId="0" fontId="19" fillId="16" borderId="39" xfId="0" applyFont="1" applyFill="1" applyBorder="1" applyAlignment="1">
      <alignment horizontal="center" vertical="center"/>
    </xf>
    <xf numFmtId="0" fontId="19" fillId="16" borderId="38" xfId="0" applyFont="1" applyFill="1" applyBorder="1" applyAlignment="1">
      <alignment horizontal="center"/>
    </xf>
    <xf numFmtId="0" fontId="19" fillId="16" borderId="11" xfId="0" applyFont="1" applyFill="1" applyBorder="1" applyAlignment="1">
      <alignment horizontal="center"/>
    </xf>
    <xf numFmtId="0" fontId="25" fillId="11" borderId="21" xfId="0" applyFont="1" applyFill="1" applyBorder="1" applyAlignment="1" applyProtection="1">
      <alignment horizontal="center"/>
      <protection hidden="1"/>
    </xf>
    <xf numFmtId="0" fontId="25" fillId="11" borderId="22" xfId="0" applyFont="1" applyFill="1" applyBorder="1" applyAlignment="1" applyProtection="1">
      <alignment horizontal="center"/>
      <protection hidden="1"/>
    </xf>
    <xf numFmtId="0" fontId="19" fillId="17" borderId="56" xfId="0" applyFont="1" applyFill="1" applyBorder="1" applyAlignment="1">
      <alignment horizontal="center"/>
    </xf>
    <xf numFmtId="0" fontId="19" fillId="17" borderId="54" xfId="0" applyFont="1" applyFill="1" applyBorder="1" applyAlignment="1">
      <alignment horizontal="center"/>
    </xf>
    <xf numFmtId="0" fontId="19" fillId="17" borderId="55" xfId="0" applyFont="1" applyFill="1" applyBorder="1" applyAlignment="1">
      <alignment horizontal="center"/>
    </xf>
    <xf numFmtId="0" fontId="8" fillId="14" borderId="60" xfId="0" applyFont="1" applyFill="1" applyBorder="1" applyAlignment="1" applyProtection="1">
      <alignment horizontal="center" vertical="center"/>
      <protection hidden="1"/>
    </xf>
    <xf numFmtId="0" fontId="8" fillId="14" borderId="35" xfId="0" applyFont="1" applyFill="1" applyBorder="1" applyAlignment="1" applyProtection="1">
      <alignment horizontal="center" vertical="center"/>
      <protection hidden="1"/>
    </xf>
    <xf numFmtId="0" fontId="8" fillId="14" borderId="61" xfId="0" applyFont="1" applyFill="1" applyBorder="1" applyAlignment="1" applyProtection="1">
      <alignment horizontal="center" vertical="center"/>
      <protection hidden="1"/>
    </xf>
    <xf numFmtId="0" fontId="19" fillId="16" borderId="10" xfId="0" applyFont="1" applyFill="1" applyBorder="1" applyAlignment="1">
      <alignment horizontal="center"/>
    </xf>
    <xf numFmtId="0" fontId="19" fillId="16" borderId="39" xfId="0" applyFont="1" applyFill="1" applyBorder="1" applyAlignment="1">
      <alignment horizontal="center"/>
    </xf>
    <xf numFmtId="0" fontId="19" fillId="16" borderId="57" xfId="0" applyFont="1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6" fillId="16" borderId="57" xfId="0" applyFont="1" applyFill="1" applyBorder="1" applyAlignment="1">
      <alignment horizontal="center"/>
    </xf>
    <xf numFmtId="0" fontId="6" fillId="16" borderId="39" xfId="0" applyFont="1" applyFill="1" applyBorder="1" applyAlignment="1">
      <alignment horizontal="center"/>
    </xf>
    <xf numFmtId="0" fontId="6" fillId="0" borderId="102" xfId="0" applyFont="1" applyBorder="1" applyAlignment="1">
      <alignment horizontal="center" vertical="top" wrapText="1"/>
    </xf>
    <xf numFmtId="0" fontId="6" fillId="0" borderId="52" xfId="0" applyFont="1" applyBorder="1" applyAlignment="1">
      <alignment horizontal="center" vertical="top" wrapText="1"/>
    </xf>
    <xf numFmtId="0" fontId="6" fillId="0" borderId="103" xfId="0" applyFont="1" applyBorder="1" applyAlignment="1">
      <alignment horizontal="center" vertical="top" wrapText="1"/>
    </xf>
    <xf numFmtId="0" fontId="22" fillId="33" borderId="19" xfId="0" applyNumberFormat="1" applyFont="1" applyFill="1" applyBorder="1" applyAlignment="1" applyProtection="1">
      <alignment horizontal="center" vertical="center" wrapText="1"/>
    </xf>
    <xf numFmtId="0" fontId="22" fillId="33" borderId="20" xfId="0" applyNumberFormat="1" applyFont="1" applyFill="1" applyBorder="1" applyAlignment="1" applyProtection="1">
      <alignment horizontal="center" vertical="center" wrapText="1"/>
    </xf>
    <xf numFmtId="165" fontId="15" fillId="19" borderId="19" xfId="0" applyNumberFormat="1" applyFont="1" applyFill="1" applyBorder="1" applyAlignment="1" applyProtection="1">
      <alignment horizontal="center" vertical="center" shrinkToFit="1"/>
      <protection locked="0"/>
    </xf>
    <xf numFmtId="165" fontId="15" fillId="19" borderId="20" xfId="0" applyNumberFormat="1" applyFont="1" applyFill="1" applyBorder="1" applyAlignment="1" applyProtection="1">
      <alignment horizontal="center" vertical="center" shrinkToFit="1"/>
      <protection locked="0"/>
    </xf>
    <xf numFmtId="165" fontId="19" fillId="29" borderId="19" xfId="0" applyNumberFormat="1" applyFont="1" applyFill="1" applyBorder="1" applyAlignment="1" applyProtection="1">
      <alignment horizontal="center" vertical="center" shrinkToFit="1"/>
    </xf>
    <xf numFmtId="165" fontId="19" fillId="29" borderId="20" xfId="0" applyNumberFormat="1" applyFont="1" applyFill="1" applyBorder="1" applyAlignment="1" applyProtection="1">
      <alignment horizontal="center" vertical="center" shrinkToFit="1"/>
    </xf>
    <xf numFmtId="0" fontId="6" fillId="18" borderId="34" xfId="0" applyFont="1" applyFill="1" applyBorder="1" applyAlignment="1" applyProtection="1">
      <alignment horizontal="center" vertical="center"/>
      <protection hidden="1"/>
    </xf>
    <xf numFmtId="0" fontId="6" fillId="18" borderId="36" xfId="0" applyFont="1" applyFill="1" applyBorder="1" applyAlignment="1" applyProtection="1">
      <alignment horizontal="center" vertical="center"/>
      <protection hidden="1"/>
    </xf>
    <xf numFmtId="0" fontId="8" fillId="14" borderId="57" xfId="0" applyFont="1" applyFill="1" applyBorder="1" applyAlignment="1" applyProtection="1">
      <alignment horizontal="center" vertical="center"/>
      <protection hidden="1"/>
    </xf>
    <xf numFmtId="0" fontId="8" fillId="14" borderId="10" xfId="0" applyFont="1" applyFill="1" applyBorder="1" applyAlignment="1" applyProtection="1">
      <alignment horizontal="center" vertical="center"/>
      <protection hidden="1"/>
    </xf>
    <xf numFmtId="0" fontId="8" fillId="14" borderId="11" xfId="0" applyFont="1" applyFill="1" applyBorder="1" applyAlignment="1" applyProtection="1">
      <alignment horizontal="center" vertical="center"/>
      <protection hidden="1"/>
    </xf>
    <xf numFmtId="0" fontId="6" fillId="22" borderId="51" xfId="0" applyFont="1" applyFill="1" applyBorder="1" applyAlignment="1" applyProtection="1">
      <alignment horizontal="center" vertical="center" wrapText="1"/>
      <protection hidden="1"/>
    </xf>
    <xf numFmtId="0" fontId="6" fillId="22" borderId="88" xfId="0" applyFont="1" applyFill="1" applyBorder="1" applyAlignment="1" applyProtection="1">
      <alignment horizontal="center" vertical="center" wrapText="1"/>
      <protection hidden="1"/>
    </xf>
    <xf numFmtId="0" fontId="6" fillId="20" borderId="86" xfId="0" applyFont="1" applyFill="1" applyBorder="1" applyAlignment="1" applyProtection="1">
      <alignment horizontal="center" vertical="center" wrapText="1"/>
      <protection hidden="1"/>
    </xf>
    <xf numFmtId="0" fontId="6" fillId="20" borderId="50" xfId="0" applyFont="1" applyFill="1" applyBorder="1" applyAlignment="1" applyProtection="1">
      <alignment horizontal="center" vertical="center" wrapText="1"/>
      <protection hidden="1"/>
    </xf>
    <xf numFmtId="0" fontId="6" fillId="20" borderId="86" xfId="0" applyFont="1" applyFill="1" applyBorder="1" applyAlignment="1" applyProtection="1">
      <alignment horizontal="center" vertical="center"/>
      <protection hidden="1"/>
    </xf>
    <xf numFmtId="0" fontId="6" fillId="20" borderId="50" xfId="0" applyFont="1" applyFill="1" applyBorder="1" applyAlignment="1" applyProtection="1">
      <alignment horizontal="center" vertical="center"/>
      <protection hidden="1"/>
    </xf>
    <xf numFmtId="0" fontId="6" fillId="21" borderId="87" xfId="0" applyFont="1" applyFill="1" applyBorder="1" applyAlignment="1" applyProtection="1">
      <alignment horizontal="center" vertical="center" wrapText="1"/>
      <protection hidden="1"/>
    </xf>
    <xf numFmtId="0" fontId="6" fillId="21" borderId="45" xfId="0" applyFont="1" applyFill="1" applyBorder="1" applyAlignment="1" applyProtection="1">
      <alignment horizontal="center" vertical="center" wrapText="1"/>
      <protection hidden="1"/>
    </xf>
    <xf numFmtId="0" fontId="19" fillId="0" borderId="60" xfId="0" applyNumberFormat="1" applyFont="1" applyBorder="1" applyAlignment="1" applyProtection="1">
      <alignment horizontal="left" vertical="center" wrapText="1"/>
    </xf>
    <xf numFmtId="0" fontId="19" fillId="0" borderId="35" xfId="0" applyNumberFormat="1" applyFont="1" applyBorder="1" applyAlignment="1" applyProtection="1">
      <alignment horizontal="left" vertical="center" wrapText="1"/>
    </xf>
    <xf numFmtId="0" fontId="19" fillId="29" borderId="46" xfId="0" applyNumberFormat="1" applyFont="1" applyFill="1" applyBorder="1" applyAlignment="1" applyProtection="1">
      <alignment horizontal="center" vertical="center" wrapText="1"/>
    </xf>
    <xf numFmtId="0" fontId="19" fillId="29" borderId="47" xfId="0" applyNumberFormat="1" applyFont="1" applyFill="1" applyBorder="1" applyAlignment="1" applyProtection="1">
      <alignment horizontal="center" vertical="center" wrapText="1"/>
    </xf>
    <xf numFmtId="0" fontId="19" fillId="0" borderId="59" xfId="0" applyNumberFormat="1" applyFont="1" applyBorder="1" applyAlignment="1" applyProtection="1">
      <alignment horizontal="center" vertical="center" wrapText="1"/>
    </xf>
    <xf numFmtId="0" fontId="19" fillId="0" borderId="43" xfId="0" applyNumberFormat="1" applyFont="1" applyBorder="1" applyAlignment="1" applyProtection="1">
      <alignment horizontal="center" vertical="center" wrapText="1"/>
    </xf>
    <xf numFmtId="0" fontId="19" fillId="0" borderId="53" xfId="0" applyNumberFormat="1" applyFont="1" applyBorder="1" applyAlignment="1" applyProtection="1">
      <alignment horizontal="center" vertical="center" wrapText="1"/>
    </xf>
    <xf numFmtId="0" fontId="19" fillId="0" borderId="60" xfId="0" applyNumberFormat="1" applyFont="1" applyBorder="1" applyAlignment="1" applyProtection="1">
      <alignment horizontal="center" vertical="center" wrapText="1"/>
    </xf>
    <xf numFmtId="0" fontId="19" fillId="0" borderId="35" xfId="0" applyNumberFormat="1" applyFont="1" applyBorder="1" applyAlignment="1" applyProtection="1">
      <alignment horizontal="center" vertical="center" wrapText="1"/>
    </xf>
    <xf numFmtId="0" fontId="18" fillId="0" borderId="57" xfId="0" applyNumberFormat="1" applyFont="1" applyBorder="1" applyAlignment="1" applyProtection="1">
      <alignment horizontal="left" vertical="center"/>
    </xf>
    <xf numFmtId="0" fontId="18" fillId="0" borderId="10" xfId="0" applyNumberFormat="1" applyFont="1" applyBorder="1" applyAlignment="1" applyProtection="1">
      <alignment horizontal="left" vertical="center"/>
    </xf>
    <xf numFmtId="0" fontId="22" fillId="33" borderId="57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0" fontId="19" fillId="16" borderId="19" xfId="0" applyFont="1" applyFill="1" applyBorder="1" applyAlignment="1">
      <alignment horizontal="center"/>
    </xf>
    <xf numFmtId="0" fontId="19" fillId="29" borderId="24" xfId="0" applyNumberFormat="1" applyFont="1" applyFill="1" applyBorder="1" applyAlignment="1" applyProtection="1">
      <alignment horizontal="left" vertical="center" wrapText="1"/>
    </xf>
    <xf numFmtId="0" fontId="19" fillId="29" borderId="0" xfId="0" applyNumberFormat="1" applyFont="1" applyFill="1" applyBorder="1" applyAlignment="1" applyProtection="1">
      <alignment horizontal="left" vertical="center" wrapText="1"/>
    </xf>
    <xf numFmtId="0" fontId="19" fillId="0" borderId="24" xfId="0" applyNumberFormat="1" applyFont="1" applyBorder="1" applyAlignment="1" applyProtection="1">
      <alignment horizontal="left" vertical="center" wrapText="1"/>
    </xf>
    <xf numFmtId="0" fontId="19" fillId="0" borderId="0" xfId="0" applyNumberFormat="1" applyFont="1" applyBorder="1" applyAlignment="1" applyProtection="1">
      <alignment horizontal="left" vertical="center" wrapText="1"/>
    </xf>
    <xf numFmtId="0" fontId="19" fillId="16" borderId="35" xfId="0" applyFont="1" applyFill="1" applyBorder="1" applyAlignment="1">
      <alignment horizontal="center"/>
    </xf>
    <xf numFmtId="0" fontId="6" fillId="14" borderId="63" xfId="0" applyFont="1" applyFill="1" applyBorder="1" applyAlignment="1" applyProtection="1">
      <alignment horizontal="center" vertical="center" wrapText="1"/>
      <protection hidden="1"/>
    </xf>
    <xf numFmtId="0" fontId="6" fillId="14" borderId="8" xfId="0" applyFont="1" applyFill="1" applyBorder="1" applyAlignment="1" applyProtection="1">
      <alignment horizontal="center" vertical="center" wrapText="1"/>
      <protection hidden="1"/>
    </xf>
    <xf numFmtId="0" fontId="6" fillId="7" borderId="63" xfId="0" applyFont="1" applyFill="1" applyBorder="1" applyAlignment="1" applyProtection="1">
      <alignment horizontal="center" vertical="center"/>
      <protection hidden="1"/>
    </xf>
    <xf numFmtId="0" fontId="6" fillId="7" borderId="8" xfId="0" applyFont="1" applyFill="1" applyBorder="1" applyAlignment="1" applyProtection="1">
      <alignment horizontal="center" vertical="center"/>
      <protection hidden="1"/>
    </xf>
    <xf numFmtId="0" fontId="6" fillId="25" borderId="62" xfId="0" applyFont="1" applyFill="1" applyBorder="1" applyAlignment="1" applyProtection="1">
      <alignment horizontal="center" vertical="center"/>
      <protection hidden="1"/>
    </xf>
    <xf numFmtId="0" fontId="6" fillId="25" borderId="33" xfId="0" applyFont="1" applyFill="1" applyBorder="1" applyAlignment="1" applyProtection="1">
      <alignment horizontal="center" vertical="center"/>
      <protection hidden="1"/>
    </xf>
    <xf numFmtId="0" fontId="18" fillId="14" borderId="60" xfId="0" applyFont="1" applyFill="1" applyBorder="1" applyAlignment="1" applyProtection="1">
      <alignment horizontal="center" vertical="center"/>
      <protection hidden="1"/>
    </xf>
    <xf numFmtId="0" fontId="18" fillId="14" borderId="35" xfId="0" applyFont="1" applyFill="1" applyBorder="1" applyAlignment="1" applyProtection="1">
      <alignment horizontal="center" vertical="center"/>
      <protection hidden="1"/>
    </xf>
    <xf numFmtId="0" fontId="18" fillId="14" borderId="61" xfId="0" applyFont="1" applyFill="1" applyBorder="1" applyAlignment="1" applyProtection="1">
      <alignment horizontal="center" vertical="center"/>
      <protection hidden="1"/>
    </xf>
    <xf numFmtId="0" fontId="6" fillId="0" borderId="86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/>
    </xf>
    <xf numFmtId="0" fontId="6" fillId="14" borderId="85" xfId="0" applyFont="1" applyFill="1" applyBorder="1" applyAlignment="1" applyProtection="1">
      <alignment horizontal="center" vertical="center"/>
      <protection hidden="1"/>
    </xf>
    <xf numFmtId="0" fontId="6" fillId="14" borderId="48" xfId="0" applyFont="1" applyFill="1" applyBorder="1" applyAlignment="1" applyProtection="1">
      <alignment horizontal="center" vertical="center"/>
      <protection hidden="1"/>
    </xf>
    <xf numFmtId="0" fontId="6" fillId="18" borderId="50" xfId="0" applyFont="1" applyFill="1" applyBorder="1" applyAlignment="1" applyProtection="1">
      <alignment horizontal="center" vertical="center"/>
      <protection hidden="1"/>
    </xf>
    <xf numFmtId="0" fontId="6" fillId="18" borderId="48" xfId="0" applyFont="1" applyFill="1" applyBorder="1" applyAlignment="1" applyProtection="1">
      <alignment horizontal="center" vertical="center" wrapText="1"/>
      <protection hidden="1"/>
    </xf>
    <xf numFmtId="0" fontId="6" fillId="18" borderId="48" xfId="0" applyFont="1" applyFill="1" applyBorder="1" applyAlignment="1" applyProtection="1">
      <alignment horizontal="center" vertical="center"/>
      <protection hidden="1"/>
    </xf>
    <xf numFmtId="0" fontId="6" fillId="18" borderId="87" xfId="0" applyFont="1" applyFill="1" applyBorder="1" applyAlignment="1" applyProtection="1">
      <alignment horizontal="center" vertical="center"/>
      <protection hidden="1"/>
    </xf>
    <xf numFmtId="0" fontId="6" fillId="18" borderId="45" xfId="0" applyFont="1" applyFill="1" applyBorder="1" applyAlignment="1" applyProtection="1">
      <alignment horizontal="center" vertical="center"/>
      <protection hidden="1"/>
    </xf>
    <xf numFmtId="0" fontId="6" fillId="18" borderId="89" xfId="0" applyFont="1" applyFill="1" applyBorder="1" applyAlignment="1" applyProtection="1">
      <alignment horizontal="center" vertical="center"/>
      <protection hidden="1"/>
    </xf>
    <xf numFmtId="0" fontId="6" fillId="18" borderId="51" xfId="0" applyFont="1" applyFill="1" applyBorder="1" applyAlignment="1" applyProtection="1">
      <alignment horizontal="center" vertical="center"/>
      <protection hidden="1"/>
    </xf>
    <xf numFmtId="0" fontId="19" fillId="27" borderId="70" xfId="0" applyNumberFormat="1" applyFont="1" applyFill="1" applyBorder="1" applyAlignment="1" applyProtection="1">
      <alignment horizontal="center" vertical="center" wrapText="1"/>
    </xf>
    <xf numFmtId="0" fontId="19" fillId="27" borderId="71" xfId="0" applyNumberFormat="1" applyFont="1" applyFill="1" applyBorder="1" applyAlignment="1" applyProtection="1">
      <alignment horizontal="center" vertical="center" wrapText="1"/>
    </xf>
    <xf numFmtId="0" fontId="19" fillId="27" borderId="68" xfId="0" applyNumberFormat="1" applyFont="1" applyFill="1" applyBorder="1" applyAlignment="1" applyProtection="1">
      <alignment horizontal="center" vertical="center" wrapText="1"/>
    </xf>
    <xf numFmtId="0" fontId="19" fillId="27" borderId="72" xfId="0" applyNumberFormat="1" applyFont="1" applyFill="1" applyBorder="1" applyAlignment="1" applyProtection="1">
      <alignment horizontal="center" vertical="center" wrapText="1"/>
    </xf>
    <xf numFmtId="0" fontId="19" fillId="27" borderId="73" xfId="0" applyNumberFormat="1" applyFont="1" applyFill="1" applyBorder="1" applyAlignment="1" applyProtection="1">
      <alignment horizontal="center" vertical="center" wrapText="1"/>
    </xf>
    <xf numFmtId="0" fontId="19" fillId="27" borderId="74" xfId="0" applyNumberFormat="1" applyFont="1" applyFill="1" applyBorder="1" applyAlignment="1" applyProtection="1">
      <alignment horizontal="center" vertical="center" wrapText="1"/>
    </xf>
    <xf numFmtId="0" fontId="24" fillId="29" borderId="60" xfId="0" applyNumberFormat="1" applyFont="1" applyFill="1" applyBorder="1" applyAlignment="1" applyProtection="1">
      <alignment horizontal="center" vertical="center" wrapText="1"/>
    </xf>
    <xf numFmtId="0" fontId="24" fillId="29" borderId="35" xfId="0" applyNumberFormat="1" applyFont="1" applyFill="1" applyBorder="1" applyAlignment="1" applyProtection="1">
      <alignment horizontal="center" vertical="center" wrapText="1"/>
    </xf>
    <xf numFmtId="0" fontId="40" fillId="26" borderId="59" xfId="0" applyNumberFormat="1" applyFont="1" applyFill="1" applyBorder="1" applyAlignment="1" applyProtection="1">
      <alignment horizontal="center" vertical="center" wrapText="1"/>
    </xf>
    <xf numFmtId="0" fontId="40" fillId="26" borderId="43" xfId="0" applyNumberFormat="1" applyFont="1" applyFill="1" applyBorder="1" applyAlignment="1" applyProtection="1">
      <alignment horizontal="center" vertical="center" wrapText="1"/>
    </xf>
    <xf numFmtId="0" fontId="37" fillId="30" borderId="57" xfId="0" applyNumberFormat="1" applyFont="1" applyFill="1" applyBorder="1" applyAlignment="1" applyProtection="1">
      <alignment horizontal="center" vertical="center" wrapText="1"/>
    </xf>
    <xf numFmtId="0" fontId="37" fillId="30" borderId="10" xfId="0" applyNumberFormat="1" applyFont="1" applyFill="1" applyBorder="1" applyAlignment="1" applyProtection="1">
      <alignment horizontal="center" vertical="center" wrapText="1"/>
    </xf>
    <xf numFmtId="0" fontId="19" fillId="0" borderId="59" xfId="0" applyNumberFormat="1" applyFont="1" applyBorder="1" applyAlignment="1" applyProtection="1">
      <alignment horizontal="left" vertical="center" wrapText="1"/>
    </xf>
    <xf numFmtId="0" fontId="19" fillId="0" borderId="43" xfId="0" applyNumberFormat="1" applyFont="1" applyBorder="1" applyAlignment="1" applyProtection="1">
      <alignment horizontal="left" vertical="center" wrapText="1"/>
    </xf>
    <xf numFmtId="0" fontId="13" fillId="12" borderId="26" xfId="0" applyFont="1" applyFill="1" applyBorder="1" applyAlignment="1" applyProtection="1">
      <alignment horizontal="left" vertical="center"/>
      <protection locked="0" hidden="1"/>
    </xf>
    <xf numFmtId="0" fontId="13" fillId="12" borderId="27" xfId="0" applyFont="1" applyFill="1" applyBorder="1" applyAlignment="1" applyProtection="1">
      <alignment horizontal="left" vertical="center"/>
      <protection locked="0" hidden="1"/>
    </xf>
    <xf numFmtId="0" fontId="13" fillId="12" borderId="8" xfId="0" applyFont="1" applyFill="1" applyBorder="1" applyAlignment="1" applyProtection="1">
      <alignment horizontal="left" vertical="center"/>
      <protection locked="0" hidden="1"/>
    </xf>
    <xf numFmtId="0" fontId="13" fillId="12" borderId="26" xfId="0" applyFont="1" applyFill="1" applyBorder="1" applyAlignment="1" applyProtection="1">
      <alignment horizontal="left" vertical="center" wrapText="1"/>
      <protection locked="0" hidden="1"/>
    </xf>
    <xf numFmtId="0" fontId="13" fillId="12" borderId="27" xfId="0" applyFont="1" applyFill="1" applyBorder="1" applyAlignment="1" applyProtection="1">
      <alignment horizontal="left" vertical="center" wrapText="1"/>
      <protection locked="0" hidden="1"/>
    </xf>
    <xf numFmtId="0" fontId="13" fillId="12" borderId="8" xfId="0" applyFont="1" applyFill="1" applyBorder="1" applyAlignment="1" applyProtection="1">
      <alignment horizontal="left" vertical="center" wrapText="1"/>
      <protection locked="0" hidden="1"/>
    </xf>
    <xf numFmtId="43" fontId="34" fillId="0" borderId="42" xfId="0" applyNumberFormat="1" applyFont="1" applyFill="1" applyBorder="1"/>
    <xf numFmtId="43" fontId="34" fillId="0" borderId="43" xfId="0" applyNumberFormat="1" applyFont="1" applyFill="1" applyBorder="1"/>
    <xf numFmtId="43" fontId="34" fillId="0" borderId="104" xfId="0" applyNumberFormat="1" applyFont="1" applyFill="1" applyBorder="1"/>
    <xf numFmtId="43" fontId="34" fillId="24" borderId="19" xfId="0" applyNumberFormat="1" applyFont="1" applyFill="1" applyBorder="1" applyAlignment="1">
      <alignment horizontal="center"/>
    </xf>
    <xf numFmtId="43" fontId="6" fillId="0" borderId="19" xfId="0" applyNumberFormat="1" applyFont="1" applyFill="1" applyBorder="1" applyAlignment="1" applyProtection="1">
      <alignment horizontal="center" vertical="center"/>
      <protection hidden="1"/>
    </xf>
    <xf numFmtId="43" fontId="6" fillId="0" borderId="19" xfId="0" applyNumberFormat="1" applyFont="1" applyFill="1" applyBorder="1" applyAlignment="1" applyProtection="1">
      <alignment horizontal="center" vertical="center" wrapText="1"/>
      <protection hidden="1"/>
    </xf>
    <xf numFmtId="43" fontId="6" fillId="0" borderId="19" xfId="0" applyNumberFormat="1" applyFont="1" applyFill="1" applyBorder="1" applyAlignment="1" applyProtection="1">
      <alignment vertical="center" shrinkToFit="1"/>
      <protection hidden="1"/>
    </xf>
    <xf numFmtId="41" fontId="6" fillId="0" borderId="2" xfId="0" applyNumberFormat="1" applyFont="1" applyFill="1" applyBorder="1" applyAlignment="1" applyProtection="1">
      <alignment vertical="center" wrapText="1"/>
      <protection hidden="1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2" xfId="0" applyNumberFormat="1" applyFont="1" applyFill="1" applyBorder="1" applyAlignment="1" applyProtection="1">
      <alignment vertical="center"/>
      <protection hidden="1"/>
    </xf>
    <xf numFmtId="41" fontId="34" fillId="0" borderId="2" xfId="0" applyNumberFormat="1" applyFont="1" applyFill="1" applyBorder="1"/>
    <xf numFmtId="41" fontId="6" fillId="0" borderId="19" xfId="0" applyNumberFormat="1" applyFont="1" applyFill="1" applyBorder="1" applyAlignment="1" applyProtection="1">
      <alignment vertical="center" wrapText="1"/>
      <protection hidden="1"/>
    </xf>
    <xf numFmtId="41" fontId="5" fillId="0" borderId="105" xfId="0" applyNumberFormat="1" applyFont="1" applyFill="1" applyBorder="1" applyAlignment="1" applyProtection="1">
      <alignment vertical="center" wrapText="1"/>
      <protection hidden="1"/>
    </xf>
    <xf numFmtId="41" fontId="5" fillId="0" borderId="19" xfId="0" applyNumberFormat="1" applyFont="1" applyFill="1" applyBorder="1" applyAlignment="1" applyProtection="1">
      <alignment vertical="center" wrapText="1"/>
      <protection hidden="1"/>
    </xf>
    <xf numFmtId="41" fontId="43" fillId="0" borderId="19" xfId="0" applyNumberFormat="1" applyFont="1" applyFill="1" applyBorder="1"/>
    <xf numFmtId="41" fontId="34" fillId="24" borderId="19" xfId="0" applyNumberFormat="1" applyFont="1" applyFill="1" applyBorder="1" applyAlignment="1">
      <alignment horizontal="center"/>
    </xf>
    <xf numFmtId="41" fontId="6" fillId="0" borderId="1" xfId="0" applyNumberFormat="1" applyFont="1" applyFill="1" applyBorder="1" applyAlignment="1" applyProtection="1">
      <alignment vertical="center" wrapText="1"/>
      <protection hidden="1"/>
    </xf>
    <xf numFmtId="41" fontId="34" fillId="0" borderId="1" xfId="0" applyNumberFormat="1" applyFont="1" applyFill="1" applyBorder="1"/>
    <xf numFmtId="41" fontId="43" fillId="0" borderId="105" xfId="0" applyNumberFormat="1" applyFont="1" applyFill="1" applyBorder="1"/>
    <xf numFmtId="41" fontId="34" fillId="0" borderId="19" xfId="0" applyNumberFormat="1" applyFont="1" applyFill="1" applyBorder="1"/>
    <xf numFmtId="41" fontId="6" fillId="24" borderId="19" xfId="0" applyNumberFormat="1" applyFont="1" applyFill="1" applyBorder="1" applyAlignment="1" applyProtection="1">
      <alignment horizontal="center" vertical="center" wrapText="1"/>
      <protection hidden="1"/>
    </xf>
    <xf numFmtId="41" fontId="6" fillId="0" borderId="1" xfId="0" applyNumberFormat="1" applyFont="1" applyFill="1" applyBorder="1" applyAlignment="1" applyProtection="1">
      <alignment horizontal="center" vertical="center"/>
      <protection hidden="1"/>
    </xf>
    <xf numFmtId="41" fontId="6" fillId="0" borderId="38" xfId="0" applyNumberFormat="1" applyFont="1" applyFill="1" applyBorder="1" applyAlignment="1" applyProtection="1">
      <alignment horizontal="center" vertical="center"/>
      <protection hidden="1"/>
    </xf>
    <xf numFmtId="41" fontId="6" fillId="0" borderId="10" xfId="0" applyNumberFormat="1" applyFont="1" applyFill="1" applyBorder="1" applyAlignment="1" applyProtection="1">
      <alignment horizontal="center" vertical="center"/>
      <protection hidden="1"/>
    </xf>
    <xf numFmtId="41" fontId="6" fillId="0" borderId="39" xfId="0" applyNumberFormat="1" applyFont="1" applyFill="1" applyBorder="1" applyAlignment="1" applyProtection="1">
      <alignment horizontal="center" vertical="center"/>
      <protection hidden="1"/>
    </xf>
    <xf numFmtId="41" fontId="6" fillId="0" borderId="1" xfId="0" applyNumberFormat="1" applyFont="1" applyFill="1" applyBorder="1" applyAlignment="1" applyProtection="1">
      <alignment vertical="center" shrinkToFit="1"/>
      <protection hidden="1"/>
    </xf>
    <xf numFmtId="41" fontId="34" fillId="0" borderId="9" xfId="0" applyNumberFormat="1" applyFont="1" applyFill="1" applyBorder="1"/>
    <xf numFmtId="41" fontId="6" fillId="0" borderId="9" xfId="0" applyNumberFormat="1" applyFont="1" applyFill="1" applyBorder="1" applyAlignment="1" applyProtection="1">
      <alignment horizontal="center" vertical="center"/>
      <protection hidden="1"/>
    </xf>
    <xf numFmtId="41" fontId="6" fillId="0" borderId="9" xfId="0" applyNumberFormat="1" applyFont="1" applyFill="1" applyBorder="1" applyAlignment="1" applyProtection="1">
      <alignment horizontal="center" vertical="center"/>
      <protection hidden="1"/>
    </xf>
    <xf numFmtId="41" fontId="6" fillId="0" borderId="19" xfId="0" applyNumberFormat="1" applyFont="1" applyFill="1" applyBorder="1" applyAlignment="1"/>
    <xf numFmtId="41" fontId="6" fillId="0" borderId="19" xfId="0" applyNumberFormat="1" applyFont="1" applyFill="1" applyBorder="1" applyAlignment="1" applyProtection="1">
      <alignment vertical="center"/>
      <protection hidden="1"/>
    </xf>
    <xf numFmtId="41" fontId="6" fillId="0" borderId="1" xfId="0" applyNumberFormat="1" applyFont="1" applyFill="1" applyBorder="1" applyAlignment="1" applyProtection="1">
      <alignment vertical="center"/>
      <protection hidden="1"/>
    </xf>
    <xf numFmtId="41" fontId="6" fillId="0" borderId="1" xfId="0" applyNumberFormat="1" applyFont="1" applyFill="1" applyBorder="1"/>
    <xf numFmtId="41" fontId="6" fillId="0" borderId="1" xfId="0" applyNumberFormat="1" applyFont="1" applyFill="1" applyBorder="1" applyAlignment="1" applyProtection="1">
      <alignment horizontal="center" vertical="center"/>
      <protection hidden="1"/>
    </xf>
    <xf numFmtId="41" fontId="6" fillId="0" borderId="9" xfId="0" applyNumberFormat="1" applyFont="1" applyFill="1" applyBorder="1" applyAlignment="1" applyProtection="1">
      <alignment vertical="center"/>
      <protection hidden="1"/>
    </xf>
    <xf numFmtId="41" fontId="6" fillId="0" borderId="9" xfId="0" applyNumberFormat="1" applyFont="1" applyFill="1" applyBorder="1"/>
    <xf numFmtId="41" fontId="6" fillId="0" borderId="2" xfId="0" applyNumberFormat="1" applyFont="1" applyFill="1" applyBorder="1" applyAlignment="1" applyProtection="1">
      <alignment horizontal="right" vertical="center"/>
      <protection hidden="1"/>
    </xf>
    <xf numFmtId="41" fontId="6" fillId="3" borderId="2" xfId="0" applyNumberFormat="1" applyFont="1" applyFill="1" applyBorder="1" applyAlignment="1" applyProtection="1">
      <alignment vertical="center"/>
      <protection locked="0"/>
    </xf>
    <xf numFmtId="41" fontId="6" fillId="0" borderId="2" xfId="0" applyNumberFormat="1" applyFont="1" applyFill="1" applyBorder="1"/>
    <xf numFmtId="41" fontId="6" fillId="3" borderId="2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5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rver\Desktop\gst_offline_tool\GSTR1_Excel_Workbook_Template_V1.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rver\Desktop\gst_offline_tool\GSTR2_Excel_Workbook_TemplateNew_V1.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rver\AppData\Local\Temp\Rar$DIa0.056\GSTR3B_Excel_Utility_V3.0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rver\Desktop\NEW%20GST%20FORMAT%20-Feb%2018%20-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erver\Desktop\GST%20RETURN%20DEC.%202017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GST%20RETURN%20JAN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 Instruction"/>
      <sheetName val="b2b"/>
      <sheetName val="b2ba"/>
      <sheetName val="b2cl"/>
      <sheetName val="b2cla"/>
      <sheetName val="b2cs"/>
      <sheetName val="b2csa"/>
      <sheetName val="cdnr"/>
      <sheetName val="cdnra"/>
      <sheetName val="cdnur"/>
      <sheetName val="cdnura"/>
      <sheetName val="exp"/>
      <sheetName val="expa"/>
      <sheetName val="at"/>
      <sheetName val="ata"/>
      <sheetName val="atadj"/>
      <sheetName val="atadja"/>
      <sheetName val="exemp"/>
      <sheetName val="hsn"/>
      <sheetName val="docs"/>
      <sheetName val="master"/>
      <sheetName val="SALE MASTR PARTY"/>
      <sheetName val="SALE MASTER"/>
      <sheetName val="SALE MASTER HSN"/>
      <sheetName val="PUR PARTYWISE"/>
      <sheetName val="P HSN SUM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2">
          <cell r="J2" t="str">
            <v>Invoices for outward supply</v>
          </cell>
        </row>
        <row r="3">
          <cell r="J3" t="str">
            <v>Invoices for inward supply from unregistered person</v>
          </cell>
        </row>
        <row r="4">
          <cell r="J4" t="str">
            <v>Revised Invoice</v>
          </cell>
        </row>
        <row r="5">
          <cell r="J5" t="str">
            <v>Debit Note</v>
          </cell>
        </row>
        <row r="6">
          <cell r="J6" t="str">
            <v>Credit Note</v>
          </cell>
        </row>
        <row r="7">
          <cell r="J7" t="str">
            <v>Receipt Voucher</v>
          </cell>
        </row>
        <row r="8">
          <cell r="J8" t="str">
            <v>Payment Voucher</v>
          </cell>
        </row>
        <row r="9">
          <cell r="J9" t="str">
            <v>Refund Voucher</v>
          </cell>
        </row>
        <row r="10">
          <cell r="J10" t="str">
            <v>Delivery Challan for job work</v>
          </cell>
        </row>
        <row r="11">
          <cell r="J11" t="str">
            <v>Delivery Challan for supply on approval</v>
          </cell>
        </row>
        <row r="12">
          <cell r="J12" t="str">
            <v>Delivery Challan in case of liquid gas</v>
          </cell>
        </row>
        <row r="13">
          <cell r="J13" t="str">
            <v>Delivery Challan in case other than by way of supply (excluding at S no. 9 to 11)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 Instructions"/>
      <sheetName val="b2b"/>
      <sheetName val="b2bur"/>
      <sheetName val="imps"/>
      <sheetName val="impg"/>
      <sheetName val="cdnr"/>
      <sheetName val="cdnur"/>
      <sheetName val="at"/>
      <sheetName val="atadj"/>
      <sheetName val="exemp"/>
      <sheetName val="itcr"/>
      <sheetName val="hsnsum"/>
      <sheetName val="mas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">
          <cell r="H2" t="str">
            <v>Inputs</v>
          </cell>
        </row>
        <row r="3">
          <cell r="H3" t="str">
            <v>Capital goods</v>
          </cell>
        </row>
        <row r="4">
          <cell r="H4" t="str">
            <v>Input services</v>
          </cell>
        </row>
        <row r="5">
          <cell r="H5" t="str">
            <v>Ineligible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lp Instructions "/>
      <sheetName val="GSTR-3B"/>
      <sheetName val="Master"/>
    </sheetNames>
    <sheetDataSet>
      <sheetData sheetId="0" refreshError="1"/>
      <sheetData sheetId="1" refreshError="1"/>
      <sheetData sheetId="2">
        <row r="2">
          <cell r="B2">
            <v>2</v>
          </cell>
          <cell r="C2" t="str">
            <v>01-Jammu &amp; Kashmir</v>
          </cell>
        </row>
        <row r="3">
          <cell r="B3">
            <v>3</v>
          </cell>
        </row>
        <row r="4">
          <cell r="B4">
            <v>4</v>
          </cell>
        </row>
        <row r="5">
          <cell r="B5">
            <v>5</v>
          </cell>
        </row>
        <row r="6">
          <cell r="B6">
            <v>6</v>
          </cell>
        </row>
        <row r="7">
          <cell r="B7">
            <v>7</v>
          </cell>
        </row>
        <row r="8">
          <cell r="B8">
            <v>8</v>
          </cell>
        </row>
        <row r="9">
          <cell r="B9">
            <v>9</v>
          </cell>
        </row>
        <row r="10">
          <cell r="B10">
            <v>10</v>
          </cell>
        </row>
        <row r="11">
          <cell r="B11">
            <v>11</v>
          </cell>
        </row>
        <row r="12">
          <cell r="B12">
            <v>12</v>
          </cell>
        </row>
        <row r="13">
          <cell r="B13">
            <v>13</v>
          </cell>
        </row>
        <row r="14">
          <cell r="B14">
            <v>14</v>
          </cell>
        </row>
        <row r="15">
          <cell r="B15">
            <v>15</v>
          </cell>
        </row>
        <row r="16">
          <cell r="B16">
            <v>16</v>
          </cell>
        </row>
        <row r="17">
          <cell r="B17">
            <v>17</v>
          </cell>
        </row>
        <row r="18">
          <cell r="B18">
            <v>18</v>
          </cell>
        </row>
        <row r="19">
          <cell r="B19">
            <v>19</v>
          </cell>
        </row>
        <row r="20">
          <cell r="B20">
            <v>20</v>
          </cell>
        </row>
        <row r="21">
          <cell r="B21">
            <v>21</v>
          </cell>
        </row>
        <row r="22">
          <cell r="B22">
            <v>22</v>
          </cell>
        </row>
        <row r="23">
          <cell r="B23">
            <v>23</v>
          </cell>
        </row>
        <row r="24">
          <cell r="B24">
            <v>24</v>
          </cell>
        </row>
        <row r="25">
          <cell r="B25">
            <v>25</v>
          </cell>
        </row>
        <row r="26">
          <cell r="B26">
            <v>26</v>
          </cell>
        </row>
        <row r="27">
          <cell r="B27">
            <v>27</v>
          </cell>
        </row>
        <row r="28">
          <cell r="B28">
            <v>28</v>
          </cell>
        </row>
        <row r="29">
          <cell r="B29">
            <v>29</v>
          </cell>
        </row>
        <row r="30">
          <cell r="B30">
            <v>30</v>
          </cell>
        </row>
        <row r="31">
          <cell r="B31">
            <v>31</v>
          </cell>
        </row>
        <row r="32">
          <cell r="B32">
            <v>32</v>
          </cell>
        </row>
        <row r="33">
          <cell r="B33">
            <v>33</v>
          </cell>
        </row>
        <row r="34">
          <cell r="B34">
            <v>34</v>
          </cell>
        </row>
        <row r="35">
          <cell r="B35">
            <v>35</v>
          </cell>
        </row>
        <row r="36">
          <cell r="B36">
            <v>36</v>
          </cell>
        </row>
        <row r="37">
          <cell r="B37">
            <v>37</v>
          </cell>
        </row>
        <row r="38">
          <cell r="B38">
            <v>38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SALE REVISED DETAIL"/>
      <sheetName val="Sheet1"/>
      <sheetName val="SALES RETURN"/>
      <sheetName val="SALES RETURN UN"/>
      <sheetName val="NIL EXP ZERO SALE"/>
      <sheetName val="SALE DOC"/>
      <sheetName val="PARTYWISE SALE"/>
      <sheetName val="SALE HSN SUMMRY"/>
      <sheetName val="SALE MASTER"/>
      <sheetName val="SALE MASTR PARTY"/>
      <sheetName val="SALE MASTER HSN"/>
      <sheetName val="PURCHASE"/>
      <sheetName val="IMPORT SERVICE"/>
      <sheetName val="IMPORT GOODS"/>
      <sheetName val="PURCHASE RETURN"/>
      <sheetName val="EXEP"/>
      <sheetName val="ADV"/>
      <sheetName val="ADV ADJ"/>
      <sheetName val="ITC RULE 37 42 43"/>
      <sheetName val="PUR RMC"/>
      <sheetName val="P HSN SUMM"/>
      <sheetName val="PUR HSN MASTER"/>
      <sheetName val="PUR PARTYWISE"/>
      <sheetName val="TDS TCS"/>
      <sheetName val="SEC -17"/>
      <sheetName val="PUR PARTY MASTER"/>
      <sheetName val="PUR RMC MASTER"/>
      <sheetName val="PURCHASE MASTER"/>
      <sheetName val="RETURN SUMMERY"/>
      <sheetName val="GSTRN3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SALES RETURN"/>
      <sheetName val="SALE EXP &amp; NIL"/>
      <sheetName val="SALE IMPORT GOODS &amp; SERVICE"/>
      <sheetName val="SALE MASTER LIST"/>
      <sheetName val="PARTYWISE SALE"/>
      <sheetName val="SALE HSN SUMMERY"/>
      <sheetName val="PURCHASE"/>
      <sheetName val="PURCHASE RETURN"/>
      <sheetName val="PURCHASE IMPORT GOODS &amp; SERVICE"/>
      <sheetName val="PURCHASE MASTER LIST"/>
      <sheetName val="PARTYWISE PURCHASE"/>
      <sheetName val="PURCHASE HSN SUMMERY"/>
      <sheetName val=" PURCHASE RMC"/>
      <sheetName val="PURCHASE EXEM &amp; NIL"/>
      <sheetName val="SEC-17"/>
      <sheetName val="TDS &amp; TCS"/>
      <sheetName val="RETURN SUMMERY"/>
      <sheetName val="GSTR3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SALES RETURN"/>
      <sheetName val="SALE EXP &amp; NIL"/>
      <sheetName val="SALE IMPORT GOODS &amp; SERVICE"/>
      <sheetName val="SALE MASTER LIST"/>
      <sheetName val="PARTYWISE SALE"/>
      <sheetName val="SALE HSN SUMMERY"/>
      <sheetName val="PURCHASE"/>
      <sheetName val="PURCHASE RETURN"/>
      <sheetName val="PURCHASE IMPORT GOODS &amp; SERVICE"/>
      <sheetName val="PURCHASE MASTER LIST"/>
      <sheetName val="PARTYWISE PURCHASE"/>
      <sheetName val="PURCHASE HSN SUMMERY"/>
      <sheetName val=" PURCHASE RMC"/>
      <sheetName val="PURCHASE EXEM &amp; NIL"/>
      <sheetName val="SEC-17"/>
      <sheetName val="TDS &amp; TCS"/>
      <sheetName val="RETURN SUMMERY"/>
      <sheetName val="GSTR3B"/>
    </sheetNames>
    <sheetDataSet>
      <sheetData sheetId="0"/>
      <sheetData sheetId="1"/>
      <sheetData sheetId="2"/>
      <sheetData sheetId="3"/>
      <sheetData sheetId="4">
        <row r="3">
          <cell r="B3" t="str">
            <v>Japtech Industries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383"/>
  <sheetViews>
    <sheetView topLeftCell="C1" workbookViewId="0">
      <selection activeCell="R257" sqref="R257"/>
    </sheetView>
  </sheetViews>
  <sheetFormatPr defaultColWidth="8.88671875" defaultRowHeight="13.8" x14ac:dyDescent="0.25"/>
  <cols>
    <col min="1" max="1" width="20.109375" style="5" customWidth="1"/>
    <col min="2" max="2" width="32.6640625" style="5" customWidth="1"/>
    <col min="3" max="3" width="10.44140625" style="5" bestFit="1" customWidth="1"/>
    <col min="4" max="4" width="10.5546875" style="5" bestFit="1" customWidth="1"/>
    <col min="5" max="5" width="11.5546875" style="5" customWidth="1"/>
    <col min="6" max="6" width="17.33203125" style="5" customWidth="1"/>
    <col min="7" max="7" width="7.44140625" style="5" customWidth="1"/>
    <col min="8" max="8" width="8.109375" style="5" customWidth="1"/>
    <col min="9" max="9" width="8.33203125" style="5" customWidth="1"/>
    <col min="10" max="10" width="10.44140625" style="5" customWidth="1"/>
    <col min="11" max="11" width="13.88671875" style="5" customWidth="1"/>
    <col min="12" max="12" width="8" style="5" customWidth="1"/>
    <col min="13" max="13" width="10.5546875" style="5" customWidth="1"/>
    <col min="14" max="14" width="10" style="5" customWidth="1"/>
    <col min="15" max="15" width="9.88671875" style="5" customWidth="1"/>
    <col min="16" max="16" width="6.33203125" style="5" customWidth="1"/>
    <col min="17" max="17" width="10.88671875" style="5" customWidth="1"/>
    <col min="18" max="18" width="12.109375" style="5" customWidth="1"/>
    <col min="19" max="20" width="8.88671875" style="5"/>
    <col min="21" max="21" width="4.5546875" style="5" bestFit="1" customWidth="1"/>
    <col min="22" max="22" width="6.6640625" style="5" bestFit="1" customWidth="1"/>
    <col min="23" max="23" width="7.44140625" style="5" customWidth="1"/>
    <col min="24" max="16384" width="8.88671875" style="5"/>
  </cols>
  <sheetData>
    <row r="2" spans="1:23" x14ac:dyDescent="0.25">
      <c r="A2" s="186"/>
      <c r="B2" s="186" t="s">
        <v>844</v>
      </c>
      <c r="C2" s="186"/>
      <c r="D2" s="186"/>
      <c r="E2" s="186">
        <f>SUM(E7:E592)</f>
        <v>10638222.005400006</v>
      </c>
      <c r="F2" s="186"/>
      <c r="G2" s="186"/>
      <c r="H2" s="186"/>
      <c r="I2" s="186"/>
      <c r="J2" s="186"/>
      <c r="K2" s="186">
        <f ca="1">SUM(K7:K592)</f>
        <v>41508524.31000001</v>
      </c>
      <c r="L2" s="186">
        <f t="shared" ref="L2:W2" si="0">SUM(L7:L592)</f>
        <v>0</v>
      </c>
      <c r="M2" s="186">
        <f t="shared" si="0"/>
        <v>108816.35559999998</v>
      </c>
      <c r="N2" s="186">
        <f t="shared" si="0"/>
        <v>1028316.7598999996</v>
      </c>
      <c r="O2" s="186">
        <f t="shared" si="0"/>
        <v>1028316.7598999996</v>
      </c>
      <c r="P2" s="186" t="s">
        <v>835</v>
      </c>
      <c r="Q2" s="186" t="s">
        <v>835</v>
      </c>
      <c r="R2" s="186"/>
      <c r="S2" s="186" t="s">
        <v>835</v>
      </c>
      <c r="T2" s="186" t="s">
        <v>835</v>
      </c>
      <c r="U2" s="186" t="s">
        <v>835</v>
      </c>
      <c r="V2" s="186" t="s">
        <v>835</v>
      </c>
      <c r="W2" s="186">
        <f t="shared" si="0"/>
        <v>128605</v>
      </c>
    </row>
    <row r="3" spans="1:23" x14ac:dyDescent="0.25">
      <c r="A3" s="186"/>
      <c r="B3" s="186" t="s">
        <v>845</v>
      </c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</row>
    <row r="4" spans="1:23" x14ac:dyDescent="0.25">
      <c r="A4" s="186"/>
      <c r="B4" s="186" t="s">
        <v>846</v>
      </c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</row>
    <row r="5" spans="1:23" x14ac:dyDescent="0.25">
      <c r="A5" s="7" t="s">
        <v>4</v>
      </c>
      <c r="B5" s="7" t="s">
        <v>6</v>
      </c>
      <c r="C5" s="7" t="s">
        <v>8</v>
      </c>
      <c r="D5" s="7" t="s">
        <v>8</v>
      </c>
      <c r="E5" s="7" t="s">
        <v>8</v>
      </c>
      <c r="F5" s="7" t="s">
        <v>12</v>
      </c>
      <c r="G5" s="7" t="s">
        <v>13</v>
      </c>
      <c r="H5" s="7" t="s">
        <v>8</v>
      </c>
      <c r="I5" s="7" t="s">
        <v>96</v>
      </c>
      <c r="J5" s="7"/>
      <c r="K5" s="7" t="s">
        <v>19</v>
      </c>
      <c r="L5" s="7" t="s">
        <v>21</v>
      </c>
      <c r="M5" s="246" t="s">
        <v>88</v>
      </c>
      <c r="N5" s="69" t="s">
        <v>89</v>
      </c>
      <c r="O5" s="69" t="s">
        <v>90</v>
      </c>
      <c r="P5" s="17" t="s">
        <v>66</v>
      </c>
      <c r="Q5" s="247" t="s">
        <v>67</v>
      </c>
      <c r="R5" s="247" t="s">
        <v>78</v>
      </c>
      <c r="S5" s="248" t="s">
        <v>74</v>
      </c>
      <c r="T5" s="7" t="s">
        <v>75</v>
      </c>
      <c r="U5" s="7" t="s">
        <v>92</v>
      </c>
      <c r="V5" s="25" t="s">
        <v>77</v>
      </c>
      <c r="W5" s="186" t="s">
        <v>93</v>
      </c>
    </row>
    <row r="6" spans="1:23" ht="14.4" thickBot="1" x14ac:dyDescent="0.3">
      <c r="A6" s="21" t="s">
        <v>3</v>
      </c>
      <c r="B6" s="16" t="s">
        <v>5</v>
      </c>
      <c r="C6" s="16" t="s">
        <v>7</v>
      </c>
      <c r="D6" s="16" t="s">
        <v>9</v>
      </c>
      <c r="E6" s="16" t="s">
        <v>10</v>
      </c>
      <c r="F6" s="16" t="s">
        <v>11</v>
      </c>
      <c r="G6" s="16" t="s">
        <v>14</v>
      </c>
      <c r="H6" s="16" t="s">
        <v>15</v>
      </c>
      <c r="I6" s="16" t="s">
        <v>16</v>
      </c>
      <c r="J6" s="16" t="s">
        <v>0</v>
      </c>
      <c r="K6" s="16" t="s">
        <v>18</v>
      </c>
      <c r="L6" s="16" t="s">
        <v>20</v>
      </c>
      <c r="M6" s="20" t="s">
        <v>91</v>
      </c>
      <c r="N6" s="20" t="s">
        <v>91</v>
      </c>
      <c r="O6" s="20" t="s">
        <v>91</v>
      </c>
      <c r="P6" s="6" t="s">
        <v>68</v>
      </c>
      <c r="Q6" s="312" t="s">
        <v>69</v>
      </c>
      <c r="R6" s="312" t="s">
        <v>0</v>
      </c>
      <c r="S6" s="198" t="s">
        <v>94</v>
      </c>
      <c r="T6" s="6" t="s">
        <v>80</v>
      </c>
      <c r="U6" s="6"/>
      <c r="V6" s="23" t="s">
        <v>11</v>
      </c>
      <c r="W6" s="198" t="s">
        <v>95</v>
      </c>
    </row>
    <row r="7" spans="1:23" ht="14.4" x14ac:dyDescent="0.3">
      <c r="A7" s="423" t="s">
        <v>27</v>
      </c>
      <c r="B7" s="313" t="str">
        <f>VLOOKUP(A7,'SALE PARTY MASTR '!$B$5:$G$280,2,FALSE)</f>
        <v>Rinder India Pvt Ltd.</v>
      </c>
      <c r="C7" s="395" t="s">
        <v>980</v>
      </c>
      <c r="D7" s="396">
        <v>43132</v>
      </c>
      <c r="E7" s="314">
        <f>+K7+M7+N7+O7</f>
        <v>35400</v>
      </c>
      <c r="F7" s="315" t="str">
        <f>VLOOKUP(A7,'SALE PARTY MASTR '!$B$5:$I$105,3,FALSE)</f>
        <v>27-Maharashatra</v>
      </c>
      <c r="G7" s="315" t="str">
        <f>VLOOKUP(A7,'SALE PARTY MASTR '!$B$5:$I$105,4,FALSE)</f>
        <v>N</v>
      </c>
      <c r="H7" s="315" t="str">
        <f>VLOOKUP(A7,'SALE PARTY MASTR '!$B$5:$I$105,5,FALSE)</f>
        <v>Regular</v>
      </c>
      <c r="I7" s="315">
        <f>VLOOKUP(A7,'SALE PARTY MASTR '!$B$5:$I$105,6,FALSE)</f>
        <v>0</v>
      </c>
      <c r="J7" s="316">
        <f>VLOOKUP(S7,'SALE HSN MASTER '!$A$6:$E$20,5,FALSE)</f>
        <v>18</v>
      </c>
      <c r="K7" s="400">
        <v>30000</v>
      </c>
      <c r="L7" s="317"/>
      <c r="M7" s="318">
        <f t="shared" ref="M7:M26" si="1">+IF(P7=1,0,IF(N7=0,J7*K7/100,0))</f>
        <v>0</v>
      </c>
      <c r="N7" s="318">
        <f>+IF(P7=1,0,IF(Q7="Local Sale",IF(J7=18,K7*0.09,IF(J7=12,K7*0.06,IF(J7=5,K7*0.025,IF(J7=28,K7*0.14,IF(J7=3,K7*0.015,0))))),0))</f>
        <v>2700</v>
      </c>
      <c r="O7" s="318">
        <f>+IF(P7=1,0,IF(Q7="Local Sale",IF(J7=18,K7*0.09,IF(J7=12,K7*0.06,IF(J7=5,K7*0.025,IF(J7=28,K7*0.14,IF(J7=3,K7*0.015,0))))),0))</f>
        <v>2700</v>
      </c>
      <c r="P7" s="313">
        <f>VLOOKUP(A7,'SALE PARTY MASTR '!$B$5:$I$105,7,FALSE)</f>
        <v>2</v>
      </c>
      <c r="Q7" s="313" t="str">
        <f>VLOOKUP(A7,'SALE PARTY MASTR '!$B$5:$I$105,8,FALSE)</f>
        <v>Local Sale</v>
      </c>
      <c r="R7" s="313" t="s">
        <v>894</v>
      </c>
      <c r="S7" s="401">
        <v>85129000</v>
      </c>
      <c r="T7" s="319" t="str">
        <f>VLOOKUP(S7,'SALE HSN MASTER '!$A$6:$D$20,2,FALSE)</f>
        <v>Parts &amp; Accessories Of Motor Vehicles Other</v>
      </c>
      <c r="U7" s="319" t="str">
        <f>VLOOKUP(S7,'SALE HSN MASTER '!$A$6:$D$20,3,FALSE)</f>
        <v>NOS-NUMBERS</v>
      </c>
      <c r="V7" s="319" t="str">
        <f>VLOOKUP(S7,'SALE HSN MASTER '!$A$6:$D$20,4,FALSE)</f>
        <v>Goods</v>
      </c>
      <c r="W7" s="401">
        <v>1200</v>
      </c>
    </row>
    <row r="8" spans="1:23" ht="14.4" x14ac:dyDescent="0.3">
      <c r="A8" s="423" t="s">
        <v>23</v>
      </c>
      <c r="B8" s="199" t="str">
        <f>VLOOKUP(A8,'SALE PARTY MASTR '!$B$5:$G$280,2,FALSE)</f>
        <v>Varroc Polymers Pvt.ltd.</v>
      </c>
      <c r="C8" s="397" t="s">
        <v>981</v>
      </c>
      <c r="D8" s="398">
        <v>43132</v>
      </c>
      <c r="E8" s="320">
        <f t="shared" ref="E8:E26" si="2">+K8+M8+N8+O8</f>
        <v>26636.083199999997</v>
      </c>
      <c r="F8" s="321" t="str">
        <f>VLOOKUP(A8,'SALE PARTY MASTR '!$B$5:$I$105,3,FALSE)</f>
        <v>27-Maharashatra</v>
      </c>
      <c r="G8" s="321" t="str">
        <f>VLOOKUP(A8,'SALE PARTY MASTR '!$B$5:$I$105,4,FALSE)</f>
        <v>N</v>
      </c>
      <c r="H8" s="321" t="str">
        <f>VLOOKUP(A8,'SALE PARTY MASTR '!$B$5:$I$105,5,FALSE)</f>
        <v>Regular</v>
      </c>
      <c r="I8" s="321">
        <f>VLOOKUP(A8,'SALE PARTY MASTR '!$B$5:$I$105,6,FALSE)</f>
        <v>0</v>
      </c>
      <c r="J8" s="262">
        <f>VLOOKUP(S8,'SALE HSN MASTER '!$A$6:$E$20,5,FALSE)</f>
        <v>28</v>
      </c>
      <c r="K8" s="400">
        <v>20809.439999999999</v>
      </c>
      <c r="L8" s="184"/>
      <c r="M8" s="322">
        <f t="shared" si="1"/>
        <v>0</v>
      </c>
      <c r="N8" s="322">
        <f>+IF(P8=1,0,IF(Q8="Local Sale",IF(J8=18,K8*0.09,IF(J8=12,K8*0.06,IF(J8=5,K8*0.025,IF(J8=28,K8*0.14,IF(J8=3,K8*0.015,0))))),0))</f>
        <v>2913.3216000000002</v>
      </c>
      <c r="O8" s="322">
        <f>+IF(P8=1,0,IF(Q8="Local Sale",IF(J8=18,K8*0.09,IF(J8=12,K8*0.06,IF(J8=5,K8*0.025,IF(J8=28,K8*0.14,IF(J8=3,K8*0.015,0))))),0))</f>
        <v>2913.3216000000002</v>
      </c>
      <c r="P8" s="199">
        <f>VLOOKUP(A8,'SALE PARTY MASTR '!$B$5:$I$105,7,FALSE)</f>
        <v>2</v>
      </c>
      <c r="Q8" s="199" t="str">
        <f>VLOOKUP(A8,'SALE PARTY MASTR '!$B$5:$I$105,8,FALSE)</f>
        <v>Local Sale</v>
      </c>
      <c r="R8" s="199" t="s">
        <v>897</v>
      </c>
      <c r="S8" s="401">
        <v>87081090</v>
      </c>
      <c r="T8" s="201" t="str">
        <f>VLOOKUP(S8,'SALE HSN MASTER '!$A$6:$D$20,2,FALSE)</f>
        <v>Parts &amp; Accessories Of Motor Vehicles Other</v>
      </c>
      <c r="U8" s="201" t="str">
        <f>VLOOKUP(S8,'SALE HSN MASTER '!$A$6:$D$20,3,FALSE)</f>
        <v>NOS-NUMBERS</v>
      </c>
      <c r="V8" s="201" t="str">
        <f>VLOOKUP(S8,'SALE HSN MASTER '!$A$6:$D$20,4,FALSE)</f>
        <v>Goods</v>
      </c>
      <c r="W8" s="401">
        <v>288</v>
      </c>
    </row>
    <row r="9" spans="1:23" ht="14.4" x14ac:dyDescent="0.3">
      <c r="A9" s="423" t="s">
        <v>23</v>
      </c>
      <c r="B9" s="199" t="str">
        <f>VLOOKUP(A9,'SALE PARTY MASTR '!$B$5:$G$280,2,FALSE)</f>
        <v>Varroc Polymers Pvt.ltd.</v>
      </c>
      <c r="C9" s="397" t="s">
        <v>982</v>
      </c>
      <c r="D9" s="398">
        <v>43132</v>
      </c>
      <c r="E9" s="320">
        <f t="shared" si="2"/>
        <v>26584.32</v>
      </c>
      <c r="F9" s="321" t="str">
        <f>VLOOKUP(A9,'SALE PARTY MASTR '!$B$5:$I$105,3,FALSE)</f>
        <v>27-Maharashatra</v>
      </c>
      <c r="G9" s="321" t="str">
        <f>VLOOKUP(A9,'SALE PARTY MASTR '!$B$5:$I$105,4,FALSE)</f>
        <v>N</v>
      </c>
      <c r="H9" s="321" t="str">
        <f>VLOOKUP(A9,'SALE PARTY MASTR '!$B$5:$I$105,5,FALSE)</f>
        <v>Regular</v>
      </c>
      <c r="I9" s="321">
        <f>VLOOKUP(A9,'SALE PARTY MASTR '!$B$5:$I$105,6,FALSE)</f>
        <v>0</v>
      </c>
      <c r="J9" s="262">
        <f>VLOOKUP(S9,'SALE HSN MASTER '!$A$6:$E$20,5,FALSE)</f>
        <v>28</v>
      </c>
      <c r="K9" s="400">
        <v>20769</v>
      </c>
      <c r="L9" s="184"/>
      <c r="M9" s="322">
        <f t="shared" si="1"/>
        <v>0</v>
      </c>
      <c r="N9" s="322">
        <f t="shared" ref="N9:N72" si="3">+IF(P9=1,0,IF(Q9="Local Sale",IF(J9=18,K9*0.09,IF(J9=12,K9*0.06,IF(J9=5,K9*0.025,IF(J9=28,K9*0.14,IF(J9=3,K9*0.015,0))))),0))</f>
        <v>2907.6600000000003</v>
      </c>
      <c r="O9" s="322">
        <f t="shared" ref="O9:O72" si="4">+IF(P9=1,0,IF(Q9="Local Sale",IF(J9=18,K9*0.09,IF(J9=12,K9*0.06,IF(J9=5,K9*0.025,IF(J9=28,K9*0.14,IF(J9=3,K9*0.015,0))))),0))</f>
        <v>2907.6600000000003</v>
      </c>
      <c r="P9" s="199">
        <f>VLOOKUP(A9,'SALE PARTY MASTR '!$B$5:$I$105,7,FALSE)</f>
        <v>2</v>
      </c>
      <c r="Q9" s="199" t="str">
        <f>VLOOKUP(A9,'SALE PARTY MASTR '!$B$5:$I$105,8,FALSE)</f>
        <v>Local Sale</v>
      </c>
      <c r="R9" s="199" t="s">
        <v>897</v>
      </c>
      <c r="S9" s="401">
        <v>87141090</v>
      </c>
      <c r="T9" s="201" t="str">
        <f>VLOOKUP(S9,'SALE HSN MASTER '!$A$6:$D$20,2,FALSE)</f>
        <v>Parts &amp; Accessories Of Motor Vehicles Other</v>
      </c>
      <c r="U9" s="201" t="str">
        <f>VLOOKUP(S9,'SALE HSN MASTER '!$A$6:$D$20,3,FALSE)</f>
        <v>NOS-NUMBERS</v>
      </c>
      <c r="V9" s="201" t="str">
        <f>VLOOKUP(S9,'SALE HSN MASTER '!$A$6:$D$20,4,FALSE)</f>
        <v>Goods</v>
      </c>
      <c r="W9" s="401">
        <v>276</v>
      </c>
    </row>
    <row r="10" spans="1:23" ht="14.4" x14ac:dyDescent="0.3">
      <c r="A10" s="423" t="s">
        <v>24</v>
      </c>
      <c r="B10" s="199" t="str">
        <f>VLOOKUP(A10,'SALE PARTY MASTR '!$B$5:$G$280,2,FALSE)</f>
        <v>Tata Autocomp Systems LTD.(X1)</v>
      </c>
      <c r="C10" s="397" t="s">
        <v>983</v>
      </c>
      <c r="D10" s="398">
        <v>43132</v>
      </c>
      <c r="E10" s="320">
        <f t="shared" si="2"/>
        <v>88375.295999999988</v>
      </c>
      <c r="F10" s="321" t="str">
        <f>VLOOKUP(A10,'SALE PARTY MASTR '!$B$5:$I$105,3,FALSE)</f>
        <v>27-Maharashatra</v>
      </c>
      <c r="G10" s="321" t="str">
        <f>VLOOKUP(A10,'SALE PARTY MASTR '!$B$5:$I$105,4,FALSE)</f>
        <v>N</v>
      </c>
      <c r="H10" s="321" t="str">
        <f>VLOOKUP(A10,'SALE PARTY MASTR '!$B$5:$I$105,5,FALSE)</f>
        <v>Regular</v>
      </c>
      <c r="I10" s="321">
        <f>VLOOKUP(A10,'SALE PARTY MASTR '!$B$5:$I$105,6,FALSE)</f>
        <v>0</v>
      </c>
      <c r="J10" s="262">
        <f>VLOOKUP(S10,'SALE HSN MASTER '!$A$6:$E$20,5,FALSE)</f>
        <v>28</v>
      </c>
      <c r="K10" s="400">
        <v>69043.199999999997</v>
      </c>
      <c r="L10" s="184"/>
      <c r="M10" s="322">
        <f t="shared" si="1"/>
        <v>0</v>
      </c>
      <c r="N10" s="322">
        <f t="shared" si="3"/>
        <v>9666.0480000000007</v>
      </c>
      <c r="O10" s="322">
        <f t="shared" si="4"/>
        <v>9666.0480000000007</v>
      </c>
      <c r="P10" s="199">
        <f>VLOOKUP(A10,'SALE PARTY MASTR '!$B$5:$I$105,7,FALSE)</f>
        <v>2</v>
      </c>
      <c r="Q10" s="199" t="str">
        <f>VLOOKUP(A10,'SALE PARTY MASTR '!$B$5:$I$105,8,FALSE)</f>
        <v>Local Sale</v>
      </c>
      <c r="R10" s="199" t="s">
        <v>897</v>
      </c>
      <c r="S10" s="401">
        <v>87089900</v>
      </c>
      <c r="T10" s="201" t="str">
        <f>VLOOKUP(S10,'SALE HSN MASTER '!$A$6:$D$20,2,FALSE)</f>
        <v>Parts &amp; Accessories Of Motor Vehicles Other</v>
      </c>
      <c r="U10" s="201" t="str">
        <f>VLOOKUP(S10,'SALE HSN MASTER '!$A$6:$D$20,3,FALSE)</f>
        <v>NOS-NUMBERS</v>
      </c>
      <c r="V10" s="201" t="str">
        <f>VLOOKUP(S10,'SALE HSN MASTER '!$A$6:$D$20,4,FALSE)</f>
        <v>Goods</v>
      </c>
      <c r="W10" s="401">
        <v>96</v>
      </c>
    </row>
    <row r="11" spans="1:23" ht="14.4" x14ac:dyDescent="0.3">
      <c r="A11" s="423" t="s">
        <v>23</v>
      </c>
      <c r="B11" s="199" t="str">
        <f>VLOOKUP(A11,'SALE PARTY MASTR '!$B$5:$G$280,2,FALSE)</f>
        <v>Varroc Polymers Pvt.ltd.</v>
      </c>
      <c r="C11" s="397" t="s">
        <v>984</v>
      </c>
      <c r="D11" s="398">
        <v>43132</v>
      </c>
      <c r="E11" s="320">
        <f t="shared" si="2"/>
        <v>27745.919999999998</v>
      </c>
      <c r="F11" s="321" t="str">
        <f>VLOOKUP(A11,'SALE PARTY MASTR '!$B$5:$I$105,3,FALSE)</f>
        <v>27-Maharashatra</v>
      </c>
      <c r="G11" s="321" t="str">
        <f>VLOOKUP(A11,'SALE PARTY MASTR '!$B$5:$I$105,4,FALSE)</f>
        <v>N</v>
      </c>
      <c r="H11" s="321" t="str">
        <f>VLOOKUP(A11,'SALE PARTY MASTR '!$B$5:$I$105,5,FALSE)</f>
        <v>Regular</v>
      </c>
      <c r="I11" s="321">
        <f>VLOOKUP(A11,'SALE PARTY MASTR '!$B$5:$I$105,6,FALSE)</f>
        <v>0</v>
      </c>
      <c r="J11" s="262">
        <f>VLOOKUP(S11,'SALE HSN MASTER '!$A$6:$E$20,5,FALSE)</f>
        <v>28</v>
      </c>
      <c r="K11" s="400">
        <v>21676.5</v>
      </c>
      <c r="L11" s="184"/>
      <c r="M11" s="322">
        <f t="shared" si="1"/>
        <v>0</v>
      </c>
      <c r="N11" s="322">
        <f t="shared" si="3"/>
        <v>3034.7100000000005</v>
      </c>
      <c r="O11" s="322">
        <f t="shared" si="4"/>
        <v>3034.7100000000005</v>
      </c>
      <c r="P11" s="199">
        <f>VLOOKUP(A11,'SALE PARTY MASTR '!$B$5:$I$105,7,FALSE)</f>
        <v>2</v>
      </c>
      <c r="Q11" s="199" t="str">
        <f>VLOOKUP(A11,'SALE PARTY MASTR '!$B$5:$I$105,8,FALSE)</f>
        <v>Local Sale</v>
      </c>
      <c r="R11" s="199" t="s">
        <v>897</v>
      </c>
      <c r="S11" s="401">
        <v>87081090</v>
      </c>
      <c r="T11" s="201" t="str">
        <f>VLOOKUP(S11,'SALE HSN MASTER '!$A$6:$D$20,2,FALSE)</f>
        <v>Parts &amp; Accessories Of Motor Vehicles Other</v>
      </c>
      <c r="U11" s="201" t="str">
        <f>VLOOKUP(S11,'SALE HSN MASTER '!$A$6:$D$20,3,FALSE)</f>
        <v>NOS-NUMBERS</v>
      </c>
      <c r="V11" s="201" t="str">
        <f>VLOOKUP(S11,'SALE HSN MASTER '!$A$6:$D$20,4,FALSE)</f>
        <v>Goods</v>
      </c>
      <c r="W11" s="401">
        <v>300</v>
      </c>
    </row>
    <row r="12" spans="1:23" ht="14.4" x14ac:dyDescent="0.3">
      <c r="A12" s="423" t="s">
        <v>23</v>
      </c>
      <c r="B12" s="199" t="str">
        <f>VLOOKUP(A12,'SALE PARTY MASTR '!$B$5:$G$280,2,FALSE)</f>
        <v>Varroc Polymers Pvt.ltd.</v>
      </c>
      <c r="C12" s="397" t="s">
        <v>985</v>
      </c>
      <c r="D12" s="398">
        <v>43132</v>
      </c>
      <c r="E12" s="320">
        <f t="shared" si="2"/>
        <v>14618.880000000001</v>
      </c>
      <c r="F12" s="321" t="str">
        <f>VLOOKUP(A12,'SALE PARTY MASTR '!$B$5:$I$105,3,FALSE)</f>
        <v>27-Maharashatra</v>
      </c>
      <c r="G12" s="321" t="str">
        <f>VLOOKUP(A12,'SALE PARTY MASTR '!$B$5:$I$105,4,FALSE)</f>
        <v>N</v>
      </c>
      <c r="H12" s="321" t="str">
        <f>VLOOKUP(A12,'SALE PARTY MASTR '!$B$5:$I$105,5,FALSE)</f>
        <v>Regular</v>
      </c>
      <c r="I12" s="321">
        <f>VLOOKUP(A12,'SALE PARTY MASTR '!$B$5:$I$105,6,FALSE)</f>
        <v>0</v>
      </c>
      <c r="J12" s="262">
        <f>VLOOKUP(S12,'SALE HSN MASTER '!$A$6:$E$20,5,FALSE)</f>
        <v>28</v>
      </c>
      <c r="K12" s="400">
        <v>11421</v>
      </c>
      <c r="L12" s="184"/>
      <c r="M12" s="322">
        <f t="shared" si="1"/>
        <v>0</v>
      </c>
      <c r="N12" s="322">
        <f t="shared" si="3"/>
        <v>1598.94</v>
      </c>
      <c r="O12" s="322">
        <f t="shared" si="4"/>
        <v>1598.94</v>
      </c>
      <c r="P12" s="199">
        <f>VLOOKUP(A12,'SALE PARTY MASTR '!$B$5:$I$105,7,FALSE)</f>
        <v>2</v>
      </c>
      <c r="Q12" s="199" t="str">
        <f>VLOOKUP(A12,'SALE PARTY MASTR '!$B$5:$I$105,8,FALSE)</f>
        <v>Local Sale</v>
      </c>
      <c r="R12" s="199" t="s">
        <v>897</v>
      </c>
      <c r="S12" s="401">
        <v>87141090</v>
      </c>
      <c r="T12" s="201" t="str">
        <f>VLOOKUP(S12,'SALE HSN MASTER '!$A$6:$D$20,2,FALSE)</f>
        <v>Parts &amp; Accessories Of Motor Vehicles Other</v>
      </c>
      <c r="U12" s="201" t="str">
        <f>VLOOKUP(S12,'SALE HSN MASTER '!$A$6:$D$20,3,FALSE)</f>
        <v>NOS-NUMBERS</v>
      </c>
      <c r="V12" s="201" t="str">
        <f>VLOOKUP(S12,'SALE HSN MASTER '!$A$6:$D$20,4,FALSE)</f>
        <v>Goods</v>
      </c>
      <c r="W12" s="401">
        <v>324</v>
      </c>
    </row>
    <row r="13" spans="1:23" ht="14.4" x14ac:dyDescent="0.3">
      <c r="A13" s="423" t="s">
        <v>23</v>
      </c>
      <c r="B13" s="199" t="str">
        <f>VLOOKUP(A13,'SALE PARTY MASTR '!$B$5:$G$280,2,FALSE)</f>
        <v>Varroc Polymers Pvt.ltd.</v>
      </c>
      <c r="C13" s="397" t="s">
        <v>986</v>
      </c>
      <c r="D13" s="398">
        <v>43132</v>
      </c>
      <c r="E13" s="320">
        <f t="shared" si="2"/>
        <v>36994.559999999998</v>
      </c>
      <c r="F13" s="321" t="str">
        <f>VLOOKUP(A13,'SALE PARTY MASTR '!$B$5:$I$105,3,FALSE)</f>
        <v>27-Maharashatra</v>
      </c>
      <c r="G13" s="321" t="str">
        <f>VLOOKUP(A13,'SALE PARTY MASTR '!$B$5:$I$105,4,FALSE)</f>
        <v>N</v>
      </c>
      <c r="H13" s="321" t="str">
        <f>VLOOKUP(A13,'SALE PARTY MASTR '!$B$5:$I$105,5,FALSE)</f>
        <v>Regular</v>
      </c>
      <c r="I13" s="321">
        <f>VLOOKUP(A13,'SALE PARTY MASTR '!$B$5:$I$105,6,FALSE)</f>
        <v>0</v>
      </c>
      <c r="J13" s="262">
        <f>VLOOKUP(S13,'SALE HSN MASTER '!$A$6:$E$20,5,FALSE)</f>
        <v>28</v>
      </c>
      <c r="K13" s="400">
        <v>28902</v>
      </c>
      <c r="L13" s="184"/>
      <c r="M13" s="322">
        <f t="shared" si="1"/>
        <v>0</v>
      </c>
      <c r="N13" s="322">
        <f t="shared" si="3"/>
        <v>4046.28</v>
      </c>
      <c r="O13" s="322">
        <f t="shared" si="4"/>
        <v>4046.28</v>
      </c>
      <c r="P13" s="199">
        <f>VLOOKUP(A13,'SALE PARTY MASTR '!$B$5:$I$105,7,FALSE)</f>
        <v>2</v>
      </c>
      <c r="Q13" s="199" t="str">
        <f>VLOOKUP(A13,'SALE PARTY MASTR '!$B$5:$I$105,8,FALSE)</f>
        <v>Local Sale</v>
      </c>
      <c r="R13" s="199" t="s">
        <v>897</v>
      </c>
      <c r="S13" s="401">
        <v>87081090</v>
      </c>
      <c r="T13" s="201" t="str">
        <f>VLOOKUP(S13,'SALE HSN MASTER '!$A$6:$D$20,2,FALSE)</f>
        <v>Parts &amp; Accessories Of Motor Vehicles Other</v>
      </c>
      <c r="U13" s="201" t="str">
        <f>VLOOKUP(S13,'SALE HSN MASTER '!$A$6:$D$20,3,FALSE)</f>
        <v>NOS-NUMBERS</v>
      </c>
      <c r="V13" s="201" t="str">
        <f>VLOOKUP(S13,'SALE HSN MASTER '!$A$6:$D$20,4,FALSE)</f>
        <v>Goods</v>
      </c>
      <c r="W13" s="401">
        <v>400</v>
      </c>
    </row>
    <row r="14" spans="1:23" ht="14.4" x14ac:dyDescent="0.3">
      <c r="A14" s="423" t="s">
        <v>31</v>
      </c>
      <c r="B14" s="199" t="str">
        <f>VLOOKUP(A14,'SALE PARTY MASTR '!$B$5:$G$280,2,FALSE)</f>
        <v>Mittal Precision Auto Comps Pvt Ltd,</v>
      </c>
      <c r="C14" s="397" t="s">
        <v>987</v>
      </c>
      <c r="D14" s="398">
        <v>43132</v>
      </c>
      <c r="E14" s="320">
        <f t="shared" si="2"/>
        <v>6811.243199999999</v>
      </c>
      <c r="F14" s="321" t="str">
        <f>VLOOKUP(A14,'SALE PARTY MASTR '!$B$5:$I$105,3,FALSE)</f>
        <v>27-Maharashatra</v>
      </c>
      <c r="G14" s="321" t="str">
        <f>VLOOKUP(A14,'SALE PARTY MASTR '!$B$5:$I$105,4,FALSE)</f>
        <v>N</v>
      </c>
      <c r="H14" s="321" t="str">
        <f>VLOOKUP(A14,'SALE PARTY MASTR '!$B$5:$I$105,5,FALSE)</f>
        <v>Regular</v>
      </c>
      <c r="I14" s="321">
        <f>VLOOKUP(A14,'SALE PARTY MASTR '!$B$5:$I$105,6,FALSE)</f>
        <v>0</v>
      </c>
      <c r="J14" s="262">
        <f>VLOOKUP(S14,'SALE HSN MASTER '!$A$6:$E$20,5,FALSE)</f>
        <v>18</v>
      </c>
      <c r="K14" s="400">
        <v>5772.24</v>
      </c>
      <c r="L14" s="184"/>
      <c r="M14" s="322">
        <f t="shared" si="1"/>
        <v>0</v>
      </c>
      <c r="N14" s="322">
        <f t="shared" si="3"/>
        <v>519.50159999999994</v>
      </c>
      <c r="O14" s="322">
        <f t="shared" si="4"/>
        <v>519.50159999999994</v>
      </c>
      <c r="P14" s="199">
        <f>VLOOKUP(A14,'SALE PARTY MASTR '!$B$5:$I$105,7,FALSE)</f>
        <v>2</v>
      </c>
      <c r="Q14" s="199" t="str">
        <f>VLOOKUP(A14,'SALE PARTY MASTR '!$B$5:$I$105,8,FALSE)</f>
        <v>Local Sale</v>
      </c>
      <c r="R14" s="199" t="s">
        <v>894</v>
      </c>
      <c r="S14" s="401">
        <v>998898</v>
      </c>
      <c r="T14" s="201" t="str">
        <f>VLOOKUP(S14,'SALE HSN MASTER '!$A$6:$D$20,2,FALSE)</f>
        <v>Parts &amp; Accessories Of Motor Vehicles Other</v>
      </c>
      <c r="U14" s="201" t="str">
        <f>VLOOKUP(S14,'SALE HSN MASTER '!$A$6:$D$20,3,FALSE)</f>
        <v>NOS-NUMBERS</v>
      </c>
      <c r="V14" s="201" t="str">
        <f>VLOOKUP(S14,'SALE HSN MASTER '!$A$6:$D$20,4,FALSE)</f>
        <v>Service</v>
      </c>
      <c r="W14" s="401">
        <v>12</v>
      </c>
    </row>
    <row r="15" spans="1:23" ht="14.4" x14ac:dyDescent="0.3">
      <c r="A15" s="423" t="s">
        <v>31</v>
      </c>
      <c r="B15" s="199" t="str">
        <f>VLOOKUP(A15,'SALE PARTY MASTR '!$B$5:$G$280,2,FALSE)</f>
        <v>Mittal Precision Auto Comps Pvt Ltd,</v>
      </c>
      <c r="C15" s="397" t="s">
        <v>988</v>
      </c>
      <c r="D15" s="398">
        <v>43132</v>
      </c>
      <c r="E15" s="320">
        <f t="shared" si="2"/>
        <v>7109.5944</v>
      </c>
      <c r="F15" s="321" t="str">
        <f>VLOOKUP(A15,'SALE PARTY MASTR '!$B$5:$I$105,3,FALSE)</f>
        <v>27-Maharashatra</v>
      </c>
      <c r="G15" s="321" t="str">
        <f>VLOOKUP(A15,'SALE PARTY MASTR '!$B$5:$I$105,4,FALSE)</f>
        <v>N</v>
      </c>
      <c r="H15" s="321" t="str">
        <f>VLOOKUP(A15,'SALE PARTY MASTR '!$B$5:$I$105,5,FALSE)</f>
        <v>Regular</v>
      </c>
      <c r="I15" s="321">
        <f>VLOOKUP(A15,'SALE PARTY MASTR '!$B$5:$I$105,6,FALSE)</f>
        <v>0</v>
      </c>
      <c r="J15" s="262">
        <f>VLOOKUP(S15,'SALE HSN MASTER '!$A$6:$E$20,5,FALSE)</f>
        <v>18</v>
      </c>
      <c r="K15" s="400">
        <v>6025.08</v>
      </c>
      <c r="L15" s="184"/>
      <c r="M15" s="322">
        <f t="shared" si="1"/>
        <v>0</v>
      </c>
      <c r="N15" s="322">
        <f t="shared" si="3"/>
        <v>542.25720000000001</v>
      </c>
      <c r="O15" s="322">
        <f t="shared" si="4"/>
        <v>542.25720000000001</v>
      </c>
      <c r="P15" s="199">
        <f>VLOOKUP(A15,'SALE PARTY MASTR '!$B$5:$I$105,7,FALSE)</f>
        <v>2</v>
      </c>
      <c r="Q15" s="199" t="str">
        <f>VLOOKUP(A15,'SALE PARTY MASTR '!$B$5:$I$105,8,FALSE)</f>
        <v>Local Sale</v>
      </c>
      <c r="R15" s="199" t="s">
        <v>894</v>
      </c>
      <c r="S15" s="401">
        <v>998898</v>
      </c>
      <c r="T15" s="201" t="str">
        <f>VLOOKUP(S15,'SALE HSN MASTER '!$A$6:$D$20,2,FALSE)</f>
        <v>Parts &amp; Accessories Of Motor Vehicles Other</v>
      </c>
      <c r="U15" s="201" t="str">
        <f>VLOOKUP(S15,'SALE HSN MASTER '!$A$6:$D$20,3,FALSE)</f>
        <v>NOS-NUMBERS</v>
      </c>
      <c r="V15" s="201" t="str">
        <f>VLOOKUP(S15,'SALE HSN MASTER '!$A$6:$D$20,4,FALSE)</f>
        <v>Service</v>
      </c>
      <c r="W15" s="401">
        <v>12</v>
      </c>
    </row>
    <row r="16" spans="1:23" ht="14.4" x14ac:dyDescent="0.3">
      <c r="A16" s="423" t="s">
        <v>27</v>
      </c>
      <c r="B16" s="199" t="str">
        <f>VLOOKUP(A16,'SALE PARTY MASTR '!$B$5:$G$280,2,FALSE)</f>
        <v>Rinder India Pvt Ltd.</v>
      </c>
      <c r="C16" s="397" t="s">
        <v>989</v>
      </c>
      <c r="D16" s="398">
        <v>43132</v>
      </c>
      <c r="E16" s="320">
        <f t="shared" si="2"/>
        <v>28320</v>
      </c>
      <c r="F16" s="321" t="str">
        <f>VLOOKUP(A16,'SALE PARTY MASTR '!$B$5:$I$105,3,FALSE)</f>
        <v>27-Maharashatra</v>
      </c>
      <c r="G16" s="321" t="str">
        <f>VLOOKUP(A16,'SALE PARTY MASTR '!$B$5:$I$105,4,FALSE)</f>
        <v>N</v>
      </c>
      <c r="H16" s="321" t="str">
        <f>VLOOKUP(A16,'SALE PARTY MASTR '!$B$5:$I$105,5,FALSE)</f>
        <v>Regular</v>
      </c>
      <c r="I16" s="321">
        <f>VLOOKUP(A16,'SALE PARTY MASTR '!$B$5:$I$105,6,FALSE)</f>
        <v>0</v>
      </c>
      <c r="J16" s="262">
        <f>VLOOKUP(S16,'SALE HSN MASTER '!$A$6:$E$20,5,FALSE)</f>
        <v>18</v>
      </c>
      <c r="K16" s="400">
        <v>24000</v>
      </c>
      <c r="L16" s="184"/>
      <c r="M16" s="322">
        <f t="shared" si="1"/>
        <v>0</v>
      </c>
      <c r="N16" s="322">
        <f t="shared" si="3"/>
        <v>2160</v>
      </c>
      <c r="O16" s="322">
        <f t="shared" si="4"/>
        <v>2160</v>
      </c>
      <c r="P16" s="199">
        <f>VLOOKUP(A16,'SALE PARTY MASTR '!$B$5:$I$105,7,FALSE)</f>
        <v>2</v>
      </c>
      <c r="Q16" s="199" t="str">
        <f>VLOOKUP(A16,'SALE PARTY MASTR '!$B$5:$I$105,8,FALSE)</f>
        <v>Local Sale</v>
      </c>
      <c r="R16" s="199" t="s">
        <v>894</v>
      </c>
      <c r="S16" s="401">
        <v>85129000</v>
      </c>
      <c r="T16" s="201" t="str">
        <f>VLOOKUP(S16,'SALE HSN MASTER '!$A$6:$D$20,2,FALSE)</f>
        <v>Parts &amp; Accessories Of Motor Vehicles Other</v>
      </c>
      <c r="U16" s="201" t="str">
        <f>VLOOKUP(S16,'SALE HSN MASTER '!$A$6:$D$20,3,FALSE)</f>
        <v>NOS-NUMBERS</v>
      </c>
      <c r="V16" s="201" t="str">
        <f>VLOOKUP(S16,'SALE HSN MASTER '!$A$6:$D$20,4,FALSE)</f>
        <v>Goods</v>
      </c>
      <c r="W16" s="401">
        <v>960</v>
      </c>
    </row>
    <row r="17" spans="1:23" ht="14.4" x14ac:dyDescent="0.3">
      <c r="A17" s="423" t="s">
        <v>23</v>
      </c>
      <c r="B17" s="199" t="str">
        <f>VLOOKUP(A17,'SALE PARTY MASTR '!$B$5:$G$280,2,FALSE)</f>
        <v>Varroc Polymers Pvt.ltd.</v>
      </c>
      <c r="C17" s="397" t="s">
        <v>990</v>
      </c>
      <c r="D17" s="398">
        <v>43133</v>
      </c>
      <c r="E17" s="320">
        <f t="shared" si="2"/>
        <v>36994.559999999998</v>
      </c>
      <c r="F17" s="321" t="str">
        <f>VLOOKUP(A17,'SALE PARTY MASTR '!$B$5:$I$105,3,FALSE)</f>
        <v>27-Maharashatra</v>
      </c>
      <c r="G17" s="321" t="str">
        <f>VLOOKUP(A17,'SALE PARTY MASTR '!$B$5:$I$105,4,FALSE)</f>
        <v>N</v>
      </c>
      <c r="H17" s="321" t="str">
        <f>VLOOKUP(A17,'SALE PARTY MASTR '!$B$5:$I$105,5,FALSE)</f>
        <v>Regular</v>
      </c>
      <c r="I17" s="321">
        <f>VLOOKUP(A17,'SALE PARTY MASTR '!$B$5:$I$105,6,FALSE)</f>
        <v>0</v>
      </c>
      <c r="J17" s="262">
        <f>VLOOKUP(S17,'SALE HSN MASTER '!$A$6:$E$20,5,FALSE)</f>
        <v>28</v>
      </c>
      <c r="K17" s="400">
        <v>28902</v>
      </c>
      <c r="L17" s="184"/>
      <c r="M17" s="322">
        <f t="shared" si="1"/>
        <v>0</v>
      </c>
      <c r="N17" s="322">
        <f t="shared" si="3"/>
        <v>4046.28</v>
      </c>
      <c r="O17" s="322">
        <f t="shared" si="4"/>
        <v>4046.28</v>
      </c>
      <c r="P17" s="199">
        <f>VLOOKUP(A17,'SALE PARTY MASTR '!$B$5:$I$105,7,FALSE)</f>
        <v>2</v>
      </c>
      <c r="Q17" s="199" t="str">
        <f>VLOOKUP(A17,'SALE PARTY MASTR '!$B$5:$I$105,8,FALSE)</f>
        <v>Local Sale</v>
      </c>
      <c r="R17" s="199" t="s">
        <v>897</v>
      </c>
      <c r="S17" s="401">
        <v>87081090</v>
      </c>
      <c r="T17" s="201" t="str">
        <f>VLOOKUP(S17,'SALE HSN MASTER '!$A$6:$D$20,2,FALSE)</f>
        <v>Parts &amp; Accessories Of Motor Vehicles Other</v>
      </c>
      <c r="U17" s="201" t="str">
        <f>VLOOKUP(S17,'SALE HSN MASTER '!$A$6:$D$20,3,FALSE)</f>
        <v>NOS-NUMBERS</v>
      </c>
      <c r="V17" s="201" t="str">
        <f>VLOOKUP(S17,'SALE HSN MASTER '!$A$6:$D$20,4,FALSE)</f>
        <v>Goods</v>
      </c>
      <c r="W17" s="401">
        <v>400</v>
      </c>
    </row>
    <row r="18" spans="1:23" ht="14.4" x14ac:dyDescent="0.3">
      <c r="A18" s="423" t="s">
        <v>27</v>
      </c>
      <c r="B18" s="199" t="str">
        <f>VLOOKUP(A18,'SALE PARTY MASTR '!$B$5:$G$280,2,FALSE)</f>
        <v>Rinder India Pvt Ltd.</v>
      </c>
      <c r="C18" s="397" t="s">
        <v>991</v>
      </c>
      <c r="D18" s="398">
        <v>43133</v>
      </c>
      <c r="E18" s="320">
        <f t="shared" si="2"/>
        <v>14160</v>
      </c>
      <c r="F18" s="321" t="str">
        <f>VLOOKUP(A18,'SALE PARTY MASTR '!$B$5:$I$105,3,FALSE)</f>
        <v>27-Maharashatra</v>
      </c>
      <c r="G18" s="321" t="str">
        <f>VLOOKUP(A18,'SALE PARTY MASTR '!$B$5:$I$105,4,FALSE)</f>
        <v>N</v>
      </c>
      <c r="H18" s="321" t="str">
        <f>VLOOKUP(A18,'SALE PARTY MASTR '!$B$5:$I$105,5,FALSE)</f>
        <v>Regular</v>
      </c>
      <c r="I18" s="321">
        <f>VLOOKUP(A18,'SALE PARTY MASTR '!$B$5:$I$105,6,FALSE)</f>
        <v>0</v>
      </c>
      <c r="J18" s="262">
        <f>VLOOKUP(S18,'SALE HSN MASTER '!$A$6:$E$20,5,FALSE)</f>
        <v>18</v>
      </c>
      <c r="K18" s="400">
        <v>12000</v>
      </c>
      <c r="L18" s="184"/>
      <c r="M18" s="322">
        <f t="shared" si="1"/>
        <v>0</v>
      </c>
      <c r="N18" s="322">
        <f t="shared" si="3"/>
        <v>1080</v>
      </c>
      <c r="O18" s="322">
        <f t="shared" si="4"/>
        <v>1080</v>
      </c>
      <c r="P18" s="199">
        <f>VLOOKUP(A18,'SALE PARTY MASTR '!$B$5:$I$105,7,FALSE)</f>
        <v>2</v>
      </c>
      <c r="Q18" s="199" t="str">
        <f>VLOOKUP(A18,'SALE PARTY MASTR '!$B$5:$I$105,8,FALSE)</f>
        <v>Local Sale</v>
      </c>
      <c r="R18" s="199" t="s">
        <v>894</v>
      </c>
      <c r="S18" s="401">
        <v>85129000</v>
      </c>
      <c r="T18" s="201" t="str">
        <f>VLOOKUP(S18,'SALE HSN MASTER '!$A$6:$D$20,2,FALSE)</f>
        <v>Parts &amp; Accessories Of Motor Vehicles Other</v>
      </c>
      <c r="U18" s="201" t="str">
        <f>VLOOKUP(S18,'SALE HSN MASTER '!$A$6:$D$20,3,FALSE)</f>
        <v>NOS-NUMBERS</v>
      </c>
      <c r="V18" s="201" t="str">
        <f>VLOOKUP(S18,'SALE HSN MASTER '!$A$6:$D$20,4,FALSE)</f>
        <v>Goods</v>
      </c>
      <c r="W18" s="401">
        <v>480</v>
      </c>
    </row>
    <row r="19" spans="1:23" ht="14.4" x14ac:dyDescent="0.3">
      <c r="A19" s="423" t="s">
        <v>23</v>
      </c>
      <c r="B19" s="199" t="str">
        <f>VLOOKUP(A19,'SALE PARTY MASTR '!$B$5:$G$280,2,FALSE)</f>
        <v>Varroc Polymers Pvt.ltd.</v>
      </c>
      <c r="C19" s="397" t="s">
        <v>992</v>
      </c>
      <c r="D19" s="398">
        <v>43133</v>
      </c>
      <c r="E19" s="320">
        <f t="shared" si="2"/>
        <v>36994.559999999998</v>
      </c>
      <c r="F19" s="321" t="str">
        <f>VLOOKUP(A19,'SALE PARTY MASTR '!$B$5:$I$105,3,FALSE)</f>
        <v>27-Maharashatra</v>
      </c>
      <c r="G19" s="321" t="str">
        <f>VLOOKUP(A19,'SALE PARTY MASTR '!$B$5:$I$105,4,FALSE)</f>
        <v>N</v>
      </c>
      <c r="H19" s="321" t="str">
        <f>VLOOKUP(A19,'SALE PARTY MASTR '!$B$5:$I$105,5,FALSE)</f>
        <v>Regular</v>
      </c>
      <c r="I19" s="321">
        <f>VLOOKUP(A19,'SALE PARTY MASTR '!$B$5:$I$105,6,FALSE)</f>
        <v>0</v>
      </c>
      <c r="J19" s="262">
        <f>VLOOKUP(S19,'SALE HSN MASTER '!$A$6:$E$20,5,FALSE)</f>
        <v>28</v>
      </c>
      <c r="K19" s="400">
        <v>28902</v>
      </c>
      <c r="L19" s="184"/>
      <c r="M19" s="322">
        <f t="shared" si="1"/>
        <v>0</v>
      </c>
      <c r="N19" s="322">
        <f t="shared" si="3"/>
        <v>4046.28</v>
      </c>
      <c r="O19" s="322">
        <f t="shared" si="4"/>
        <v>4046.28</v>
      </c>
      <c r="P19" s="199">
        <f>VLOOKUP(A19,'SALE PARTY MASTR '!$B$5:$I$105,7,FALSE)</f>
        <v>2</v>
      </c>
      <c r="Q19" s="199" t="str">
        <f>VLOOKUP(A19,'SALE PARTY MASTR '!$B$5:$I$105,8,FALSE)</f>
        <v>Local Sale</v>
      </c>
      <c r="R19" s="199" t="s">
        <v>897</v>
      </c>
      <c r="S19" s="401">
        <v>87081090</v>
      </c>
      <c r="T19" s="201" t="str">
        <f>VLOOKUP(S19,'SALE HSN MASTER '!$A$6:$D$20,2,FALSE)</f>
        <v>Parts &amp; Accessories Of Motor Vehicles Other</v>
      </c>
      <c r="U19" s="201" t="str">
        <f>VLOOKUP(S19,'SALE HSN MASTER '!$A$6:$D$20,3,FALSE)</f>
        <v>NOS-NUMBERS</v>
      </c>
      <c r="V19" s="201" t="str">
        <f>VLOOKUP(S19,'SALE HSN MASTER '!$A$6:$D$20,4,FALSE)</f>
        <v>Goods</v>
      </c>
      <c r="W19" s="401">
        <v>400</v>
      </c>
    </row>
    <row r="20" spans="1:23" ht="14.4" x14ac:dyDescent="0.3">
      <c r="A20" s="423" t="s">
        <v>23</v>
      </c>
      <c r="B20" s="199" t="str">
        <f>VLOOKUP(A20,'SALE PARTY MASTR '!$B$5:$G$280,2,FALSE)</f>
        <v>Varroc Polymers Pvt.ltd.</v>
      </c>
      <c r="C20" s="397" t="s">
        <v>993</v>
      </c>
      <c r="D20" s="398">
        <v>43133</v>
      </c>
      <c r="E20" s="320">
        <f t="shared" si="2"/>
        <v>9246.7200000000012</v>
      </c>
      <c r="F20" s="321" t="str">
        <f>VLOOKUP(A20,'SALE PARTY MASTR '!$B$5:$I$105,3,FALSE)</f>
        <v>27-Maharashatra</v>
      </c>
      <c r="G20" s="321" t="str">
        <f>VLOOKUP(A20,'SALE PARTY MASTR '!$B$5:$I$105,4,FALSE)</f>
        <v>N</v>
      </c>
      <c r="H20" s="321" t="str">
        <f>VLOOKUP(A20,'SALE PARTY MASTR '!$B$5:$I$105,5,FALSE)</f>
        <v>Regular</v>
      </c>
      <c r="I20" s="321">
        <f>VLOOKUP(A20,'SALE PARTY MASTR '!$B$5:$I$105,6,FALSE)</f>
        <v>0</v>
      </c>
      <c r="J20" s="262">
        <f>VLOOKUP(S20,'SALE HSN MASTER '!$A$6:$E$20,5,FALSE)</f>
        <v>28</v>
      </c>
      <c r="K20" s="400">
        <v>7224</v>
      </c>
      <c r="L20" s="184"/>
      <c r="M20" s="322">
        <f t="shared" si="1"/>
        <v>0</v>
      </c>
      <c r="N20" s="322">
        <f t="shared" si="3"/>
        <v>1011.3600000000001</v>
      </c>
      <c r="O20" s="322">
        <f t="shared" si="4"/>
        <v>1011.3600000000001</v>
      </c>
      <c r="P20" s="199">
        <f>VLOOKUP(A20,'SALE PARTY MASTR '!$B$5:$I$105,7,FALSE)</f>
        <v>2</v>
      </c>
      <c r="Q20" s="199" t="str">
        <f>VLOOKUP(A20,'SALE PARTY MASTR '!$B$5:$I$105,8,FALSE)</f>
        <v>Local Sale</v>
      </c>
      <c r="R20" s="199" t="s">
        <v>897</v>
      </c>
      <c r="S20" s="401">
        <v>87141090</v>
      </c>
      <c r="T20" s="201" t="str">
        <f>VLOOKUP(S20,'SALE HSN MASTER '!$A$6:$D$20,2,FALSE)</f>
        <v>Parts &amp; Accessories Of Motor Vehicles Other</v>
      </c>
      <c r="U20" s="201" t="str">
        <f>VLOOKUP(S20,'SALE HSN MASTER '!$A$6:$D$20,3,FALSE)</f>
        <v>NOS-NUMBERS</v>
      </c>
      <c r="V20" s="201" t="str">
        <f>VLOOKUP(S20,'SALE HSN MASTER '!$A$6:$D$20,4,FALSE)</f>
        <v>Goods</v>
      </c>
      <c r="W20" s="401">
        <v>96</v>
      </c>
    </row>
    <row r="21" spans="1:23" ht="14.4" x14ac:dyDescent="0.3">
      <c r="A21" s="423" t="s">
        <v>24</v>
      </c>
      <c r="B21" s="199" t="str">
        <f>VLOOKUP(A21,'SALE PARTY MASTR '!$B$5:$G$280,2,FALSE)</f>
        <v>Tata Autocomp Systems LTD.(X1)</v>
      </c>
      <c r="C21" s="397" t="s">
        <v>994</v>
      </c>
      <c r="D21" s="398">
        <v>43133</v>
      </c>
      <c r="E21" s="320">
        <f t="shared" si="2"/>
        <v>28755.4048</v>
      </c>
      <c r="F21" s="321" t="str">
        <f>VLOOKUP(A21,'SALE PARTY MASTR '!$B$5:$I$105,3,FALSE)</f>
        <v>27-Maharashatra</v>
      </c>
      <c r="G21" s="321" t="str">
        <f>VLOOKUP(A21,'SALE PARTY MASTR '!$B$5:$I$105,4,FALSE)</f>
        <v>N</v>
      </c>
      <c r="H21" s="321" t="str">
        <f>VLOOKUP(A21,'SALE PARTY MASTR '!$B$5:$I$105,5,FALSE)</f>
        <v>Regular</v>
      </c>
      <c r="I21" s="321">
        <f>VLOOKUP(A21,'SALE PARTY MASTR '!$B$5:$I$105,6,FALSE)</f>
        <v>0</v>
      </c>
      <c r="J21" s="262">
        <f>VLOOKUP(S21,'SALE HSN MASTER '!$A$6:$E$20,5,FALSE)</f>
        <v>28</v>
      </c>
      <c r="K21" s="400">
        <v>22465.16</v>
      </c>
      <c r="L21" s="184"/>
      <c r="M21" s="322">
        <f t="shared" si="1"/>
        <v>0</v>
      </c>
      <c r="N21" s="322">
        <f t="shared" si="3"/>
        <v>3145.1224000000002</v>
      </c>
      <c r="O21" s="322">
        <f t="shared" si="4"/>
        <v>3145.1224000000002</v>
      </c>
      <c r="P21" s="199">
        <f>VLOOKUP(A21,'SALE PARTY MASTR '!$B$5:$I$105,7,FALSE)</f>
        <v>2</v>
      </c>
      <c r="Q21" s="199" t="str">
        <f>VLOOKUP(A21,'SALE PARTY MASTR '!$B$5:$I$105,8,FALSE)</f>
        <v>Local Sale</v>
      </c>
      <c r="R21" s="199" t="s">
        <v>897</v>
      </c>
      <c r="S21" s="401">
        <v>87089900</v>
      </c>
      <c r="T21" s="201" t="str">
        <f>VLOOKUP(S21,'SALE HSN MASTER '!$A$6:$D$20,2,FALSE)</f>
        <v>Parts &amp; Accessories Of Motor Vehicles Other</v>
      </c>
      <c r="U21" s="201" t="str">
        <f>VLOOKUP(S21,'SALE HSN MASTER '!$A$6:$D$20,3,FALSE)</f>
        <v>NOS-NUMBERS</v>
      </c>
      <c r="V21" s="201" t="str">
        <f>VLOOKUP(S21,'SALE HSN MASTER '!$A$6:$D$20,4,FALSE)</f>
        <v>Goods</v>
      </c>
      <c r="W21" s="401">
        <v>223</v>
      </c>
    </row>
    <row r="22" spans="1:23" ht="14.4" x14ac:dyDescent="0.3">
      <c r="A22" s="423" t="s">
        <v>23</v>
      </c>
      <c r="B22" s="199" t="str">
        <f>VLOOKUP(A22,'SALE PARTY MASTR '!$B$5:$G$280,2,FALSE)</f>
        <v>Varroc Polymers Pvt.ltd.</v>
      </c>
      <c r="C22" s="397" t="s">
        <v>995</v>
      </c>
      <c r="D22" s="398">
        <v>43133</v>
      </c>
      <c r="E22" s="320">
        <f t="shared" si="2"/>
        <v>25094.400000000001</v>
      </c>
      <c r="F22" s="321" t="str">
        <f>VLOOKUP(A22,'SALE PARTY MASTR '!$B$5:$I$105,3,FALSE)</f>
        <v>27-Maharashatra</v>
      </c>
      <c r="G22" s="321" t="str">
        <f>VLOOKUP(A22,'SALE PARTY MASTR '!$B$5:$I$105,4,FALSE)</f>
        <v>N</v>
      </c>
      <c r="H22" s="321" t="str">
        <f>VLOOKUP(A22,'SALE PARTY MASTR '!$B$5:$I$105,5,FALSE)</f>
        <v>Regular</v>
      </c>
      <c r="I22" s="321">
        <f>VLOOKUP(A22,'SALE PARTY MASTR '!$B$5:$I$105,6,FALSE)</f>
        <v>0</v>
      </c>
      <c r="J22" s="262">
        <f>VLOOKUP(S22,'SALE HSN MASTER '!$A$6:$E$20,5,FALSE)</f>
        <v>28</v>
      </c>
      <c r="K22" s="400">
        <v>19605</v>
      </c>
      <c r="L22" s="184"/>
      <c r="M22" s="322">
        <f t="shared" si="1"/>
        <v>0</v>
      </c>
      <c r="N22" s="322">
        <f t="shared" si="3"/>
        <v>2744.7000000000003</v>
      </c>
      <c r="O22" s="322">
        <f t="shared" si="4"/>
        <v>2744.7000000000003</v>
      </c>
      <c r="P22" s="199">
        <f>VLOOKUP(A22,'SALE PARTY MASTR '!$B$5:$I$105,7,FALSE)</f>
        <v>2</v>
      </c>
      <c r="Q22" s="199" t="str">
        <f>VLOOKUP(A22,'SALE PARTY MASTR '!$B$5:$I$105,8,FALSE)</f>
        <v>Local Sale</v>
      </c>
      <c r="R22" s="199" t="s">
        <v>897</v>
      </c>
      <c r="S22" s="401">
        <v>87141090</v>
      </c>
      <c r="T22" s="201" t="str">
        <f>VLOOKUP(S22,'SALE HSN MASTER '!$A$6:$D$20,2,FALSE)</f>
        <v>Parts &amp; Accessories Of Motor Vehicles Other</v>
      </c>
      <c r="U22" s="201" t="str">
        <f>VLOOKUP(S22,'SALE HSN MASTER '!$A$6:$D$20,3,FALSE)</f>
        <v>NOS-NUMBERS</v>
      </c>
      <c r="V22" s="201" t="str">
        <f>VLOOKUP(S22,'SALE HSN MASTER '!$A$6:$D$20,4,FALSE)</f>
        <v>Goods</v>
      </c>
      <c r="W22" s="401">
        <v>420</v>
      </c>
    </row>
    <row r="23" spans="1:23" ht="14.4" x14ac:dyDescent="0.3">
      <c r="A23" s="423" t="s">
        <v>23</v>
      </c>
      <c r="B23" s="199" t="str">
        <f>VLOOKUP(A23,'SALE PARTY MASTR '!$B$5:$G$280,2,FALSE)</f>
        <v>Varroc Polymers Pvt.ltd.</v>
      </c>
      <c r="C23" s="397" t="s">
        <v>996</v>
      </c>
      <c r="D23" s="398">
        <v>43133</v>
      </c>
      <c r="E23" s="320">
        <f t="shared" si="2"/>
        <v>15537.715200000002</v>
      </c>
      <c r="F23" s="321" t="str">
        <f>VLOOKUP(A23,'SALE PARTY MASTR '!$B$5:$I$105,3,FALSE)</f>
        <v>27-Maharashatra</v>
      </c>
      <c r="G23" s="321" t="str">
        <f>VLOOKUP(A23,'SALE PARTY MASTR '!$B$5:$I$105,4,FALSE)</f>
        <v>N</v>
      </c>
      <c r="H23" s="321" t="str">
        <f>VLOOKUP(A23,'SALE PARTY MASTR '!$B$5:$I$105,5,FALSE)</f>
        <v>Regular</v>
      </c>
      <c r="I23" s="321">
        <f>VLOOKUP(A23,'SALE PARTY MASTR '!$B$5:$I$105,6,FALSE)</f>
        <v>0</v>
      </c>
      <c r="J23" s="262">
        <f>VLOOKUP(S23,'SALE HSN MASTER '!$A$6:$E$20,5,FALSE)</f>
        <v>28</v>
      </c>
      <c r="K23" s="400">
        <v>12138.84</v>
      </c>
      <c r="L23" s="184"/>
      <c r="M23" s="322">
        <f t="shared" si="1"/>
        <v>0</v>
      </c>
      <c r="N23" s="322">
        <f t="shared" si="3"/>
        <v>1699.4376000000002</v>
      </c>
      <c r="O23" s="322">
        <f t="shared" si="4"/>
        <v>1699.4376000000002</v>
      </c>
      <c r="P23" s="199">
        <f>VLOOKUP(A23,'SALE PARTY MASTR '!$B$5:$I$105,7,FALSE)</f>
        <v>2</v>
      </c>
      <c r="Q23" s="199" t="str">
        <f>VLOOKUP(A23,'SALE PARTY MASTR '!$B$5:$I$105,8,FALSE)</f>
        <v>Local Sale</v>
      </c>
      <c r="R23" s="199" t="s">
        <v>897</v>
      </c>
      <c r="S23" s="401">
        <v>87081090</v>
      </c>
      <c r="T23" s="201" t="str">
        <f>VLOOKUP(S23,'SALE HSN MASTER '!$A$6:$D$20,2,FALSE)</f>
        <v>Parts &amp; Accessories Of Motor Vehicles Other</v>
      </c>
      <c r="U23" s="201" t="str">
        <f>VLOOKUP(S23,'SALE HSN MASTER '!$A$6:$D$20,3,FALSE)</f>
        <v>NOS-NUMBERS</v>
      </c>
      <c r="V23" s="201" t="str">
        <f>VLOOKUP(S23,'SALE HSN MASTER '!$A$6:$D$20,4,FALSE)</f>
        <v>Goods</v>
      </c>
      <c r="W23" s="401">
        <v>168</v>
      </c>
    </row>
    <row r="24" spans="1:23" ht="14.4" x14ac:dyDescent="0.3">
      <c r="A24" s="423" t="s">
        <v>28</v>
      </c>
      <c r="B24" s="199" t="str">
        <f>VLOOKUP(A24,'SALE PARTY MASTR '!$B$5:$G$280,2,FALSE)</f>
        <v>Lumax Auto Technologies Ltd.</v>
      </c>
      <c r="C24" s="397" t="s">
        <v>997</v>
      </c>
      <c r="D24" s="398">
        <v>43133</v>
      </c>
      <c r="E24" s="320">
        <f t="shared" si="2"/>
        <v>62695.382399999995</v>
      </c>
      <c r="F24" s="321" t="str">
        <f>VLOOKUP(A24,'SALE PARTY MASTR '!$B$5:$I$105,3,FALSE)</f>
        <v>27-Maharashatra</v>
      </c>
      <c r="G24" s="321" t="str">
        <f>VLOOKUP(A24,'SALE PARTY MASTR '!$B$5:$I$105,4,FALSE)</f>
        <v>N</v>
      </c>
      <c r="H24" s="321" t="str">
        <f>VLOOKUP(A24,'SALE PARTY MASTR '!$B$5:$I$105,5,FALSE)</f>
        <v>Regular</v>
      </c>
      <c r="I24" s="321">
        <f>VLOOKUP(A24,'SALE PARTY MASTR '!$B$5:$I$105,6,FALSE)</f>
        <v>0</v>
      </c>
      <c r="J24" s="262">
        <f>VLOOKUP(S24,'SALE HSN MASTER '!$A$6:$E$20,5,FALSE)</f>
        <v>18</v>
      </c>
      <c r="K24" s="400">
        <v>53131.68</v>
      </c>
      <c r="L24" s="184"/>
      <c r="M24" s="322">
        <f t="shared" si="1"/>
        <v>0</v>
      </c>
      <c r="N24" s="322">
        <f t="shared" si="3"/>
        <v>4781.8512000000001</v>
      </c>
      <c r="O24" s="322">
        <f t="shared" si="4"/>
        <v>4781.8512000000001</v>
      </c>
      <c r="P24" s="199">
        <f>VLOOKUP(A24,'SALE PARTY MASTR '!$B$5:$I$105,7,FALSE)</f>
        <v>2</v>
      </c>
      <c r="Q24" s="199" t="str">
        <f>VLOOKUP(A24,'SALE PARTY MASTR '!$B$5:$I$105,8,FALSE)</f>
        <v>Local Sale</v>
      </c>
      <c r="R24" s="199" t="s">
        <v>894</v>
      </c>
      <c r="S24" s="401">
        <v>85129000</v>
      </c>
      <c r="T24" s="201" t="str">
        <f>VLOOKUP(S24,'SALE HSN MASTER '!$A$6:$D$20,2,FALSE)</f>
        <v>Parts &amp; Accessories Of Motor Vehicles Other</v>
      </c>
      <c r="U24" s="201" t="str">
        <f>VLOOKUP(S24,'SALE HSN MASTER '!$A$6:$D$20,3,FALSE)</f>
        <v>NOS-NUMBERS</v>
      </c>
      <c r="V24" s="201" t="str">
        <f>VLOOKUP(S24,'SALE HSN MASTER '!$A$6:$D$20,4,FALSE)</f>
        <v>Goods</v>
      </c>
      <c r="W24" s="401">
        <v>432</v>
      </c>
    </row>
    <row r="25" spans="1:23" ht="14.4" x14ac:dyDescent="0.3">
      <c r="A25" s="423" t="s">
        <v>31</v>
      </c>
      <c r="B25" s="199" t="str">
        <f>VLOOKUP(A25,'SALE PARTY MASTR '!$B$5:$G$280,2,FALSE)</f>
        <v>Mittal Precision Auto Comps Pvt Ltd,</v>
      </c>
      <c r="C25" s="397" t="s">
        <v>998</v>
      </c>
      <c r="D25" s="398">
        <v>43133</v>
      </c>
      <c r="E25" s="320">
        <f t="shared" si="2"/>
        <v>6811.243199999999</v>
      </c>
      <c r="F25" s="321" t="str">
        <f>VLOOKUP(A25,'SALE PARTY MASTR '!$B$5:$I$105,3,FALSE)</f>
        <v>27-Maharashatra</v>
      </c>
      <c r="G25" s="321" t="str">
        <f>VLOOKUP(A25,'SALE PARTY MASTR '!$B$5:$I$105,4,FALSE)</f>
        <v>N</v>
      </c>
      <c r="H25" s="321" t="str">
        <f>VLOOKUP(A25,'SALE PARTY MASTR '!$B$5:$I$105,5,FALSE)</f>
        <v>Regular</v>
      </c>
      <c r="I25" s="321">
        <f>VLOOKUP(A25,'SALE PARTY MASTR '!$B$5:$I$105,6,FALSE)</f>
        <v>0</v>
      </c>
      <c r="J25" s="262">
        <f>VLOOKUP(S25,'SALE HSN MASTER '!$A$6:$E$20,5,FALSE)</f>
        <v>18</v>
      </c>
      <c r="K25" s="400">
        <v>5772.24</v>
      </c>
      <c r="L25" s="184"/>
      <c r="M25" s="322">
        <f t="shared" si="1"/>
        <v>0</v>
      </c>
      <c r="N25" s="322">
        <f t="shared" si="3"/>
        <v>519.50159999999994</v>
      </c>
      <c r="O25" s="322">
        <f t="shared" si="4"/>
        <v>519.50159999999994</v>
      </c>
      <c r="P25" s="199">
        <f>VLOOKUP(A25,'SALE PARTY MASTR '!$B$5:$I$105,7,FALSE)</f>
        <v>2</v>
      </c>
      <c r="Q25" s="199" t="str">
        <f>VLOOKUP(A25,'SALE PARTY MASTR '!$B$5:$I$105,8,FALSE)</f>
        <v>Local Sale</v>
      </c>
      <c r="R25" s="199" t="s">
        <v>894</v>
      </c>
      <c r="S25" s="401">
        <v>998898</v>
      </c>
      <c r="T25" s="201" t="str">
        <f>VLOOKUP(S25,'SALE HSN MASTER '!$A$6:$D$20,2,FALSE)</f>
        <v>Parts &amp; Accessories Of Motor Vehicles Other</v>
      </c>
      <c r="U25" s="201" t="str">
        <f>VLOOKUP(S25,'SALE HSN MASTER '!$A$6:$D$20,3,FALSE)</f>
        <v>NOS-NUMBERS</v>
      </c>
      <c r="V25" s="201" t="str">
        <f>VLOOKUP(S25,'SALE HSN MASTER '!$A$6:$D$20,4,FALSE)</f>
        <v>Service</v>
      </c>
      <c r="W25" s="401">
        <v>12</v>
      </c>
    </row>
    <row r="26" spans="1:23" ht="14.4" x14ac:dyDescent="0.3">
      <c r="A26" s="423" t="s">
        <v>31</v>
      </c>
      <c r="B26" s="199" t="str">
        <f>VLOOKUP(A26,'SALE PARTY MASTR '!$B$5:$G$280,2,FALSE)</f>
        <v>Mittal Precision Auto Comps Pvt Ltd,</v>
      </c>
      <c r="C26" s="397" t="s">
        <v>999</v>
      </c>
      <c r="D26" s="398">
        <v>43133</v>
      </c>
      <c r="E26" s="320">
        <f t="shared" si="2"/>
        <v>6885.8309999999992</v>
      </c>
      <c r="F26" s="321" t="str">
        <f>VLOOKUP(A26,'SALE PARTY MASTR '!$B$5:$I$105,3,FALSE)</f>
        <v>27-Maharashatra</v>
      </c>
      <c r="G26" s="321" t="str">
        <f>VLOOKUP(A26,'SALE PARTY MASTR '!$B$5:$I$105,4,FALSE)</f>
        <v>N</v>
      </c>
      <c r="H26" s="321" t="str">
        <f>VLOOKUP(A26,'SALE PARTY MASTR '!$B$5:$I$105,5,FALSE)</f>
        <v>Regular</v>
      </c>
      <c r="I26" s="321">
        <f>VLOOKUP(A26,'SALE PARTY MASTR '!$B$5:$I$105,6,FALSE)</f>
        <v>0</v>
      </c>
      <c r="J26" s="262">
        <f>VLOOKUP(S26,'SALE HSN MASTER '!$A$6:$E$20,5,FALSE)</f>
        <v>18</v>
      </c>
      <c r="K26" s="400">
        <v>5835.45</v>
      </c>
      <c r="L26" s="184"/>
      <c r="M26" s="322">
        <f t="shared" si="1"/>
        <v>0</v>
      </c>
      <c r="N26" s="322">
        <f t="shared" si="3"/>
        <v>525.19049999999993</v>
      </c>
      <c r="O26" s="322">
        <f t="shared" si="4"/>
        <v>525.19049999999993</v>
      </c>
      <c r="P26" s="199">
        <f>VLOOKUP(A26,'SALE PARTY MASTR '!$B$5:$I$105,7,FALSE)</f>
        <v>2</v>
      </c>
      <c r="Q26" s="199" t="str">
        <f>VLOOKUP(A26,'SALE PARTY MASTR '!$B$5:$I$105,8,FALSE)</f>
        <v>Local Sale</v>
      </c>
      <c r="R26" s="199" t="s">
        <v>894</v>
      </c>
      <c r="S26" s="401">
        <v>998898</v>
      </c>
      <c r="T26" s="201" t="str">
        <f>VLOOKUP(S26,'SALE HSN MASTER '!$A$6:$D$20,2,FALSE)</f>
        <v>Parts &amp; Accessories Of Motor Vehicles Other</v>
      </c>
      <c r="U26" s="201" t="str">
        <f>VLOOKUP(S26,'SALE HSN MASTER '!$A$6:$D$20,3,FALSE)</f>
        <v>NOS-NUMBERS</v>
      </c>
      <c r="V26" s="201" t="str">
        <f>VLOOKUP(S26,'SALE HSN MASTER '!$A$6:$D$20,4,FALSE)</f>
        <v>Service</v>
      </c>
      <c r="W26" s="401">
        <v>12</v>
      </c>
    </row>
    <row r="27" spans="1:23" ht="14.4" x14ac:dyDescent="0.3">
      <c r="A27" s="423" t="s">
        <v>27</v>
      </c>
      <c r="B27" s="199" t="str">
        <f>VLOOKUP(A27,'SALE PARTY MASTR '!$B$5:$G$280,2,FALSE)</f>
        <v>Rinder India Pvt Ltd.</v>
      </c>
      <c r="C27" s="397" t="s">
        <v>1000</v>
      </c>
      <c r="D27" s="398">
        <v>43133</v>
      </c>
      <c r="E27" s="320">
        <f t="shared" ref="E27:E90" si="5">+K27+M27+N27+O27</f>
        <v>35400</v>
      </c>
      <c r="F27" s="321" t="str">
        <f>VLOOKUP(A27,'SALE PARTY MASTR '!$B$5:$I$105,3,FALSE)</f>
        <v>27-Maharashatra</v>
      </c>
      <c r="G27" s="321" t="str">
        <f>VLOOKUP(A27,'SALE PARTY MASTR '!$B$5:$I$105,4,FALSE)</f>
        <v>N</v>
      </c>
      <c r="H27" s="321" t="str">
        <f>VLOOKUP(A27,'SALE PARTY MASTR '!$B$5:$I$105,5,FALSE)</f>
        <v>Regular</v>
      </c>
      <c r="I27" s="321">
        <f>VLOOKUP(A27,'SALE PARTY MASTR '!$B$5:$I$105,6,FALSE)</f>
        <v>0</v>
      </c>
      <c r="J27" s="262">
        <f>VLOOKUP(S27,'SALE HSN MASTER '!$A$6:$E$20,5,FALSE)</f>
        <v>18</v>
      </c>
      <c r="K27" s="400">
        <v>30000</v>
      </c>
      <c r="L27" s="184"/>
      <c r="M27" s="322">
        <f t="shared" ref="M27:M90" si="6">+IF(P27=1,0,IF(N27=0,J27*K27/100,0))</f>
        <v>0</v>
      </c>
      <c r="N27" s="322">
        <f t="shared" si="3"/>
        <v>2700</v>
      </c>
      <c r="O27" s="322">
        <f t="shared" si="4"/>
        <v>2700</v>
      </c>
      <c r="P27" s="199">
        <f>VLOOKUP(A27,'SALE PARTY MASTR '!$B$5:$I$105,7,FALSE)</f>
        <v>2</v>
      </c>
      <c r="Q27" s="199" t="str">
        <f>VLOOKUP(A27,'SALE PARTY MASTR '!$B$5:$I$105,8,FALSE)</f>
        <v>Local Sale</v>
      </c>
      <c r="R27" s="199" t="s">
        <v>894</v>
      </c>
      <c r="S27" s="401">
        <v>85129000</v>
      </c>
      <c r="T27" s="201" t="str">
        <f>VLOOKUP(S27,'SALE HSN MASTER '!$A$6:$D$20,2,FALSE)</f>
        <v>Parts &amp; Accessories Of Motor Vehicles Other</v>
      </c>
      <c r="U27" s="201" t="str">
        <f>VLOOKUP(S27,'SALE HSN MASTER '!$A$6:$D$20,3,FALSE)</f>
        <v>NOS-NUMBERS</v>
      </c>
      <c r="V27" s="201" t="str">
        <f>VLOOKUP(S27,'SALE HSN MASTER '!$A$6:$D$20,4,FALSE)</f>
        <v>Goods</v>
      </c>
      <c r="W27" s="401">
        <v>1200</v>
      </c>
    </row>
    <row r="28" spans="1:23" ht="14.4" x14ac:dyDescent="0.3">
      <c r="A28" s="423" t="s">
        <v>23</v>
      </c>
      <c r="B28" s="199" t="str">
        <f>VLOOKUP(A28,'SALE PARTY MASTR '!$B$5:$G$280,2,FALSE)</f>
        <v>Varroc Polymers Pvt.ltd.</v>
      </c>
      <c r="C28" s="397" t="s">
        <v>1001</v>
      </c>
      <c r="D28" s="398">
        <v>43133</v>
      </c>
      <c r="E28" s="320">
        <f t="shared" si="5"/>
        <v>48092.928</v>
      </c>
      <c r="F28" s="321" t="str">
        <f>VLOOKUP(A28,'SALE PARTY MASTR '!$B$5:$I$105,3,FALSE)</f>
        <v>27-Maharashatra</v>
      </c>
      <c r="G28" s="321" t="str">
        <f>VLOOKUP(A28,'SALE PARTY MASTR '!$B$5:$I$105,4,FALSE)</f>
        <v>N</v>
      </c>
      <c r="H28" s="321" t="str">
        <f>VLOOKUP(A28,'SALE PARTY MASTR '!$B$5:$I$105,5,FALSE)</f>
        <v>Regular</v>
      </c>
      <c r="I28" s="321">
        <f>VLOOKUP(A28,'SALE PARTY MASTR '!$B$5:$I$105,6,FALSE)</f>
        <v>0</v>
      </c>
      <c r="J28" s="262">
        <f>VLOOKUP(S28,'SALE HSN MASTER '!$A$6:$E$20,5,FALSE)</f>
        <v>28</v>
      </c>
      <c r="K28" s="400">
        <v>37572.6</v>
      </c>
      <c r="L28" s="184"/>
      <c r="M28" s="322">
        <f t="shared" si="6"/>
        <v>0</v>
      </c>
      <c r="N28" s="322">
        <f t="shared" si="3"/>
        <v>5260.1640000000007</v>
      </c>
      <c r="O28" s="322">
        <f t="shared" si="4"/>
        <v>5260.1640000000007</v>
      </c>
      <c r="P28" s="199">
        <f>VLOOKUP(A28,'SALE PARTY MASTR '!$B$5:$I$105,7,FALSE)</f>
        <v>2</v>
      </c>
      <c r="Q28" s="199" t="str">
        <f>VLOOKUP(A28,'SALE PARTY MASTR '!$B$5:$I$105,8,FALSE)</f>
        <v>Local Sale</v>
      </c>
      <c r="R28" s="199" t="s">
        <v>897</v>
      </c>
      <c r="S28" s="401">
        <v>87081090</v>
      </c>
      <c r="T28" s="201" t="str">
        <f>VLOOKUP(S28,'SALE HSN MASTER '!$A$6:$D$20,2,FALSE)</f>
        <v>Parts &amp; Accessories Of Motor Vehicles Other</v>
      </c>
      <c r="U28" s="201" t="str">
        <f>VLOOKUP(S28,'SALE HSN MASTER '!$A$6:$D$20,3,FALSE)</f>
        <v>NOS-NUMBERS</v>
      </c>
      <c r="V28" s="201" t="str">
        <f>VLOOKUP(S28,'SALE HSN MASTER '!$A$6:$D$20,4,FALSE)</f>
        <v>Goods</v>
      </c>
      <c r="W28" s="401">
        <v>520</v>
      </c>
    </row>
    <row r="29" spans="1:23" ht="14.4" x14ac:dyDescent="0.3">
      <c r="A29" s="423" t="s">
        <v>23</v>
      </c>
      <c r="B29" s="199" t="str">
        <f>VLOOKUP(A29,'SALE PARTY MASTR '!$B$5:$G$280,2,FALSE)</f>
        <v>Varroc Polymers Pvt.ltd.</v>
      </c>
      <c r="C29" s="397" t="s">
        <v>1002</v>
      </c>
      <c r="D29" s="398">
        <v>43133</v>
      </c>
      <c r="E29" s="320">
        <f t="shared" si="5"/>
        <v>12714.240000000002</v>
      </c>
      <c r="F29" s="321" t="str">
        <f>VLOOKUP(A29,'SALE PARTY MASTR '!$B$5:$I$105,3,FALSE)</f>
        <v>27-Maharashatra</v>
      </c>
      <c r="G29" s="321" t="str">
        <f>VLOOKUP(A29,'SALE PARTY MASTR '!$B$5:$I$105,4,FALSE)</f>
        <v>N</v>
      </c>
      <c r="H29" s="321" t="str">
        <f>VLOOKUP(A29,'SALE PARTY MASTR '!$B$5:$I$105,5,FALSE)</f>
        <v>Regular</v>
      </c>
      <c r="I29" s="321">
        <f>VLOOKUP(A29,'SALE PARTY MASTR '!$B$5:$I$105,6,FALSE)</f>
        <v>0</v>
      </c>
      <c r="J29" s="262">
        <f>VLOOKUP(S29,'SALE HSN MASTER '!$A$6:$E$20,5,FALSE)</f>
        <v>28</v>
      </c>
      <c r="K29" s="400">
        <v>9933</v>
      </c>
      <c r="L29" s="184"/>
      <c r="M29" s="322">
        <f t="shared" si="6"/>
        <v>0</v>
      </c>
      <c r="N29" s="322">
        <f t="shared" si="3"/>
        <v>1390.6200000000001</v>
      </c>
      <c r="O29" s="322">
        <f t="shared" si="4"/>
        <v>1390.6200000000001</v>
      </c>
      <c r="P29" s="199">
        <f>VLOOKUP(A29,'SALE PARTY MASTR '!$B$5:$I$105,7,FALSE)</f>
        <v>2</v>
      </c>
      <c r="Q29" s="199" t="str">
        <f>VLOOKUP(A29,'SALE PARTY MASTR '!$B$5:$I$105,8,FALSE)</f>
        <v>Local Sale</v>
      </c>
      <c r="R29" s="199" t="s">
        <v>897</v>
      </c>
      <c r="S29" s="401">
        <v>87141090</v>
      </c>
      <c r="T29" s="201" t="str">
        <f>VLOOKUP(S29,'SALE HSN MASTER '!$A$6:$D$20,2,FALSE)</f>
        <v>Parts &amp; Accessories Of Motor Vehicles Other</v>
      </c>
      <c r="U29" s="201" t="str">
        <f>VLOOKUP(S29,'SALE HSN MASTER '!$A$6:$D$20,3,FALSE)</f>
        <v>NOS-NUMBERS</v>
      </c>
      <c r="V29" s="201" t="str">
        <f>VLOOKUP(S29,'SALE HSN MASTER '!$A$6:$D$20,4,FALSE)</f>
        <v>Goods</v>
      </c>
      <c r="W29" s="401">
        <v>132</v>
      </c>
    </row>
    <row r="30" spans="1:23" ht="14.4" x14ac:dyDescent="0.3">
      <c r="A30" s="423" t="s">
        <v>24</v>
      </c>
      <c r="B30" s="199" t="str">
        <f>VLOOKUP(A30,'SALE PARTY MASTR '!$B$5:$G$280,2,FALSE)</f>
        <v>Tata Autocomp Systems LTD.(X1)</v>
      </c>
      <c r="C30" s="397" t="s">
        <v>1003</v>
      </c>
      <c r="D30" s="398">
        <v>43133</v>
      </c>
      <c r="E30" s="320">
        <f t="shared" si="5"/>
        <v>36199.987200000003</v>
      </c>
      <c r="F30" s="321" t="str">
        <f>VLOOKUP(A30,'SALE PARTY MASTR '!$B$5:$I$105,3,FALSE)</f>
        <v>27-Maharashatra</v>
      </c>
      <c r="G30" s="321" t="str">
        <f>VLOOKUP(A30,'SALE PARTY MASTR '!$B$5:$I$105,4,FALSE)</f>
        <v>N</v>
      </c>
      <c r="H30" s="321" t="str">
        <f>VLOOKUP(A30,'SALE PARTY MASTR '!$B$5:$I$105,5,FALSE)</f>
        <v>Regular</v>
      </c>
      <c r="I30" s="321">
        <f>VLOOKUP(A30,'SALE PARTY MASTR '!$B$5:$I$105,6,FALSE)</f>
        <v>0</v>
      </c>
      <c r="J30" s="262">
        <f>VLOOKUP(S30,'SALE HSN MASTER '!$A$6:$E$20,5,FALSE)</f>
        <v>28</v>
      </c>
      <c r="K30" s="400">
        <v>28281.24</v>
      </c>
      <c r="L30" s="184"/>
      <c r="M30" s="322">
        <f t="shared" si="6"/>
        <v>0</v>
      </c>
      <c r="N30" s="322">
        <f t="shared" si="3"/>
        <v>3959.3736000000008</v>
      </c>
      <c r="O30" s="322">
        <f t="shared" si="4"/>
        <v>3959.3736000000008</v>
      </c>
      <c r="P30" s="199">
        <f>VLOOKUP(A30,'SALE PARTY MASTR '!$B$5:$I$105,7,FALSE)</f>
        <v>2</v>
      </c>
      <c r="Q30" s="199" t="str">
        <f>VLOOKUP(A30,'SALE PARTY MASTR '!$B$5:$I$105,8,FALSE)</f>
        <v>Local Sale</v>
      </c>
      <c r="R30" s="199" t="s">
        <v>897</v>
      </c>
      <c r="S30" s="401">
        <v>87089900</v>
      </c>
      <c r="T30" s="201" t="str">
        <f>VLOOKUP(S30,'SALE HSN MASTER '!$A$6:$D$20,2,FALSE)</f>
        <v>Parts &amp; Accessories Of Motor Vehicles Other</v>
      </c>
      <c r="U30" s="201" t="str">
        <f>VLOOKUP(S30,'SALE HSN MASTER '!$A$6:$D$20,3,FALSE)</f>
        <v>NOS-NUMBERS</v>
      </c>
      <c r="V30" s="201" t="str">
        <f>VLOOKUP(S30,'SALE HSN MASTER '!$A$6:$D$20,4,FALSE)</f>
        <v>Goods</v>
      </c>
      <c r="W30" s="401">
        <v>68</v>
      </c>
    </row>
    <row r="31" spans="1:23" ht="14.4" x14ac:dyDescent="0.3">
      <c r="A31" s="423" t="s">
        <v>24</v>
      </c>
      <c r="B31" s="199" t="str">
        <f>VLOOKUP(A31,'SALE PARTY MASTR '!$B$5:$G$280,2,FALSE)</f>
        <v>Tata Autocomp Systems LTD.(X1)</v>
      </c>
      <c r="C31" s="397" t="s">
        <v>1004</v>
      </c>
      <c r="D31" s="398">
        <v>43133</v>
      </c>
      <c r="E31" s="320">
        <f t="shared" si="5"/>
        <v>24609.587200000005</v>
      </c>
      <c r="F31" s="321" t="str">
        <f>VLOOKUP(A31,'SALE PARTY MASTR '!$B$5:$I$105,3,FALSE)</f>
        <v>27-Maharashatra</v>
      </c>
      <c r="G31" s="321" t="str">
        <f>VLOOKUP(A31,'SALE PARTY MASTR '!$B$5:$I$105,4,FALSE)</f>
        <v>N</v>
      </c>
      <c r="H31" s="321" t="str">
        <f>VLOOKUP(A31,'SALE PARTY MASTR '!$B$5:$I$105,5,FALSE)</f>
        <v>Regular</v>
      </c>
      <c r="I31" s="321">
        <f>VLOOKUP(A31,'SALE PARTY MASTR '!$B$5:$I$105,6,FALSE)</f>
        <v>0</v>
      </c>
      <c r="J31" s="262">
        <f>VLOOKUP(S31,'SALE HSN MASTER '!$A$6:$E$20,5,FALSE)</f>
        <v>28</v>
      </c>
      <c r="K31" s="400">
        <v>19226.240000000002</v>
      </c>
      <c r="L31" s="184"/>
      <c r="M31" s="322">
        <f t="shared" si="6"/>
        <v>0</v>
      </c>
      <c r="N31" s="322">
        <f t="shared" si="3"/>
        <v>2691.6736000000005</v>
      </c>
      <c r="O31" s="322">
        <f t="shared" si="4"/>
        <v>2691.6736000000005</v>
      </c>
      <c r="P31" s="199">
        <f>VLOOKUP(A31,'SALE PARTY MASTR '!$B$5:$I$105,7,FALSE)</f>
        <v>2</v>
      </c>
      <c r="Q31" s="199" t="str">
        <f>VLOOKUP(A31,'SALE PARTY MASTR '!$B$5:$I$105,8,FALSE)</f>
        <v>Local Sale</v>
      </c>
      <c r="R31" s="199" t="s">
        <v>897</v>
      </c>
      <c r="S31" s="401">
        <v>87089900</v>
      </c>
      <c r="T31" s="201" t="str">
        <f>VLOOKUP(S31,'SALE HSN MASTER '!$A$6:$D$20,2,FALSE)</f>
        <v>Parts &amp; Accessories Of Motor Vehicles Other</v>
      </c>
      <c r="U31" s="201" t="str">
        <f>VLOOKUP(S31,'SALE HSN MASTER '!$A$6:$D$20,3,FALSE)</f>
        <v>NOS-NUMBERS</v>
      </c>
      <c r="V31" s="201" t="str">
        <f>VLOOKUP(S31,'SALE HSN MASTER '!$A$6:$D$20,4,FALSE)</f>
        <v>Goods</v>
      </c>
      <c r="W31" s="401">
        <v>32</v>
      </c>
    </row>
    <row r="32" spans="1:23" ht="14.4" x14ac:dyDescent="0.3">
      <c r="A32" s="423" t="s">
        <v>23</v>
      </c>
      <c r="B32" s="199" t="str">
        <f>VLOOKUP(A32,'SALE PARTY MASTR '!$B$5:$G$280,2,FALSE)</f>
        <v>Varroc Polymers Pvt.ltd.</v>
      </c>
      <c r="C32" s="397" t="s">
        <v>1005</v>
      </c>
      <c r="D32" s="398">
        <v>43134</v>
      </c>
      <c r="E32" s="320">
        <f t="shared" si="5"/>
        <v>44393.472000000002</v>
      </c>
      <c r="F32" s="321" t="str">
        <f>VLOOKUP(A32,'SALE PARTY MASTR '!$B$5:$I$105,3,FALSE)</f>
        <v>27-Maharashatra</v>
      </c>
      <c r="G32" s="321" t="str">
        <f>VLOOKUP(A32,'SALE PARTY MASTR '!$B$5:$I$105,4,FALSE)</f>
        <v>N</v>
      </c>
      <c r="H32" s="321" t="str">
        <f>VLOOKUP(A32,'SALE PARTY MASTR '!$B$5:$I$105,5,FALSE)</f>
        <v>Regular</v>
      </c>
      <c r="I32" s="321">
        <f>VLOOKUP(A32,'SALE PARTY MASTR '!$B$5:$I$105,6,FALSE)</f>
        <v>0</v>
      </c>
      <c r="J32" s="262">
        <f>VLOOKUP(S32,'SALE HSN MASTER '!$A$6:$E$20,5,FALSE)</f>
        <v>28</v>
      </c>
      <c r="K32" s="400">
        <v>34682.400000000001</v>
      </c>
      <c r="L32" s="184"/>
      <c r="M32" s="322">
        <f t="shared" si="6"/>
        <v>0</v>
      </c>
      <c r="N32" s="322">
        <f t="shared" si="3"/>
        <v>4855.536000000001</v>
      </c>
      <c r="O32" s="322">
        <f t="shared" si="4"/>
        <v>4855.536000000001</v>
      </c>
      <c r="P32" s="199">
        <f>VLOOKUP(A32,'SALE PARTY MASTR '!$B$5:$I$105,7,FALSE)</f>
        <v>2</v>
      </c>
      <c r="Q32" s="199" t="str">
        <f>VLOOKUP(A32,'SALE PARTY MASTR '!$B$5:$I$105,8,FALSE)</f>
        <v>Local Sale</v>
      </c>
      <c r="R32" s="199" t="s">
        <v>897</v>
      </c>
      <c r="S32" s="401">
        <v>87081090</v>
      </c>
      <c r="T32" s="201" t="str">
        <f>VLOOKUP(S32,'SALE HSN MASTER '!$A$6:$D$20,2,FALSE)</f>
        <v>Parts &amp; Accessories Of Motor Vehicles Other</v>
      </c>
      <c r="U32" s="201" t="str">
        <f>VLOOKUP(S32,'SALE HSN MASTER '!$A$6:$D$20,3,FALSE)</f>
        <v>NOS-NUMBERS</v>
      </c>
      <c r="V32" s="201" t="str">
        <f>VLOOKUP(S32,'SALE HSN MASTER '!$A$6:$D$20,4,FALSE)</f>
        <v>Goods</v>
      </c>
      <c r="W32" s="401">
        <v>480</v>
      </c>
    </row>
    <row r="33" spans="1:23" ht="14.4" x14ac:dyDescent="0.3">
      <c r="A33" s="423" t="s">
        <v>22</v>
      </c>
      <c r="B33" s="199" t="str">
        <f>VLOOKUP(A33,'SALE PARTY MASTR '!$B$5:$G$280,2,FALSE)</f>
        <v>Japtech Industries</v>
      </c>
      <c r="C33" s="397" t="s">
        <v>1006</v>
      </c>
      <c r="D33" s="398">
        <v>43134</v>
      </c>
      <c r="E33" s="320">
        <f t="shared" si="5"/>
        <v>10058.556</v>
      </c>
      <c r="F33" s="321" t="str">
        <f>VLOOKUP(A33,'SALE PARTY MASTR '!$B$5:$I$105,3,FALSE)</f>
        <v>27-Maharashatra</v>
      </c>
      <c r="G33" s="321" t="str">
        <f>VLOOKUP(A33,'SALE PARTY MASTR '!$B$5:$I$105,4,FALSE)</f>
        <v>N</v>
      </c>
      <c r="H33" s="321" t="str">
        <f>VLOOKUP(A33,'SALE PARTY MASTR '!$B$5:$I$105,5,FALSE)</f>
        <v>Regular</v>
      </c>
      <c r="I33" s="321">
        <f>VLOOKUP(A33,'SALE PARTY MASTR '!$B$5:$I$105,6,FALSE)</f>
        <v>0</v>
      </c>
      <c r="J33" s="262">
        <f>VLOOKUP(S33,'SALE HSN MASTER '!$A$6:$E$20,5,FALSE)</f>
        <v>18</v>
      </c>
      <c r="K33" s="400">
        <v>8524.2000000000007</v>
      </c>
      <c r="L33" s="184"/>
      <c r="M33" s="322">
        <f t="shared" si="6"/>
        <v>0</v>
      </c>
      <c r="N33" s="322">
        <f t="shared" si="3"/>
        <v>767.178</v>
      </c>
      <c r="O33" s="322">
        <f t="shared" si="4"/>
        <v>767.178</v>
      </c>
      <c r="P33" s="199">
        <f>VLOOKUP(A33,'SALE PARTY MASTR '!$B$5:$I$105,7,FALSE)</f>
        <v>2</v>
      </c>
      <c r="Q33" s="199" t="str">
        <f>VLOOKUP(A33,'SALE PARTY MASTR '!$B$5:$I$105,8,FALSE)</f>
        <v>Local Sale</v>
      </c>
      <c r="R33" s="199" t="s">
        <v>894</v>
      </c>
      <c r="S33" s="401">
        <v>998898</v>
      </c>
      <c r="T33" s="201" t="str">
        <f>VLOOKUP(S33,'SALE HSN MASTER '!$A$6:$D$20,2,FALSE)</f>
        <v>Parts &amp; Accessories Of Motor Vehicles Other</v>
      </c>
      <c r="U33" s="201" t="str">
        <f>VLOOKUP(S33,'SALE HSN MASTER '!$A$6:$D$20,3,FALSE)</f>
        <v>NOS-NUMBERS</v>
      </c>
      <c r="V33" s="201" t="str">
        <f>VLOOKUP(S33,'SALE HSN MASTER '!$A$6:$D$20,4,FALSE)</f>
        <v>Service</v>
      </c>
      <c r="W33" s="401">
        <v>30</v>
      </c>
    </row>
    <row r="34" spans="1:23" ht="14.4" x14ac:dyDescent="0.3">
      <c r="A34" s="423" t="s">
        <v>23</v>
      </c>
      <c r="B34" s="199" t="str">
        <f>VLOOKUP(A34,'SALE PARTY MASTR '!$B$5:$G$280,2,FALSE)</f>
        <v>Varroc Polymers Pvt.ltd.</v>
      </c>
      <c r="C34" s="397" t="s">
        <v>1007</v>
      </c>
      <c r="D34" s="398">
        <v>43134</v>
      </c>
      <c r="E34" s="320">
        <f t="shared" si="5"/>
        <v>39954.124799999998</v>
      </c>
      <c r="F34" s="321" t="str">
        <f>VLOOKUP(A34,'SALE PARTY MASTR '!$B$5:$I$105,3,FALSE)</f>
        <v>27-Maharashatra</v>
      </c>
      <c r="G34" s="321" t="str">
        <f>VLOOKUP(A34,'SALE PARTY MASTR '!$B$5:$I$105,4,FALSE)</f>
        <v>N</v>
      </c>
      <c r="H34" s="321" t="str">
        <f>VLOOKUP(A34,'SALE PARTY MASTR '!$B$5:$I$105,5,FALSE)</f>
        <v>Regular</v>
      </c>
      <c r="I34" s="321">
        <f>VLOOKUP(A34,'SALE PARTY MASTR '!$B$5:$I$105,6,FALSE)</f>
        <v>0</v>
      </c>
      <c r="J34" s="262">
        <f>VLOOKUP(S34,'SALE HSN MASTER '!$A$6:$E$20,5,FALSE)</f>
        <v>28</v>
      </c>
      <c r="K34" s="400">
        <v>31214.16</v>
      </c>
      <c r="L34" s="184"/>
      <c r="M34" s="322">
        <f t="shared" si="6"/>
        <v>0</v>
      </c>
      <c r="N34" s="322">
        <f t="shared" si="3"/>
        <v>4369.9824000000008</v>
      </c>
      <c r="O34" s="322">
        <f t="shared" si="4"/>
        <v>4369.9824000000008</v>
      </c>
      <c r="P34" s="199">
        <f>VLOOKUP(A34,'SALE PARTY MASTR '!$B$5:$I$105,7,FALSE)</f>
        <v>2</v>
      </c>
      <c r="Q34" s="199" t="str">
        <f>VLOOKUP(A34,'SALE PARTY MASTR '!$B$5:$I$105,8,FALSE)</f>
        <v>Local Sale</v>
      </c>
      <c r="R34" s="199" t="s">
        <v>897</v>
      </c>
      <c r="S34" s="401">
        <v>87081090</v>
      </c>
      <c r="T34" s="201" t="str">
        <f>VLOOKUP(S34,'SALE HSN MASTER '!$A$6:$D$20,2,FALSE)</f>
        <v>Parts &amp; Accessories Of Motor Vehicles Other</v>
      </c>
      <c r="U34" s="201" t="str">
        <f>VLOOKUP(S34,'SALE HSN MASTER '!$A$6:$D$20,3,FALSE)</f>
        <v>NOS-NUMBERS</v>
      </c>
      <c r="V34" s="201" t="str">
        <f>VLOOKUP(S34,'SALE HSN MASTER '!$A$6:$D$20,4,FALSE)</f>
        <v>Goods</v>
      </c>
      <c r="W34" s="401">
        <v>432</v>
      </c>
    </row>
    <row r="35" spans="1:23" ht="14.4" x14ac:dyDescent="0.3">
      <c r="A35" s="423" t="s">
        <v>24</v>
      </c>
      <c r="B35" s="199" t="str">
        <f>VLOOKUP(A35,'SALE PARTY MASTR '!$B$5:$G$280,2,FALSE)</f>
        <v>Tata Autocomp Systems LTD.(X1)</v>
      </c>
      <c r="C35" s="397" t="s">
        <v>1008</v>
      </c>
      <c r="D35" s="398">
        <v>43134</v>
      </c>
      <c r="E35" s="320">
        <f t="shared" si="5"/>
        <v>20130.457600000002</v>
      </c>
      <c r="F35" s="321" t="str">
        <f>VLOOKUP(A35,'SALE PARTY MASTR '!$B$5:$I$105,3,FALSE)</f>
        <v>27-Maharashatra</v>
      </c>
      <c r="G35" s="321" t="str">
        <f>VLOOKUP(A35,'SALE PARTY MASTR '!$B$5:$I$105,4,FALSE)</f>
        <v>N</v>
      </c>
      <c r="H35" s="321" t="str">
        <f>VLOOKUP(A35,'SALE PARTY MASTR '!$B$5:$I$105,5,FALSE)</f>
        <v>Regular</v>
      </c>
      <c r="I35" s="321">
        <f>VLOOKUP(A35,'SALE PARTY MASTR '!$B$5:$I$105,6,FALSE)</f>
        <v>0</v>
      </c>
      <c r="J35" s="262">
        <f>VLOOKUP(S35,'SALE HSN MASTER '!$A$6:$E$20,5,FALSE)</f>
        <v>28</v>
      </c>
      <c r="K35" s="400">
        <v>15726.92</v>
      </c>
      <c r="L35" s="184"/>
      <c r="M35" s="322">
        <f t="shared" si="6"/>
        <v>0</v>
      </c>
      <c r="N35" s="322">
        <f t="shared" si="3"/>
        <v>2201.7688000000003</v>
      </c>
      <c r="O35" s="322">
        <f t="shared" si="4"/>
        <v>2201.7688000000003</v>
      </c>
      <c r="P35" s="199">
        <f>VLOOKUP(A35,'SALE PARTY MASTR '!$B$5:$I$105,7,FALSE)</f>
        <v>2</v>
      </c>
      <c r="Q35" s="199" t="str">
        <f>VLOOKUP(A35,'SALE PARTY MASTR '!$B$5:$I$105,8,FALSE)</f>
        <v>Local Sale</v>
      </c>
      <c r="R35" s="199" t="s">
        <v>897</v>
      </c>
      <c r="S35" s="401">
        <v>87089900</v>
      </c>
      <c r="T35" s="201" t="str">
        <f>VLOOKUP(S35,'SALE HSN MASTER '!$A$6:$D$20,2,FALSE)</f>
        <v>Parts &amp; Accessories Of Motor Vehicles Other</v>
      </c>
      <c r="U35" s="201" t="str">
        <f>VLOOKUP(S35,'SALE HSN MASTER '!$A$6:$D$20,3,FALSE)</f>
        <v>NOS-NUMBERS</v>
      </c>
      <c r="V35" s="201" t="str">
        <f>VLOOKUP(S35,'SALE HSN MASTER '!$A$6:$D$20,4,FALSE)</f>
        <v>Goods</v>
      </c>
      <c r="W35" s="401">
        <v>44</v>
      </c>
    </row>
    <row r="36" spans="1:23" ht="14.4" x14ac:dyDescent="0.3">
      <c r="A36" s="423" t="s">
        <v>24</v>
      </c>
      <c r="B36" s="199" t="str">
        <f>VLOOKUP(A36,'SALE PARTY MASTR '!$B$5:$G$280,2,FALSE)</f>
        <v>Tata Autocomp Systems LTD.(X1)</v>
      </c>
      <c r="C36" s="397" t="s">
        <v>1009</v>
      </c>
      <c r="D36" s="398">
        <v>43134</v>
      </c>
      <c r="E36" s="320">
        <f t="shared" si="5"/>
        <v>6152.3968000000013</v>
      </c>
      <c r="F36" s="321" t="str">
        <f>VLOOKUP(A36,'SALE PARTY MASTR '!$B$5:$I$105,3,FALSE)</f>
        <v>27-Maharashatra</v>
      </c>
      <c r="G36" s="321" t="str">
        <f>VLOOKUP(A36,'SALE PARTY MASTR '!$B$5:$I$105,4,FALSE)</f>
        <v>N</v>
      </c>
      <c r="H36" s="321" t="str">
        <f>VLOOKUP(A36,'SALE PARTY MASTR '!$B$5:$I$105,5,FALSE)</f>
        <v>Regular</v>
      </c>
      <c r="I36" s="321">
        <f>VLOOKUP(A36,'SALE PARTY MASTR '!$B$5:$I$105,6,FALSE)</f>
        <v>0</v>
      </c>
      <c r="J36" s="262">
        <f>VLOOKUP(S36,'SALE HSN MASTER '!$A$6:$E$20,5,FALSE)</f>
        <v>28</v>
      </c>
      <c r="K36" s="400">
        <v>4806.5600000000004</v>
      </c>
      <c r="L36" s="184"/>
      <c r="M36" s="322">
        <f t="shared" si="6"/>
        <v>0</v>
      </c>
      <c r="N36" s="322">
        <f t="shared" si="3"/>
        <v>672.91840000000013</v>
      </c>
      <c r="O36" s="322">
        <f t="shared" si="4"/>
        <v>672.91840000000013</v>
      </c>
      <c r="P36" s="199">
        <f>VLOOKUP(A36,'SALE PARTY MASTR '!$B$5:$I$105,7,FALSE)</f>
        <v>2</v>
      </c>
      <c r="Q36" s="199" t="str">
        <f>VLOOKUP(A36,'SALE PARTY MASTR '!$B$5:$I$105,8,FALSE)</f>
        <v>Local Sale</v>
      </c>
      <c r="R36" s="199" t="s">
        <v>897</v>
      </c>
      <c r="S36" s="401">
        <v>87089900</v>
      </c>
      <c r="T36" s="201" t="str">
        <f>VLOOKUP(S36,'SALE HSN MASTER '!$A$6:$D$20,2,FALSE)</f>
        <v>Parts &amp; Accessories Of Motor Vehicles Other</v>
      </c>
      <c r="U36" s="201" t="str">
        <f>VLOOKUP(S36,'SALE HSN MASTER '!$A$6:$D$20,3,FALSE)</f>
        <v>NOS-NUMBERS</v>
      </c>
      <c r="V36" s="201" t="str">
        <f>VLOOKUP(S36,'SALE HSN MASTER '!$A$6:$D$20,4,FALSE)</f>
        <v>Goods</v>
      </c>
      <c r="W36" s="401">
        <v>8</v>
      </c>
    </row>
    <row r="37" spans="1:23" ht="14.4" x14ac:dyDescent="0.3">
      <c r="A37" s="423" t="s">
        <v>27</v>
      </c>
      <c r="B37" s="199" t="str">
        <f>VLOOKUP(A37,'SALE PARTY MASTR '!$B$5:$G$280,2,FALSE)</f>
        <v>Rinder India Pvt Ltd.</v>
      </c>
      <c r="C37" s="397" t="s">
        <v>1010</v>
      </c>
      <c r="D37" s="398">
        <v>43134</v>
      </c>
      <c r="E37" s="320">
        <f t="shared" si="5"/>
        <v>28320</v>
      </c>
      <c r="F37" s="321" t="str">
        <f>VLOOKUP(A37,'SALE PARTY MASTR '!$B$5:$I$105,3,FALSE)</f>
        <v>27-Maharashatra</v>
      </c>
      <c r="G37" s="321" t="str">
        <f>VLOOKUP(A37,'SALE PARTY MASTR '!$B$5:$I$105,4,FALSE)</f>
        <v>N</v>
      </c>
      <c r="H37" s="321" t="str">
        <f>VLOOKUP(A37,'SALE PARTY MASTR '!$B$5:$I$105,5,FALSE)</f>
        <v>Regular</v>
      </c>
      <c r="I37" s="321">
        <f>VLOOKUP(A37,'SALE PARTY MASTR '!$B$5:$I$105,6,FALSE)</f>
        <v>0</v>
      </c>
      <c r="J37" s="262">
        <f>VLOOKUP(S37,'SALE HSN MASTER '!$A$6:$E$20,5,FALSE)</f>
        <v>18</v>
      </c>
      <c r="K37" s="400">
        <v>24000</v>
      </c>
      <c r="L37" s="184"/>
      <c r="M37" s="322">
        <f t="shared" si="6"/>
        <v>0</v>
      </c>
      <c r="N37" s="322">
        <f t="shared" si="3"/>
        <v>2160</v>
      </c>
      <c r="O37" s="322">
        <f t="shared" si="4"/>
        <v>2160</v>
      </c>
      <c r="P37" s="199">
        <f>VLOOKUP(A37,'SALE PARTY MASTR '!$B$5:$I$105,7,FALSE)</f>
        <v>2</v>
      </c>
      <c r="Q37" s="199" t="str">
        <f>VLOOKUP(A37,'SALE PARTY MASTR '!$B$5:$I$105,8,FALSE)</f>
        <v>Local Sale</v>
      </c>
      <c r="R37" s="199" t="s">
        <v>894</v>
      </c>
      <c r="S37" s="401">
        <v>85129000</v>
      </c>
      <c r="T37" s="201" t="str">
        <f>VLOOKUP(S37,'SALE HSN MASTER '!$A$6:$D$20,2,FALSE)</f>
        <v>Parts &amp; Accessories Of Motor Vehicles Other</v>
      </c>
      <c r="U37" s="201" t="str">
        <f>VLOOKUP(S37,'SALE HSN MASTER '!$A$6:$D$20,3,FALSE)</f>
        <v>NOS-NUMBERS</v>
      </c>
      <c r="V37" s="201" t="str">
        <f>VLOOKUP(S37,'SALE HSN MASTER '!$A$6:$D$20,4,FALSE)</f>
        <v>Goods</v>
      </c>
      <c r="W37" s="401">
        <v>960</v>
      </c>
    </row>
    <row r="38" spans="1:23" ht="14.4" x14ac:dyDescent="0.3">
      <c r="A38" s="423" t="s">
        <v>23</v>
      </c>
      <c r="B38" s="199" t="str">
        <f>VLOOKUP(A38,'SALE PARTY MASTR '!$B$5:$G$280,2,FALSE)</f>
        <v>Varroc Polymers Pvt.ltd.</v>
      </c>
      <c r="C38" s="397" t="s">
        <v>1011</v>
      </c>
      <c r="D38" s="398">
        <v>43134</v>
      </c>
      <c r="E38" s="320">
        <f t="shared" si="5"/>
        <v>52162.329600000005</v>
      </c>
      <c r="F38" s="321" t="str">
        <f>VLOOKUP(A38,'SALE PARTY MASTR '!$B$5:$I$105,3,FALSE)</f>
        <v>27-Maharashatra</v>
      </c>
      <c r="G38" s="321" t="str">
        <f>VLOOKUP(A38,'SALE PARTY MASTR '!$B$5:$I$105,4,FALSE)</f>
        <v>N</v>
      </c>
      <c r="H38" s="321" t="str">
        <f>VLOOKUP(A38,'SALE PARTY MASTR '!$B$5:$I$105,5,FALSE)</f>
        <v>Regular</v>
      </c>
      <c r="I38" s="321">
        <f>VLOOKUP(A38,'SALE PARTY MASTR '!$B$5:$I$105,6,FALSE)</f>
        <v>0</v>
      </c>
      <c r="J38" s="262">
        <f>VLOOKUP(S38,'SALE HSN MASTER '!$A$6:$E$20,5,FALSE)</f>
        <v>28</v>
      </c>
      <c r="K38" s="400">
        <v>40751.82</v>
      </c>
      <c r="L38" s="184"/>
      <c r="M38" s="322">
        <f t="shared" si="6"/>
        <v>0</v>
      </c>
      <c r="N38" s="322">
        <f t="shared" si="3"/>
        <v>5705.2548000000006</v>
      </c>
      <c r="O38" s="322">
        <f t="shared" si="4"/>
        <v>5705.2548000000006</v>
      </c>
      <c r="P38" s="199">
        <f>VLOOKUP(A38,'SALE PARTY MASTR '!$B$5:$I$105,7,FALSE)</f>
        <v>2</v>
      </c>
      <c r="Q38" s="199" t="str">
        <f>VLOOKUP(A38,'SALE PARTY MASTR '!$B$5:$I$105,8,FALSE)</f>
        <v>Local Sale</v>
      </c>
      <c r="R38" s="199" t="s">
        <v>897</v>
      </c>
      <c r="S38" s="401">
        <v>87081090</v>
      </c>
      <c r="T38" s="201" t="str">
        <f>VLOOKUP(S38,'SALE HSN MASTER '!$A$6:$D$20,2,FALSE)</f>
        <v>Parts &amp; Accessories Of Motor Vehicles Other</v>
      </c>
      <c r="U38" s="201" t="str">
        <f>VLOOKUP(S38,'SALE HSN MASTER '!$A$6:$D$20,3,FALSE)</f>
        <v>NOS-NUMBERS</v>
      </c>
      <c r="V38" s="201" t="str">
        <f>VLOOKUP(S38,'SALE HSN MASTER '!$A$6:$D$20,4,FALSE)</f>
        <v>Goods</v>
      </c>
      <c r="W38" s="401">
        <v>564</v>
      </c>
    </row>
    <row r="39" spans="1:23" ht="14.4" x14ac:dyDescent="0.3">
      <c r="A39" s="423" t="s">
        <v>22</v>
      </c>
      <c r="B39" s="199" t="str">
        <f>VLOOKUP(A39,'SALE PARTY MASTR '!$B$5:$G$280,2,FALSE)</f>
        <v>Japtech Industries</v>
      </c>
      <c r="C39" s="397" t="s">
        <v>1012</v>
      </c>
      <c r="D39" s="398">
        <v>43134</v>
      </c>
      <c r="E39" s="320">
        <f t="shared" si="5"/>
        <v>10058.556</v>
      </c>
      <c r="F39" s="321" t="str">
        <f>VLOOKUP(A39,'SALE PARTY MASTR '!$B$5:$I$105,3,FALSE)</f>
        <v>27-Maharashatra</v>
      </c>
      <c r="G39" s="321" t="str">
        <f>VLOOKUP(A39,'SALE PARTY MASTR '!$B$5:$I$105,4,FALSE)</f>
        <v>N</v>
      </c>
      <c r="H39" s="321" t="str">
        <f>VLOOKUP(A39,'SALE PARTY MASTR '!$B$5:$I$105,5,FALSE)</f>
        <v>Regular</v>
      </c>
      <c r="I39" s="321">
        <f>VLOOKUP(A39,'SALE PARTY MASTR '!$B$5:$I$105,6,FALSE)</f>
        <v>0</v>
      </c>
      <c r="J39" s="262">
        <f>VLOOKUP(S39,'SALE HSN MASTER '!$A$6:$E$20,5,FALSE)</f>
        <v>18</v>
      </c>
      <c r="K39" s="400">
        <v>8524.2000000000007</v>
      </c>
      <c r="L39" s="184"/>
      <c r="M39" s="322">
        <f t="shared" si="6"/>
        <v>0</v>
      </c>
      <c r="N39" s="322">
        <f t="shared" si="3"/>
        <v>767.178</v>
      </c>
      <c r="O39" s="322">
        <f t="shared" si="4"/>
        <v>767.178</v>
      </c>
      <c r="P39" s="199">
        <f>VLOOKUP(A39,'SALE PARTY MASTR '!$B$5:$I$105,7,FALSE)</f>
        <v>2</v>
      </c>
      <c r="Q39" s="199" t="str">
        <f>VLOOKUP(A39,'SALE PARTY MASTR '!$B$5:$I$105,8,FALSE)</f>
        <v>Local Sale</v>
      </c>
      <c r="R39" s="199" t="s">
        <v>894</v>
      </c>
      <c r="S39" s="401">
        <v>998898</v>
      </c>
      <c r="T39" s="201" t="str">
        <f>VLOOKUP(S39,'SALE HSN MASTER '!$A$6:$D$20,2,FALSE)</f>
        <v>Parts &amp; Accessories Of Motor Vehicles Other</v>
      </c>
      <c r="U39" s="201" t="str">
        <f>VLOOKUP(S39,'SALE HSN MASTER '!$A$6:$D$20,3,FALSE)</f>
        <v>NOS-NUMBERS</v>
      </c>
      <c r="V39" s="201" t="str">
        <f>VLOOKUP(S39,'SALE HSN MASTER '!$A$6:$D$20,4,FALSE)</f>
        <v>Service</v>
      </c>
      <c r="W39" s="401">
        <v>30</v>
      </c>
    </row>
    <row r="40" spans="1:23" ht="14.4" x14ac:dyDescent="0.3">
      <c r="A40" s="423" t="s">
        <v>22</v>
      </c>
      <c r="B40" s="199" t="str">
        <f>VLOOKUP(A40,'SALE PARTY MASTR '!$B$5:$G$280,2,FALSE)</f>
        <v>Japtech Industries</v>
      </c>
      <c r="C40" s="397" t="s">
        <v>1013</v>
      </c>
      <c r="D40" s="398">
        <v>43134</v>
      </c>
      <c r="E40" s="320">
        <f t="shared" si="5"/>
        <v>24777.167999999998</v>
      </c>
      <c r="F40" s="321" t="str">
        <f>VLOOKUP(A40,'SALE PARTY MASTR '!$B$5:$I$105,3,FALSE)</f>
        <v>27-Maharashatra</v>
      </c>
      <c r="G40" s="321" t="str">
        <f>VLOOKUP(A40,'SALE PARTY MASTR '!$B$5:$I$105,4,FALSE)</f>
        <v>N</v>
      </c>
      <c r="H40" s="321" t="str">
        <f>VLOOKUP(A40,'SALE PARTY MASTR '!$B$5:$I$105,5,FALSE)</f>
        <v>Regular</v>
      </c>
      <c r="I40" s="321">
        <f>VLOOKUP(A40,'SALE PARTY MASTR '!$B$5:$I$105,6,FALSE)</f>
        <v>0</v>
      </c>
      <c r="J40" s="262">
        <f>VLOOKUP(S40,'SALE HSN MASTER '!$A$6:$E$20,5,FALSE)</f>
        <v>18</v>
      </c>
      <c r="K40" s="400">
        <v>20997.599999999999</v>
      </c>
      <c r="L40" s="184"/>
      <c r="M40" s="322">
        <f t="shared" si="6"/>
        <v>0</v>
      </c>
      <c r="N40" s="322">
        <f t="shared" si="3"/>
        <v>1889.7839999999999</v>
      </c>
      <c r="O40" s="322">
        <f t="shared" si="4"/>
        <v>1889.7839999999999</v>
      </c>
      <c r="P40" s="199">
        <f>VLOOKUP(A40,'SALE PARTY MASTR '!$B$5:$I$105,7,FALSE)</f>
        <v>2</v>
      </c>
      <c r="Q40" s="199" t="str">
        <f>VLOOKUP(A40,'SALE PARTY MASTR '!$B$5:$I$105,8,FALSE)</f>
        <v>Local Sale</v>
      </c>
      <c r="R40" s="199" t="s">
        <v>894</v>
      </c>
      <c r="S40" s="401">
        <v>998898</v>
      </c>
      <c r="T40" s="201" t="str">
        <f>VLOOKUP(S40,'SALE HSN MASTER '!$A$6:$D$20,2,FALSE)</f>
        <v>Parts &amp; Accessories Of Motor Vehicles Other</v>
      </c>
      <c r="U40" s="201" t="str">
        <f>VLOOKUP(S40,'SALE HSN MASTER '!$A$6:$D$20,3,FALSE)</f>
        <v>NOS-NUMBERS</v>
      </c>
      <c r="V40" s="201" t="str">
        <f>VLOOKUP(S40,'SALE HSN MASTER '!$A$6:$D$20,4,FALSE)</f>
        <v>Service</v>
      </c>
      <c r="W40" s="401">
        <v>24</v>
      </c>
    </row>
    <row r="41" spans="1:23" ht="14.4" x14ac:dyDescent="0.3">
      <c r="A41" s="423" t="s">
        <v>25</v>
      </c>
      <c r="B41" s="199" t="str">
        <f>VLOOKUP(A41,'SALE PARTY MASTR '!$B$5:$G$280,2,FALSE)</f>
        <v>VE Commercial vehicles Ltd</v>
      </c>
      <c r="C41" s="397" t="s">
        <v>1014</v>
      </c>
      <c r="D41" s="398">
        <v>43134</v>
      </c>
      <c r="E41" s="320">
        <f t="shared" si="5"/>
        <v>52910.323199999999</v>
      </c>
      <c r="F41" s="321" t="str">
        <f>VLOOKUP(A41,'SALE PARTY MASTR '!$B$5:$I$105,3,FALSE)</f>
        <v>23-Madhya Pradesh</v>
      </c>
      <c r="G41" s="321" t="str">
        <f>VLOOKUP(A41,'SALE PARTY MASTR '!$B$5:$I$105,4,FALSE)</f>
        <v>N</v>
      </c>
      <c r="H41" s="321" t="str">
        <f>VLOOKUP(A41,'SALE PARTY MASTR '!$B$5:$I$105,5,FALSE)</f>
        <v>Regular</v>
      </c>
      <c r="I41" s="321">
        <f>VLOOKUP(A41,'SALE PARTY MASTR '!$B$5:$I$105,6,FALSE)</f>
        <v>0</v>
      </c>
      <c r="J41" s="262">
        <f>VLOOKUP(S41,'SALE HSN MASTER '!$A$6:$E$20,5,FALSE)</f>
        <v>28</v>
      </c>
      <c r="K41" s="400">
        <v>41336.19</v>
      </c>
      <c r="L41" s="184"/>
      <c r="M41" s="322">
        <f t="shared" si="6"/>
        <v>11574.1332</v>
      </c>
      <c r="N41" s="322">
        <f t="shared" si="3"/>
        <v>0</v>
      </c>
      <c r="O41" s="322">
        <f t="shared" si="4"/>
        <v>0</v>
      </c>
      <c r="P41" s="199">
        <f>VLOOKUP(A41,'SALE PARTY MASTR '!$B$5:$I$105,7,FALSE)</f>
        <v>2</v>
      </c>
      <c r="Q41" s="199" t="str">
        <f>VLOOKUP(A41,'SALE PARTY MASTR '!$B$5:$I$105,8,FALSE)</f>
        <v>Oms Sale</v>
      </c>
      <c r="R41" s="199" t="s">
        <v>903</v>
      </c>
      <c r="S41" s="401">
        <v>87081090</v>
      </c>
      <c r="T41" s="201" t="str">
        <f>VLOOKUP(S41,'SALE HSN MASTER '!$A$6:$D$20,2,FALSE)</f>
        <v>Parts &amp; Accessories Of Motor Vehicles Other</v>
      </c>
      <c r="U41" s="201" t="str">
        <f>VLOOKUP(S41,'SALE HSN MASTER '!$A$6:$D$20,3,FALSE)</f>
        <v>NOS-NUMBERS</v>
      </c>
      <c r="V41" s="201" t="str">
        <f>VLOOKUP(S41,'SALE HSN MASTER '!$A$6:$D$20,4,FALSE)</f>
        <v>Goods</v>
      </c>
      <c r="W41" s="401">
        <v>21</v>
      </c>
    </row>
    <row r="42" spans="1:23" ht="14.4" x14ac:dyDescent="0.3">
      <c r="A42" s="423" t="s">
        <v>25</v>
      </c>
      <c r="B42" s="199" t="str">
        <f>VLOOKUP(A42,'SALE PARTY MASTR '!$B$5:$G$280,2,FALSE)</f>
        <v>VE Commercial vehicles Ltd</v>
      </c>
      <c r="C42" s="397" t="s">
        <v>1015</v>
      </c>
      <c r="D42" s="398">
        <v>43134</v>
      </c>
      <c r="E42" s="320">
        <f t="shared" si="5"/>
        <v>21630.412799999998</v>
      </c>
      <c r="F42" s="321" t="str">
        <f>VLOOKUP(A42,'SALE PARTY MASTR '!$B$5:$I$105,3,FALSE)</f>
        <v>23-Madhya Pradesh</v>
      </c>
      <c r="G42" s="321" t="str">
        <f>VLOOKUP(A42,'SALE PARTY MASTR '!$B$5:$I$105,4,FALSE)</f>
        <v>N</v>
      </c>
      <c r="H42" s="321" t="str">
        <f>VLOOKUP(A42,'SALE PARTY MASTR '!$B$5:$I$105,5,FALSE)</f>
        <v>Regular</v>
      </c>
      <c r="I42" s="321">
        <f>VLOOKUP(A42,'SALE PARTY MASTR '!$B$5:$I$105,6,FALSE)</f>
        <v>0</v>
      </c>
      <c r="J42" s="262">
        <f>VLOOKUP(S42,'SALE HSN MASTER '!$A$6:$E$20,5,FALSE)</f>
        <v>28</v>
      </c>
      <c r="K42" s="400">
        <v>16898.759999999998</v>
      </c>
      <c r="L42" s="184"/>
      <c r="M42" s="322">
        <f t="shared" si="6"/>
        <v>4731.6527999999998</v>
      </c>
      <c r="N42" s="322">
        <f t="shared" si="3"/>
        <v>0</v>
      </c>
      <c r="O42" s="322">
        <f t="shared" si="4"/>
        <v>0</v>
      </c>
      <c r="P42" s="199">
        <f>VLOOKUP(A42,'SALE PARTY MASTR '!$B$5:$I$105,7,FALSE)</f>
        <v>2</v>
      </c>
      <c r="Q42" s="199" t="str">
        <f>VLOOKUP(A42,'SALE PARTY MASTR '!$B$5:$I$105,8,FALSE)</f>
        <v>Oms Sale</v>
      </c>
      <c r="R42" s="199" t="s">
        <v>903</v>
      </c>
      <c r="S42" s="401">
        <v>87081090</v>
      </c>
      <c r="T42" s="201" t="str">
        <f>VLOOKUP(S42,'SALE HSN MASTER '!$A$6:$D$20,2,FALSE)</f>
        <v>Parts &amp; Accessories Of Motor Vehicles Other</v>
      </c>
      <c r="U42" s="201" t="str">
        <f>VLOOKUP(S42,'SALE HSN MASTER '!$A$6:$D$20,3,FALSE)</f>
        <v>NOS-NUMBERS</v>
      </c>
      <c r="V42" s="201" t="str">
        <f>VLOOKUP(S42,'SALE HSN MASTER '!$A$6:$D$20,4,FALSE)</f>
        <v>Goods</v>
      </c>
      <c r="W42" s="401">
        <v>18</v>
      </c>
    </row>
    <row r="43" spans="1:23" ht="14.4" x14ac:dyDescent="0.3">
      <c r="A43" s="423" t="s">
        <v>25</v>
      </c>
      <c r="B43" s="199" t="str">
        <f>VLOOKUP(A43,'SALE PARTY MASTR '!$B$5:$G$280,2,FALSE)</f>
        <v>VE Commercial vehicles Ltd</v>
      </c>
      <c r="C43" s="397" t="s">
        <v>1016</v>
      </c>
      <c r="D43" s="398">
        <v>43134</v>
      </c>
      <c r="E43" s="320">
        <f t="shared" si="5"/>
        <v>41690.879999999997</v>
      </c>
      <c r="F43" s="321" t="str">
        <f>VLOOKUP(A43,'SALE PARTY MASTR '!$B$5:$I$105,3,FALSE)</f>
        <v>23-Madhya Pradesh</v>
      </c>
      <c r="G43" s="321" t="str">
        <f>VLOOKUP(A43,'SALE PARTY MASTR '!$B$5:$I$105,4,FALSE)</f>
        <v>N</v>
      </c>
      <c r="H43" s="321" t="str">
        <f>VLOOKUP(A43,'SALE PARTY MASTR '!$B$5:$I$105,5,FALSE)</f>
        <v>Regular</v>
      </c>
      <c r="I43" s="321">
        <f>VLOOKUP(A43,'SALE PARTY MASTR '!$B$5:$I$105,6,FALSE)</f>
        <v>0</v>
      </c>
      <c r="J43" s="262">
        <f>VLOOKUP(S43,'SALE HSN MASTER '!$A$6:$E$20,5,FALSE)</f>
        <v>28</v>
      </c>
      <c r="K43" s="400">
        <v>32571</v>
      </c>
      <c r="L43" s="184"/>
      <c r="M43" s="322">
        <f t="shared" si="6"/>
        <v>9119.8799999999992</v>
      </c>
      <c r="N43" s="322">
        <f t="shared" si="3"/>
        <v>0</v>
      </c>
      <c r="O43" s="322">
        <f t="shared" si="4"/>
        <v>0</v>
      </c>
      <c r="P43" s="199">
        <f>VLOOKUP(A43,'SALE PARTY MASTR '!$B$5:$I$105,7,FALSE)</f>
        <v>2</v>
      </c>
      <c r="Q43" s="199" t="str">
        <f>VLOOKUP(A43,'SALE PARTY MASTR '!$B$5:$I$105,8,FALSE)</f>
        <v>Oms Sale</v>
      </c>
      <c r="R43" s="199" t="s">
        <v>903</v>
      </c>
      <c r="S43" s="401">
        <v>87081090</v>
      </c>
      <c r="T43" s="201" t="str">
        <f>VLOOKUP(S43,'SALE HSN MASTER '!$A$6:$D$20,2,FALSE)</f>
        <v>Parts &amp; Accessories Of Motor Vehicles Other</v>
      </c>
      <c r="U43" s="201" t="str">
        <f>VLOOKUP(S43,'SALE HSN MASTER '!$A$6:$D$20,3,FALSE)</f>
        <v>NOS-NUMBERS</v>
      </c>
      <c r="V43" s="201" t="str">
        <f>VLOOKUP(S43,'SALE HSN MASTER '!$A$6:$D$20,4,FALSE)</f>
        <v>Goods</v>
      </c>
      <c r="W43" s="401">
        <v>100</v>
      </c>
    </row>
    <row r="44" spans="1:23" ht="14.4" x14ac:dyDescent="0.3">
      <c r="A44" s="423" t="s">
        <v>23</v>
      </c>
      <c r="B44" s="199" t="str">
        <f>VLOOKUP(A44,'SALE PARTY MASTR '!$B$5:$G$280,2,FALSE)</f>
        <v>Varroc Polymers Pvt.ltd.</v>
      </c>
      <c r="C44" s="397" t="s">
        <v>1017</v>
      </c>
      <c r="D44" s="398">
        <v>43134</v>
      </c>
      <c r="E44" s="320">
        <f t="shared" si="5"/>
        <v>47742.720000000001</v>
      </c>
      <c r="F44" s="321" t="str">
        <f>VLOOKUP(A44,'SALE PARTY MASTR '!$B$5:$I$105,3,FALSE)</f>
        <v>27-Maharashatra</v>
      </c>
      <c r="G44" s="321" t="str">
        <f>VLOOKUP(A44,'SALE PARTY MASTR '!$B$5:$I$105,4,FALSE)</f>
        <v>N</v>
      </c>
      <c r="H44" s="321" t="str">
        <f>VLOOKUP(A44,'SALE PARTY MASTR '!$B$5:$I$105,5,FALSE)</f>
        <v>Regular</v>
      </c>
      <c r="I44" s="321">
        <f>VLOOKUP(A44,'SALE PARTY MASTR '!$B$5:$I$105,6,FALSE)</f>
        <v>0</v>
      </c>
      <c r="J44" s="262">
        <f>VLOOKUP(S44,'SALE HSN MASTER '!$A$6:$E$20,5,FALSE)</f>
        <v>28</v>
      </c>
      <c r="K44" s="400">
        <v>37299</v>
      </c>
      <c r="L44" s="184"/>
      <c r="M44" s="322">
        <f t="shared" si="6"/>
        <v>0</v>
      </c>
      <c r="N44" s="322">
        <f t="shared" si="3"/>
        <v>5221.8600000000006</v>
      </c>
      <c r="O44" s="322">
        <f t="shared" si="4"/>
        <v>5221.8600000000006</v>
      </c>
      <c r="P44" s="199">
        <f>VLOOKUP(A44,'SALE PARTY MASTR '!$B$5:$I$105,7,FALSE)</f>
        <v>2</v>
      </c>
      <c r="Q44" s="199" t="str">
        <f>VLOOKUP(A44,'SALE PARTY MASTR '!$B$5:$I$105,8,FALSE)</f>
        <v>Local Sale</v>
      </c>
      <c r="R44" s="199" t="s">
        <v>897</v>
      </c>
      <c r="S44" s="401">
        <v>87141090</v>
      </c>
      <c r="T44" s="201" t="str">
        <f>VLOOKUP(S44,'SALE HSN MASTER '!$A$6:$D$20,2,FALSE)</f>
        <v>Parts &amp; Accessories Of Motor Vehicles Other</v>
      </c>
      <c r="U44" s="201" t="str">
        <f>VLOOKUP(S44,'SALE HSN MASTER '!$A$6:$D$20,3,FALSE)</f>
        <v>NOS-NUMBERS</v>
      </c>
      <c r="V44" s="201" t="str">
        <f>VLOOKUP(S44,'SALE HSN MASTER '!$A$6:$D$20,4,FALSE)</f>
        <v>Goods</v>
      </c>
      <c r="W44" s="401">
        <v>636</v>
      </c>
    </row>
    <row r="45" spans="1:23" ht="14.4" x14ac:dyDescent="0.3">
      <c r="A45" s="423" t="s">
        <v>862</v>
      </c>
      <c r="B45" s="199" t="str">
        <f>VLOOKUP(A45,'SALE PARTY MASTR '!$B$5:$G$280,2,FALSE)</f>
        <v>Varroc Engineering Pvt Ltd</v>
      </c>
      <c r="C45" s="397" t="s">
        <v>1018</v>
      </c>
      <c r="D45" s="398">
        <v>43134</v>
      </c>
      <c r="E45" s="320">
        <f t="shared" si="5"/>
        <v>46593.843200000003</v>
      </c>
      <c r="F45" s="321" t="str">
        <f>VLOOKUP(A45,'SALE PARTY MASTR '!$B$5:$I$105,3,FALSE)</f>
        <v>27-Maharashatra</v>
      </c>
      <c r="G45" s="321" t="str">
        <f>VLOOKUP(A45,'SALE PARTY MASTR '!$B$5:$I$105,4,FALSE)</f>
        <v>N</v>
      </c>
      <c r="H45" s="321" t="str">
        <f>VLOOKUP(A45,'SALE PARTY MASTR '!$B$5:$I$105,5,FALSE)</f>
        <v>Regular</v>
      </c>
      <c r="I45" s="321">
        <f>VLOOKUP(A45,'SALE PARTY MASTR '!$B$5:$I$105,6,FALSE)</f>
        <v>0</v>
      </c>
      <c r="J45" s="262">
        <f>VLOOKUP(S45,'SALE HSN MASTER '!$A$6:$E$20,5,FALSE)</f>
        <v>28</v>
      </c>
      <c r="K45" s="400">
        <v>36401.440000000002</v>
      </c>
      <c r="L45" s="184"/>
      <c r="M45" s="322">
        <f t="shared" si="6"/>
        <v>0</v>
      </c>
      <c r="N45" s="322">
        <f t="shared" si="3"/>
        <v>5096.2016000000012</v>
      </c>
      <c r="O45" s="322">
        <f t="shared" si="4"/>
        <v>5096.2016000000012</v>
      </c>
      <c r="P45" s="199">
        <f>VLOOKUP(A45,'SALE PARTY MASTR '!$B$5:$I$105,7,FALSE)</f>
        <v>2</v>
      </c>
      <c r="Q45" s="199" t="str">
        <f>VLOOKUP(A45,'SALE PARTY MASTR '!$B$5:$I$105,8,FALSE)</f>
        <v>Local Sale</v>
      </c>
      <c r="R45" s="199" t="s">
        <v>897</v>
      </c>
      <c r="S45" s="401">
        <v>85119000</v>
      </c>
      <c r="T45" s="201" t="str">
        <f>VLOOKUP(S45,'SALE HSN MASTER '!$A$6:$D$20,2,FALSE)</f>
        <v>Parts &amp; Accessories Of Motor Vehicles Other</v>
      </c>
      <c r="U45" s="201" t="str">
        <f>VLOOKUP(S45,'SALE HSN MASTER '!$A$6:$D$20,3,FALSE)</f>
        <v>NOS-NUMBERS</v>
      </c>
      <c r="V45" s="201" t="str">
        <f>VLOOKUP(S45,'SALE HSN MASTER '!$A$6:$D$20,4,FALSE)</f>
        <v>Goods</v>
      </c>
      <c r="W45" s="401">
        <v>656</v>
      </c>
    </row>
    <row r="46" spans="1:23" ht="14.4" x14ac:dyDescent="0.3">
      <c r="A46" s="423" t="s">
        <v>862</v>
      </c>
      <c r="B46" s="199" t="str">
        <f>VLOOKUP(A46,'SALE PARTY MASTR '!$B$5:$G$280,2,FALSE)</f>
        <v>Varroc Engineering Pvt Ltd</v>
      </c>
      <c r="C46" s="397" t="s">
        <v>1019</v>
      </c>
      <c r="D46" s="398">
        <v>43134</v>
      </c>
      <c r="E46" s="320">
        <f t="shared" si="5"/>
        <v>18280.857599999999</v>
      </c>
      <c r="F46" s="321" t="str">
        <f>VLOOKUP(A46,'SALE PARTY MASTR '!$B$5:$I$105,3,FALSE)</f>
        <v>27-Maharashatra</v>
      </c>
      <c r="G46" s="321" t="str">
        <f>VLOOKUP(A46,'SALE PARTY MASTR '!$B$5:$I$105,4,FALSE)</f>
        <v>N</v>
      </c>
      <c r="H46" s="321" t="str">
        <f>VLOOKUP(A46,'SALE PARTY MASTR '!$B$5:$I$105,5,FALSE)</f>
        <v>Regular</v>
      </c>
      <c r="I46" s="321">
        <f>VLOOKUP(A46,'SALE PARTY MASTR '!$B$5:$I$105,6,FALSE)</f>
        <v>0</v>
      </c>
      <c r="J46" s="262">
        <f>VLOOKUP(S46,'SALE HSN MASTER '!$A$6:$E$20,5,FALSE)</f>
        <v>28</v>
      </c>
      <c r="K46" s="400">
        <v>14281.92</v>
      </c>
      <c r="L46" s="184"/>
      <c r="M46" s="322">
        <f t="shared" si="6"/>
        <v>0</v>
      </c>
      <c r="N46" s="322">
        <f t="shared" si="3"/>
        <v>1999.4688000000001</v>
      </c>
      <c r="O46" s="322">
        <f t="shared" si="4"/>
        <v>1999.4688000000001</v>
      </c>
      <c r="P46" s="199">
        <f>VLOOKUP(A46,'SALE PARTY MASTR '!$B$5:$I$105,7,FALSE)</f>
        <v>2</v>
      </c>
      <c r="Q46" s="199" t="str">
        <f>VLOOKUP(A46,'SALE PARTY MASTR '!$B$5:$I$105,8,FALSE)</f>
        <v>Local Sale</v>
      </c>
      <c r="R46" s="199" t="s">
        <v>897</v>
      </c>
      <c r="S46" s="401">
        <v>87142090</v>
      </c>
      <c r="T46" s="201" t="str">
        <f>VLOOKUP(S46,'SALE HSN MASTER '!$A$6:$D$20,2,FALSE)</f>
        <v>Parts &amp; Accessories Of Motor Vehicles Other</v>
      </c>
      <c r="U46" s="201" t="str">
        <f>VLOOKUP(S46,'SALE HSN MASTER '!$A$6:$D$20,3,FALSE)</f>
        <v>NOS-NUMBERS</v>
      </c>
      <c r="V46" s="201" t="str">
        <f>VLOOKUP(S46,'SALE HSN MASTER '!$A$6:$D$20,4,FALSE)</f>
        <v>Goods</v>
      </c>
      <c r="W46" s="401">
        <v>324</v>
      </c>
    </row>
    <row r="47" spans="1:23" ht="14.4" x14ac:dyDescent="0.3">
      <c r="A47" s="423" t="s">
        <v>23</v>
      </c>
      <c r="B47" s="199" t="str">
        <f>VLOOKUP(A47,'SALE PARTY MASTR '!$B$5:$G$280,2,FALSE)</f>
        <v>Varroc Polymers Pvt.ltd.</v>
      </c>
      <c r="C47" s="397" t="s">
        <v>1020</v>
      </c>
      <c r="D47" s="398">
        <v>43135</v>
      </c>
      <c r="E47" s="320">
        <f t="shared" si="5"/>
        <v>43283.63519999999</v>
      </c>
      <c r="F47" s="321" t="str">
        <f>VLOOKUP(A47,'SALE PARTY MASTR '!$B$5:$I$105,3,FALSE)</f>
        <v>27-Maharashatra</v>
      </c>
      <c r="G47" s="321" t="str">
        <f>VLOOKUP(A47,'SALE PARTY MASTR '!$B$5:$I$105,4,FALSE)</f>
        <v>N</v>
      </c>
      <c r="H47" s="321" t="str">
        <f>VLOOKUP(A47,'SALE PARTY MASTR '!$B$5:$I$105,5,FALSE)</f>
        <v>Regular</v>
      </c>
      <c r="I47" s="321">
        <f>VLOOKUP(A47,'SALE PARTY MASTR '!$B$5:$I$105,6,FALSE)</f>
        <v>0</v>
      </c>
      <c r="J47" s="262">
        <f>VLOOKUP(S47,'SALE HSN MASTER '!$A$6:$E$20,5,FALSE)</f>
        <v>28</v>
      </c>
      <c r="K47" s="400">
        <v>33815.339999999997</v>
      </c>
      <c r="L47" s="184"/>
      <c r="M47" s="322">
        <f t="shared" si="6"/>
        <v>0</v>
      </c>
      <c r="N47" s="322">
        <f t="shared" si="3"/>
        <v>4734.1476000000002</v>
      </c>
      <c r="O47" s="322">
        <f t="shared" si="4"/>
        <v>4734.1476000000002</v>
      </c>
      <c r="P47" s="199">
        <f>VLOOKUP(A47,'SALE PARTY MASTR '!$B$5:$I$105,7,FALSE)</f>
        <v>2</v>
      </c>
      <c r="Q47" s="199" t="str">
        <f>VLOOKUP(A47,'SALE PARTY MASTR '!$B$5:$I$105,8,FALSE)</f>
        <v>Local Sale</v>
      </c>
      <c r="R47" s="199" t="s">
        <v>897</v>
      </c>
      <c r="S47" s="401">
        <v>87081090</v>
      </c>
      <c r="T47" s="201" t="str">
        <f>VLOOKUP(S47,'SALE HSN MASTER '!$A$6:$D$20,2,FALSE)</f>
        <v>Parts &amp; Accessories Of Motor Vehicles Other</v>
      </c>
      <c r="U47" s="201" t="str">
        <f>VLOOKUP(S47,'SALE HSN MASTER '!$A$6:$D$20,3,FALSE)</f>
        <v>NOS-NUMBERS</v>
      </c>
      <c r="V47" s="201" t="str">
        <f>VLOOKUP(S47,'SALE HSN MASTER '!$A$6:$D$20,4,FALSE)</f>
        <v>Goods</v>
      </c>
      <c r="W47" s="401">
        <v>468</v>
      </c>
    </row>
    <row r="48" spans="1:23" ht="14.4" x14ac:dyDescent="0.3">
      <c r="A48" s="423" t="s">
        <v>24</v>
      </c>
      <c r="B48" s="199" t="str">
        <f>VLOOKUP(A48,'SALE PARTY MASTR '!$B$5:$G$280,2,FALSE)</f>
        <v>Tata Autocomp Systems LTD.(X1)</v>
      </c>
      <c r="C48" s="397" t="s">
        <v>1021</v>
      </c>
      <c r="D48" s="398">
        <v>43136</v>
      </c>
      <c r="E48" s="320">
        <f t="shared" si="5"/>
        <v>15380.992</v>
      </c>
      <c r="F48" s="321" t="str">
        <f>VLOOKUP(A48,'SALE PARTY MASTR '!$B$5:$I$105,3,FALSE)</f>
        <v>27-Maharashatra</v>
      </c>
      <c r="G48" s="321" t="str">
        <f>VLOOKUP(A48,'SALE PARTY MASTR '!$B$5:$I$105,4,FALSE)</f>
        <v>N</v>
      </c>
      <c r="H48" s="321" t="str">
        <f>VLOOKUP(A48,'SALE PARTY MASTR '!$B$5:$I$105,5,FALSE)</f>
        <v>Regular</v>
      </c>
      <c r="I48" s="321">
        <f>VLOOKUP(A48,'SALE PARTY MASTR '!$B$5:$I$105,6,FALSE)</f>
        <v>0</v>
      </c>
      <c r="J48" s="262">
        <f>VLOOKUP(S48,'SALE HSN MASTER '!$A$6:$E$20,5,FALSE)</f>
        <v>28</v>
      </c>
      <c r="K48" s="400">
        <v>12016.4</v>
      </c>
      <c r="L48" s="184"/>
      <c r="M48" s="322">
        <f t="shared" si="6"/>
        <v>0</v>
      </c>
      <c r="N48" s="322">
        <f t="shared" si="3"/>
        <v>1682.296</v>
      </c>
      <c r="O48" s="322">
        <f t="shared" si="4"/>
        <v>1682.296</v>
      </c>
      <c r="P48" s="199">
        <f>VLOOKUP(A48,'SALE PARTY MASTR '!$B$5:$I$105,7,FALSE)</f>
        <v>2</v>
      </c>
      <c r="Q48" s="199" t="str">
        <f>VLOOKUP(A48,'SALE PARTY MASTR '!$B$5:$I$105,8,FALSE)</f>
        <v>Local Sale</v>
      </c>
      <c r="R48" s="199" t="s">
        <v>897</v>
      </c>
      <c r="S48" s="401">
        <v>87089900</v>
      </c>
      <c r="T48" s="201" t="str">
        <f>VLOOKUP(S48,'SALE HSN MASTER '!$A$6:$D$20,2,FALSE)</f>
        <v>Parts &amp; Accessories Of Motor Vehicles Other</v>
      </c>
      <c r="U48" s="201" t="str">
        <f>VLOOKUP(S48,'SALE HSN MASTER '!$A$6:$D$20,3,FALSE)</f>
        <v>NOS-NUMBERS</v>
      </c>
      <c r="V48" s="201" t="str">
        <f>VLOOKUP(S48,'SALE HSN MASTER '!$A$6:$D$20,4,FALSE)</f>
        <v>Goods</v>
      </c>
      <c r="W48" s="401">
        <v>20</v>
      </c>
    </row>
    <row r="49" spans="1:23" ht="14.4" x14ac:dyDescent="0.3">
      <c r="A49" s="423" t="s">
        <v>31</v>
      </c>
      <c r="B49" s="199" t="str">
        <f>VLOOKUP(A49,'SALE PARTY MASTR '!$B$5:$G$280,2,FALSE)</f>
        <v>Mittal Precision Auto Comps Pvt Ltd,</v>
      </c>
      <c r="C49" s="397" t="s">
        <v>1022</v>
      </c>
      <c r="D49" s="398">
        <v>43136</v>
      </c>
      <c r="E49" s="320">
        <f t="shared" si="5"/>
        <v>6811.243199999999</v>
      </c>
      <c r="F49" s="321" t="str">
        <f>VLOOKUP(A49,'SALE PARTY MASTR '!$B$5:$I$105,3,FALSE)</f>
        <v>27-Maharashatra</v>
      </c>
      <c r="G49" s="321" t="str">
        <f>VLOOKUP(A49,'SALE PARTY MASTR '!$B$5:$I$105,4,FALSE)</f>
        <v>N</v>
      </c>
      <c r="H49" s="321" t="str">
        <f>VLOOKUP(A49,'SALE PARTY MASTR '!$B$5:$I$105,5,FALSE)</f>
        <v>Regular</v>
      </c>
      <c r="I49" s="321">
        <f>VLOOKUP(A49,'SALE PARTY MASTR '!$B$5:$I$105,6,FALSE)</f>
        <v>0</v>
      </c>
      <c r="J49" s="262">
        <f>VLOOKUP(S49,'SALE HSN MASTER '!$A$6:$E$20,5,FALSE)</f>
        <v>18</v>
      </c>
      <c r="K49" s="400">
        <v>5772.24</v>
      </c>
      <c r="L49" s="184"/>
      <c r="M49" s="322">
        <f t="shared" si="6"/>
        <v>0</v>
      </c>
      <c r="N49" s="322">
        <f t="shared" si="3"/>
        <v>519.50159999999994</v>
      </c>
      <c r="O49" s="322">
        <f t="shared" si="4"/>
        <v>519.50159999999994</v>
      </c>
      <c r="P49" s="199">
        <f>VLOOKUP(A49,'SALE PARTY MASTR '!$B$5:$I$105,7,FALSE)</f>
        <v>2</v>
      </c>
      <c r="Q49" s="199" t="str">
        <f>VLOOKUP(A49,'SALE PARTY MASTR '!$B$5:$I$105,8,FALSE)</f>
        <v>Local Sale</v>
      </c>
      <c r="R49" s="199" t="s">
        <v>894</v>
      </c>
      <c r="S49" s="401">
        <v>998898</v>
      </c>
      <c r="T49" s="201" t="str">
        <f>VLOOKUP(S49,'SALE HSN MASTER '!$A$6:$D$20,2,FALSE)</f>
        <v>Parts &amp; Accessories Of Motor Vehicles Other</v>
      </c>
      <c r="U49" s="201" t="str">
        <f>VLOOKUP(S49,'SALE HSN MASTER '!$A$6:$D$20,3,FALSE)</f>
        <v>NOS-NUMBERS</v>
      </c>
      <c r="V49" s="201" t="str">
        <f>VLOOKUP(S49,'SALE HSN MASTER '!$A$6:$D$20,4,FALSE)</f>
        <v>Service</v>
      </c>
      <c r="W49" s="401">
        <v>12</v>
      </c>
    </row>
    <row r="50" spans="1:23" ht="14.4" x14ac:dyDescent="0.3">
      <c r="A50" s="423" t="s">
        <v>31</v>
      </c>
      <c r="B50" s="199" t="str">
        <f>VLOOKUP(A50,'SALE PARTY MASTR '!$B$5:$G$280,2,FALSE)</f>
        <v>Mittal Precision Auto Comps Pvt Ltd,</v>
      </c>
      <c r="C50" s="397" t="s">
        <v>1023</v>
      </c>
      <c r="D50" s="398">
        <v>43136</v>
      </c>
      <c r="E50" s="320">
        <f t="shared" si="5"/>
        <v>6517.1281999999992</v>
      </c>
      <c r="F50" s="321" t="str">
        <f>VLOOKUP(A50,'SALE PARTY MASTR '!$B$5:$I$105,3,FALSE)</f>
        <v>27-Maharashatra</v>
      </c>
      <c r="G50" s="321" t="str">
        <f>VLOOKUP(A50,'SALE PARTY MASTR '!$B$5:$I$105,4,FALSE)</f>
        <v>N</v>
      </c>
      <c r="H50" s="321" t="str">
        <f>VLOOKUP(A50,'SALE PARTY MASTR '!$B$5:$I$105,5,FALSE)</f>
        <v>Regular</v>
      </c>
      <c r="I50" s="321">
        <f>VLOOKUP(A50,'SALE PARTY MASTR '!$B$5:$I$105,6,FALSE)</f>
        <v>0</v>
      </c>
      <c r="J50" s="262">
        <f>VLOOKUP(S50,'SALE HSN MASTER '!$A$6:$E$20,5,FALSE)</f>
        <v>18</v>
      </c>
      <c r="K50" s="400">
        <v>5522.99</v>
      </c>
      <c r="L50" s="184"/>
      <c r="M50" s="322">
        <f t="shared" si="6"/>
        <v>0</v>
      </c>
      <c r="N50" s="322">
        <f t="shared" si="3"/>
        <v>497.06909999999993</v>
      </c>
      <c r="O50" s="322">
        <f t="shared" si="4"/>
        <v>497.06909999999993</v>
      </c>
      <c r="P50" s="199">
        <f>VLOOKUP(A50,'SALE PARTY MASTR '!$B$5:$I$105,7,FALSE)</f>
        <v>2</v>
      </c>
      <c r="Q50" s="199" t="str">
        <f>VLOOKUP(A50,'SALE PARTY MASTR '!$B$5:$I$105,8,FALSE)</f>
        <v>Local Sale</v>
      </c>
      <c r="R50" s="199" t="s">
        <v>894</v>
      </c>
      <c r="S50" s="401">
        <v>998898</v>
      </c>
      <c r="T50" s="201" t="str">
        <f>VLOOKUP(S50,'SALE HSN MASTER '!$A$6:$D$20,2,FALSE)</f>
        <v>Parts &amp; Accessories Of Motor Vehicles Other</v>
      </c>
      <c r="U50" s="201" t="str">
        <f>VLOOKUP(S50,'SALE HSN MASTER '!$A$6:$D$20,3,FALSE)</f>
        <v>NOS-NUMBERS</v>
      </c>
      <c r="V50" s="201" t="str">
        <f>VLOOKUP(S50,'SALE HSN MASTER '!$A$6:$D$20,4,FALSE)</f>
        <v>Service</v>
      </c>
      <c r="W50" s="401">
        <v>11</v>
      </c>
    </row>
    <row r="51" spans="1:23" ht="14.4" x14ac:dyDescent="0.3">
      <c r="A51" s="423" t="s">
        <v>23</v>
      </c>
      <c r="B51" s="199" t="str">
        <f>VLOOKUP(A51,'SALE PARTY MASTR '!$B$5:$G$280,2,FALSE)</f>
        <v>Varroc Polymers Pvt.ltd.</v>
      </c>
      <c r="C51" s="397" t="s">
        <v>1024</v>
      </c>
      <c r="D51" s="398">
        <v>43136</v>
      </c>
      <c r="E51" s="320">
        <f t="shared" si="5"/>
        <v>52162.329600000005</v>
      </c>
      <c r="F51" s="321" t="str">
        <f>VLOOKUP(A51,'SALE PARTY MASTR '!$B$5:$I$105,3,FALSE)</f>
        <v>27-Maharashatra</v>
      </c>
      <c r="G51" s="321" t="str">
        <f>VLOOKUP(A51,'SALE PARTY MASTR '!$B$5:$I$105,4,FALSE)</f>
        <v>N</v>
      </c>
      <c r="H51" s="321" t="str">
        <f>VLOOKUP(A51,'SALE PARTY MASTR '!$B$5:$I$105,5,FALSE)</f>
        <v>Regular</v>
      </c>
      <c r="I51" s="321">
        <f>VLOOKUP(A51,'SALE PARTY MASTR '!$B$5:$I$105,6,FALSE)</f>
        <v>0</v>
      </c>
      <c r="J51" s="262">
        <f>VLOOKUP(S51,'SALE HSN MASTER '!$A$6:$E$20,5,FALSE)</f>
        <v>28</v>
      </c>
      <c r="K51" s="400">
        <v>40751.82</v>
      </c>
      <c r="L51" s="184"/>
      <c r="M51" s="322">
        <f t="shared" si="6"/>
        <v>0</v>
      </c>
      <c r="N51" s="322">
        <f t="shared" si="3"/>
        <v>5705.2548000000006</v>
      </c>
      <c r="O51" s="322">
        <f t="shared" si="4"/>
        <v>5705.2548000000006</v>
      </c>
      <c r="P51" s="199">
        <f>VLOOKUP(A51,'SALE PARTY MASTR '!$B$5:$I$105,7,FALSE)</f>
        <v>2</v>
      </c>
      <c r="Q51" s="199" t="str">
        <f>VLOOKUP(A51,'SALE PARTY MASTR '!$B$5:$I$105,8,FALSE)</f>
        <v>Local Sale</v>
      </c>
      <c r="R51" s="199" t="s">
        <v>897</v>
      </c>
      <c r="S51" s="401">
        <v>87081090</v>
      </c>
      <c r="T51" s="201" t="str">
        <f>VLOOKUP(S51,'SALE HSN MASTER '!$A$6:$D$20,2,FALSE)</f>
        <v>Parts &amp; Accessories Of Motor Vehicles Other</v>
      </c>
      <c r="U51" s="201" t="str">
        <f>VLOOKUP(S51,'SALE HSN MASTER '!$A$6:$D$20,3,FALSE)</f>
        <v>NOS-NUMBERS</v>
      </c>
      <c r="V51" s="201" t="str">
        <f>VLOOKUP(S51,'SALE HSN MASTER '!$A$6:$D$20,4,FALSE)</f>
        <v>Goods</v>
      </c>
      <c r="W51" s="401">
        <v>564</v>
      </c>
    </row>
    <row r="52" spans="1:23" ht="14.4" x14ac:dyDescent="0.3">
      <c r="A52" s="423" t="s">
        <v>31</v>
      </c>
      <c r="B52" s="199" t="str">
        <f>VLOOKUP(A52,'SALE PARTY MASTR '!$B$5:$G$280,2,FALSE)</f>
        <v>Mittal Precision Auto Comps Pvt Ltd,</v>
      </c>
      <c r="C52" s="397" t="s">
        <v>1025</v>
      </c>
      <c r="D52" s="398">
        <v>43136</v>
      </c>
      <c r="E52" s="320">
        <f t="shared" si="5"/>
        <v>5676.0359999999991</v>
      </c>
      <c r="F52" s="321" t="str">
        <f>VLOOKUP(A52,'SALE PARTY MASTR '!$B$5:$I$105,3,FALSE)</f>
        <v>27-Maharashatra</v>
      </c>
      <c r="G52" s="321" t="str">
        <f>VLOOKUP(A52,'SALE PARTY MASTR '!$B$5:$I$105,4,FALSE)</f>
        <v>N</v>
      </c>
      <c r="H52" s="321" t="str">
        <f>VLOOKUP(A52,'SALE PARTY MASTR '!$B$5:$I$105,5,FALSE)</f>
        <v>Regular</v>
      </c>
      <c r="I52" s="321">
        <f>VLOOKUP(A52,'SALE PARTY MASTR '!$B$5:$I$105,6,FALSE)</f>
        <v>0</v>
      </c>
      <c r="J52" s="262">
        <f>VLOOKUP(S52,'SALE HSN MASTER '!$A$6:$E$20,5,FALSE)</f>
        <v>18</v>
      </c>
      <c r="K52" s="400">
        <v>4810.2</v>
      </c>
      <c r="L52" s="184"/>
      <c r="M52" s="322">
        <f t="shared" si="6"/>
        <v>0</v>
      </c>
      <c r="N52" s="322">
        <f t="shared" si="3"/>
        <v>432.91799999999995</v>
      </c>
      <c r="O52" s="322">
        <f t="shared" si="4"/>
        <v>432.91799999999995</v>
      </c>
      <c r="P52" s="199">
        <f>VLOOKUP(A52,'SALE PARTY MASTR '!$B$5:$I$105,7,FALSE)</f>
        <v>2</v>
      </c>
      <c r="Q52" s="199" t="str">
        <f>VLOOKUP(A52,'SALE PARTY MASTR '!$B$5:$I$105,8,FALSE)</f>
        <v>Local Sale</v>
      </c>
      <c r="R52" s="199" t="s">
        <v>894</v>
      </c>
      <c r="S52" s="401">
        <v>998898</v>
      </c>
      <c r="T52" s="201" t="str">
        <f>VLOOKUP(S52,'SALE HSN MASTER '!$A$6:$D$20,2,FALSE)</f>
        <v>Parts &amp; Accessories Of Motor Vehicles Other</v>
      </c>
      <c r="U52" s="201" t="str">
        <f>VLOOKUP(S52,'SALE HSN MASTER '!$A$6:$D$20,3,FALSE)</f>
        <v>NOS-NUMBERS</v>
      </c>
      <c r="V52" s="201" t="str">
        <f>VLOOKUP(S52,'SALE HSN MASTER '!$A$6:$D$20,4,FALSE)</f>
        <v>Service</v>
      </c>
      <c r="W52" s="401">
        <v>10</v>
      </c>
    </row>
    <row r="53" spans="1:23" ht="14.4" x14ac:dyDescent="0.3">
      <c r="A53" s="423" t="s">
        <v>22</v>
      </c>
      <c r="B53" s="199" t="str">
        <f>VLOOKUP(A53,'SALE PARTY MASTR '!$B$5:$G$280,2,FALSE)</f>
        <v>Japtech Industries</v>
      </c>
      <c r="C53" s="397" t="s">
        <v>1026</v>
      </c>
      <c r="D53" s="398">
        <v>43136</v>
      </c>
      <c r="E53" s="320">
        <f t="shared" si="5"/>
        <v>10058.556</v>
      </c>
      <c r="F53" s="321" t="str">
        <f>VLOOKUP(A53,'SALE PARTY MASTR '!$B$5:$I$105,3,FALSE)</f>
        <v>27-Maharashatra</v>
      </c>
      <c r="G53" s="321" t="str">
        <f>VLOOKUP(A53,'SALE PARTY MASTR '!$B$5:$I$105,4,FALSE)</f>
        <v>N</v>
      </c>
      <c r="H53" s="321" t="str">
        <f>VLOOKUP(A53,'SALE PARTY MASTR '!$B$5:$I$105,5,FALSE)</f>
        <v>Regular</v>
      </c>
      <c r="I53" s="321">
        <f>VLOOKUP(A53,'SALE PARTY MASTR '!$B$5:$I$105,6,FALSE)</f>
        <v>0</v>
      </c>
      <c r="J53" s="262">
        <f>VLOOKUP(S53,'SALE HSN MASTER '!$A$6:$E$20,5,FALSE)</f>
        <v>18</v>
      </c>
      <c r="K53" s="400">
        <v>8524.2000000000007</v>
      </c>
      <c r="L53" s="184"/>
      <c r="M53" s="322">
        <f t="shared" si="6"/>
        <v>0</v>
      </c>
      <c r="N53" s="322">
        <f t="shared" si="3"/>
        <v>767.178</v>
      </c>
      <c r="O53" s="322">
        <f t="shared" si="4"/>
        <v>767.178</v>
      </c>
      <c r="P53" s="199">
        <f>VLOOKUP(A53,'SALE PARTY MASTR '!$B$5:$I$105,7,FALSE)</f>
        <v>2</v>
      </c>
      <c r="Q53" s="199" t="str">
        <f>VLOOKUP(A53,'SALE PARTY MASTR '!$B$5:$I$105,8,FALSE)</f>
        <v>Local Sale</v>
      </c>
      <c r="R53" s="199" t="s">
        <v>894</v>
      </c>
      <c r="S53" s="401">
        <v>998898</v>
      </c>
      <c r="T53" s="201" t="str">
        <f>VLOOKUP(S53,'SALE HSN MASTER '!$A$6:$D$20,2,FALSE)</f>
        <v>Parts &amp; Accessories Of Motor Vehicles Other</v>
      </c>
      <c r="U53" s="201" t="str">
        <f>VLOOKUP(S53,'SALE HSN MASTER '!$A$6:$D$20,3,FALSE)</f>
        <v>NOS-NUMBERS</v>
      </c>
      <c r="V53" s="201" t="str">
        <f>VLOOKUP(S53,'SALE HSN MASTER '!$A$6:$D$20,4,FALSE)</f>
        <v>Service</v>
      </c>
      <c r="W53" s="401">
        <v>30</v>
      </c>
    </row>
    <row r="54" spans="1:23" ht="14.4" x14ac:dyDescent="0.3">
      <c r="A54" s="423" t="s">
        <v>28</v>
      </c>
      <c r="B54" s="199" t="str">
        <f>VLOOKUP(A54,'SALE PARTY MASTR '!$B$5:$G$280,2,FALSE)</f>
        <v>Lumax Auto Technologies Ltd.</v>
      </c>
      <c r="C54" s="397" t="s">
        <v>1027</v>
      </c>
      <c r="D54" s="398">
        <v>43136</v>
      </c>
      <c r="E54" s="320">
        <f t="shared" si="5"/>
        <v>70532.305200000003</v>
      </c>
      <c r="F54" s="321" t="str">
        <f>VLOOKUP(A54,'SALE PARTY MASTR '!$B$5:$I$105,3,FALSE)</f>
        <v>27-Maharashatra</v>
      </c>
      <c r="G54" s="321" t="str">
        <f>VLOOKUP(A54,'SALE PARTY MASTR '!$B$5:$I$105,4,FALSE)</f>
        <v>N</v>
      </c>
      <c r="H54" s="321" t="str">
        <f>VLOOKUP(A54,'SALE PARTY MASTR '!$B$5:$I$105,5,FALSE)</f>
        <v>Regular</v>
      </c>
      <c r="I54" s="321">
        <f>VLOOKUP(A54,'SALE PARTY MASTR '!$B$5:$I$105,6,FALSE)</f>
        <v>0</v>
      </c>
      <c r="J54" s="262">
        <f>VLOOKUP(S54,'SALE HSN MASTER '!$A$6:$E$20,5,FALSE)</f>
        <v>18</v>
      </c>
      <c r="K54" s="400">
        <v>59773.14</v>
      </c>
      <c r="L54" s="184"/>
      <c r="M54" s="322">
        <f t="shared" si="6"/>
        <v>0</v>
      </c>
      <c r="N54" s="322">
        <f t="shared" si="3"/>
        <v>5379.5825999999997</v>
      </c>
      <c r="O54" s="322">
        <f t="shared" si="4"/>
        <v>5379.5825999999997</v>
      </c>
      <c r="P54" s="199">
        <f>VLOOKUP(A54,'SALE PARTY MASTR '!$B$5:$I$105,7,FALSE)</f>
        <v>2</v>
      </c>
      <c r="Q54" s="199" t="str">
        <f>VLOOKUP(A54,'SALE PARTY MASTR '!$B$5:$I$105,8,FALSE)</f>
        <v>Local Sale</v>
      </c>
      <c r="R54" s="199" t="s">
        <v>894</v>
      </c>
      <c r="S54" s="401">
        <v>85129000</v>
      </c>
      <c r="T54" s="201" t="str">
        <f>VLOOKUP(S54,'SALE HSN MASTER '!$A$6:$D$20,2,FALSE)</f>
        <v>Parts &amp; Accessories Of Motor Vehicles Other</v>
      </c>
      <c r="U54" s="201" t="str">
        <f>VLOOKUP(S54,'SALE HSN MASTER '!$A$6:$D$20,3,FALSE)</f>
        <v>NOS-NUMBERS</v>
      </c>
      <c r="V54" s="201" t="str">
        <f>VLOOKUP(S54,'SALE HSN MASTER '!$A$6:$D$20,4,FALSE)</f>
        <v>Goods</v>
      </c>
      <c r="W54" s="401">
        <v>486</v>
      </c>
    </row>
    <row r="55" spans="1:23" ht="14.4" x14ac:dyDescent="0.3">
      <c r="A55" s="423" t="s">
        <v>23</v>
      </c>
      <c r="B55" s="199" t="str">
        <f>VLOOKUP(A55,'SALE PARTY MASTR '!$B$5:$G$280,2,FALSE)</f>
        <v>Varroc Polymers Pvt.ltd.</v>
      </c>
      <c r="C55" s="397" t="s">
        <v>1028</v>
      </c>
      <c r="D55" s="398">
        <v>43136</v>
      </c>
      <c r="E55" s="320">
        <f t="shared" si="5"/>
        <v>11468.313600000001</v>
      </c>
      <c r="F55" s="321" t="str">
        <f>VLOOKUP(A55,'SALE PARTY MASTR '!$B$5:$I$105,3,FALSE)</f>
        <v>27-Maharashatra</v>
      </c>
      <c r="G55" s="321" t="str">
        <f>VLOOKUP(A55,'SALE PARTY MASTR '!$B$5:$I$105,4,FALSE)</f>
        <v>N</v>
      </c>
      <c r="H55" s="321" t="str">
        <f>VLOOKUP(A55,'SALE PARTY MASTR '!$B$5:$I$105,5,FALSE)</f>
        <v>Regular</v>
      </c>
      <c r="I55" s="321">
        <f>VLOOKUP(A55,'SALE PARTY MASTR '!$B$5:$I$105,6,FALSE)</f>
        <v>0</v>
      </c>
      <c r="J55" s="262">
        <f>VLOOKUP(S55,'SALE HSN MASTER '!$A$6:$E$20,5,FALSE)</f>
        <v>28</v>
      </c>
      <c r="K55" s="400">
        <v>8959.6200000000008</v>
      </c>
      <c r="L55" s="184"/>
      <c r="M55" s="322">
        <f t="shared" si="6"/>
        <v>0</v>
      </c>
      <c r="N55" s="322">
        <f t="shared" si="3"/>
        <v>1254.3468000000003</v>
      </c>
      <c r="O55" s="322">
        <f t="shared" si="4"/>
        <v>1254.3468000000003</v>
      </c>
      <c r="P55" s="199">
        <f>VLOOKUP(A55,'SALE PARTY MASTR '!$B$5:$I$105,7,FALSE)</f>
        <v>2</v>
      </c>
      <c r="Q55" s="199" t="str">
        <f>VLOOKUP(A55,'SALE PARTY MASTR '!$B$5:$I$105,8,FALSE)</f>
        <v>Local Sale</v>
      </c>
      <c r="R55" s="199" t="s">
        <v>897</v>
      </c>
      <c r="S55" s="401">
        <v>87081090</v>
      </c>
      <c r="T55" s="201" t="str">
        <f>VLOOKUP(S55,'SALE HSN MASTER '!$A$6:$D$20,2,FALSE)</f>
        <v>Parts &amp; Accessories Of Motor Vehicles Other</v>
      </c>
      <c r="U55" s="201" t="str">
        <f>VLOOKUP(S55,'SALE HSN MASTER '!$A$6:$D$20,3,FALSE)</f>
        <v>NOS-NUMBERS</v>
      </c>
      <c r="V55" s="201" t="str">
        <f>VLOOKUP(S55,'SALE HSN MASTER '!$A$6:$D$20,4,FALSE)</f>
        <v>Goods</v>
      </c>
      <c r="W55" s="401">
        <v>124</v>
      </c>
    </row>
    <row r="56" spans="1:23" ht="14.4" x14ac:dyDescent="0.3">
      <c r="A56" s="423" t="s">
        <v>23</v>
      </c>
      <c r="B56" s="199" t="str">
        <f>VLOOKUP(A56,'SALE PARTY MASTR '!$B$5:$G$280,2,FALSE)</f>
        <v>Varroc Polymers Pvt.ltd.</v>
      </c>
      <c r="C56" s="397" t="s">
        <v>1029</v>
      </c>
      <c r="D56" s="398">
        <v>43136</v>
      </c>
      <c r="E56" s="320">
        <f t="shared" si="5"/>
        <v>25094.400000000001</v>
      </c>
      <c r="F56" s="321" t="str">
        <f>VLOOKUP(A56,'SALE PARTY MASTR '!$B$5:$I$105,3,FALSE)</f>
        <v>27-Maharashatra</v>
      </c>
      <c r="G56" s="321" t="str">
        <f>VLOOKUP(A56,'SALE PARTY MASTR '!$B$5:$I$105,4,FALSE)</f>
        <v>N</v>
      </c>
      <c r="H56" s="321" t="str">
        <f>VLOOKUP(A56,'SALE PARTY MASTR '!$B$5:$I$105,5,FALSE)</f>
        <v>Regular</v>
      </c>
      <c r="I56" s="321">
        <f>VLOOKUP(A56,'SALE PARTY MASTR '!$B$5:$I$105,6,FALSE)</f>
        <v>0</v>
      </c>
      <c r="J56" s="262">
        <f>VLOOKUP(S56,'SALE HSN MASTER '!$A$6:$E$20,5,FALSE)</f>
        <v>28</v>
      </c>
      <c r="K56" s="400">
        <v>19605</v>
      </c>
      <c r="L56" s="184"/>
      <c r="M56" s="322">
        <f t="shared" si="6"/>
        <v>0</v>
      </c>
      <c r="N56" s="322">
        <f t="shared" si="3"/>
        <v>2744.7000000000003</v>
      </c>
      <c r="O56" s="322">
        <f t="shared" si="4"/>
        <v>2744.7000000000003</v>
      </c>
      <c r="P56" s="199">
        <f>VLOOKUP(A56,'SALE PARTY MASTR '!$B$5:$I$105,7,FALSE)</f>
        <v>2</v>
      </c>
      <c r="Q56" s="199" t="str">
        <f>VLOOKUP(A56,'SALE PARTY MASTR '!$B$5:$I$105,8,FALSE)</f>
        <v>Local Sale</v>
      </c>
      <c r="R56" s="199" t="s">
        <v>897</v>
      </c>
      <c r="S56" s="401">
        <v>87141090</v>
      </c>
      <c r="T56" s="201" t="str">
        <f>VLOOKUP(S56,'SALE HSN MASTER '!$A$6:$D$20,2,FALSE)</f>
        <v>Parts &amp; Accessories Of Motor Vehicles Other</v>
      </c>
      <c r="U56" s="201" t="str">
        <f>VLOOKUP(S56,'SALE HSN MASTER '!$A$6:$D$20,3,FALSE)</f>
        <v>NOS-NUMBERS</v>
      </c>
      <c r="V56" s="201" t="str">
        <f>VLOOKUP(S56,'SALE HSN MASTER '!$A$6:$D$20,4,FALSE)</f>
        <v>Goods</v>
      </c>
      <c r="W56" s="401">
        <v>420</v>
      </c>
    </row>
    <row r="57" spans="1:23" ht="14.4" x14ac:dyDescent="0.3">
      <c r="A57" s="423" t="s">
        <v>32</v>
      </c>
      <c r="B57" s="199" t="str">
        <f>VLOOKUP(A57,'SALE PARTY MASTR '!$B$5:$G$280,2,FALSE)</f>
        <v>Pricol Ltd (Formerly Pricol Pune Ltd)</v>
      </c>
      <c r="C57" s="397" t="s">
        <v>1030</v>
      </c>
      <c r="D57" s="398">
        <v>43136</v>
      </c>
      <c r="E57" s="320">
        <f t="shared" si="5"/>
        <v>50166.272000000004</v>
      </c>
      <c r="F57" s="321" t="str">
        <f>VLOOKUP(A57,'SALE PARTY MASTR '!$B$5:$I$105,3,FALSE)</f>
        <v>27-Maharashatra</v>
      </c>
      <c r="G57" s="321" t="str">
        <f>VLOOKUP(A57,'SALE PARTY MASTR '!$B$5:$I$105,4,FALSE)</f>
        <v>N</v>
      </c>
      <c r="H57" s="321" t="str">
        <f>VLOOKUP(A57,'SALE PARTY MASTR '!$B$5:$I$105,5,FALSE)</f>
        <v>Regular</v>
      </c>
      <c r="I57" s="321">
        <f>VLOOKUP(A57,'SALE PARTY MASTR '!$B$5:$I$105,6,FALSE)</f>
        <v>0</v>
      </c>
      <c r="J57" s="262">
        <f>VLOOKUP(S57,'SALE HSN MASTER '!$A$6:$E$20,5,FALSE)</f>
        <v>28</v>
      </c>
      <c r="K57" s="400">
        <v>39192.400000000001</v>
      </c>
      <c r="L57" s="184"/>
      <c r="M57" s="322">
        <f t="shared" si="6"/>
        <v>0</v>
      </c>
      <c r="N57" s="322">
        <f t="shared" si="3"/>
        <v>5486.9360000000006</v>
      </c>
      <c r="O57" s="322">
        <f t="shared" si="4"/>
        <v>5486.9360000000006</v>
      </c>
      <c r="P57" s="199">
        <f>VLOOKUP(A57,'SALE PARTY MASTR '!$B$5:$I$105,7,FALSE)</f>
        <v>2</v>
      </c>
      <c r="Q57" s="199" t="str">
        <f>VLOOKUP(A57,'SALE PARTY MASTR '!$B$5:$I$105,8,FALSE)</f>
        <v>Local Sale</v>
      </c>
      <c r="R57" s="199" t="s">
        <v>897</v>
      </c>
      <c r="S57" s="401">
        <v>87141090</v>
      </c>
      <c r="T57" s="201" t="str">
        <f>VLOOKUP(S57,'SALE HSN MASTER '!$A$6:$D$20,2,FALSE)</f>
        <v>Parts &amp; Accessories Of Motor Vehicles Other</v>
      </c>
      <c r="U57" s="201" t="str">
        <f>VLOOKUP(S57,'SALE HSN MASTER '!$A$6:$D$20,3,FALSE)</f>
        <v>NOS-NUMBERS</v>
      </c>
      <c r="V57" s="201" t="str">
        <f>VLOOKUP(S57,'SALE HSN MASTER '!$A$6:$D$20,4,FALSE)</f>
        <v>Goods</v>
      </c>
      <c r="W57" s="401">
        <v>520</v>
      </c>
    </row>
    <row r="58" spans="1:23" ht="14.4" x14ac:dyDescent="0.3">
      <c r="A58" s="423" t="s">
        <v>862</v>
      </c>
      <c r="B58" s="199" t="str">
        <f>VLOOKUP(A58,'SALE PARTY MASTR '!$B$5:$G$280,2,FALSE)</f>
        <v>Varroc Engineering Pvt Ltd</v>
      </c>
      <c r="C58" s="397" t="s">
        <v>1031</v>
      </c>
      <c r="D58" s="398">
        <v>43136</v>
      </c>
      <c r="E58" s="320">
        <f t="shared" si="5"/>
        <v>42616.320000000007</v>
      </c>
      <c r="F58" s="321" t="str">
        <f>VLOOKUP(A58,'SALE PARTY MASTR '!$B$5:$I$105,3,FALSE)</f>
        <v>27-Maharashatra</v>
      </c>
      <c r="G58" s="321" t="str">
        <f>VLOOKUP(A58,'SALE PARTY MASTR '!$B$5:$I$105,4,FALSE)</f>
        <v>N</v>
      </c>
      <c r="H58" s="321" t="str">
        <f>VLOOKUP(A58,'SALE PARTY MASTR '!$B$5:$I$105,5,FALSE)</f>
        <v>Regular</v>
      </c>
      <c r="I58" s="321">
        <f>VLOOKUP(A58,'SALE PARTY MASTR '!$B$5:$I$105,6,FALSE)</f>
        <v>0</v>
      </c>
      <c r="J58" s="262">
        <f>VLOOKUP(S58,'SALE HSN MASTER '!$A$6:$E$20,5,FALSE)</f>
        <v>28</v>
      </c>
      <c r="K58" s="400">
        <v>33294</v>
      </c>
      <c r="L58" s="184"/>
      <c r="M58" s="322">
        <f t="shared" si="6"/>
        <v>0</v>
      </c>
      <c r="N58" s="322">
        <f t="shared" si="3"/>
        <v>4661.1600000000008</v>
      </c>
      <c r="O58" s="322">
        <f t="shared" si="4"/>
        <v>4661.1600000000008</v>
      </c>
      <c r="P58" s="199">
        <f>VLOOKUP(A58,'SALE PARTY MASTR '!$B$5:$I$105,7,FALSE)</f>
        <v>2</v>
      </c>
      <c r="Q58" s="199" t="str">
        <f>VLOOKUP(A58,'SALE PARTY MASTR '!$B$5:$I$105,8,FALSE)</f>
        <v>Local Sale</v>
      </c>
      <c r="R58" s="199" t="s">
        <v>897</v>
      </c>
      <c r="S58" s="401">
        <v>85119000</v>
      </c>
      <c r="T58" s="201" t="str">
        <f>VLOOKUP(S58,'SALE HSN MASTER '!$A$6:$D$20,2,FALSE)</f>
        <v>Parts &amp; Accessories Of Motor Vehicles Other</v>
      </c>
      <c r="U58" s="201" t="str">
        <f>VLOOKUP(S58,'SALE HSN MASTER '!$A$6:$D$20,3,FALSE)</f>
        <v>NOS-NUMBERS</v>
      </c>
      <c r="V58" s="201" t="str">
        <f>VLOOKUP(S58,'SALE HSN MASTER '!$A$6:$D$20,4,FALSE)</f>
        <v>Goods</v>
      </c>
      <c r="W58" s="401">
        <v>600</v>
      </c>
    </row>
    <row r="59" spans="1:23" ht="14.4" x14ac:dyDescent="0.3">
      <c r="A59" s="423" t="s">
        <v>862</v>
      </c>
      <c r="B59" s="199" t="str">
        <f>VLOOKUP(A59,'SALE PARTY MASTR '!$B$5:$G$280,2,FALSE)</f>
        <v>Varroc Engineering Pvt Ltd</v>
      </c>
      <c r="C59" s="397" t="s">
        <v>1032</v>
      </c>
      <c r="D59" s="398">
        <v>43136</v>
      </c>
      <c r="E59" s="320">
        <f t="shared" si="5"/>
        <v>30468.096000000001</v>
      </c>
      <c r="F59" s="321" t="str">
        <f>VLOOKUP(A59,'SALE PARTY MASTR '!$B$5:$I$105,3,FALSE)</f>
        <v>27-Maharashatra</v>
      </c>
      <c r="G59" s="321" t="str">
        <f>VLOOKUP(A59,'SALE PARTY MASTR '!$B$5:$I$105,4,FALSE)</f>
        <v>N</v>
      </c>
      <c r="H59" s="321" t="str">
        <f>VLOOKUP(A59,'SALE PARTY MASTR '!$B$5:$I$105,5,FALSE)</f>
        <v>Regular</v>
      </c>
      <c r="I59" s="321">
        <f>VLOOKUP(A59,'SALE PARTY MASTR '!$B$5:$I$105,6,FALSE)</f>
        <v>0</v>
      </c>
      <c r="J59" s="262">
        <f>VLOOKUP(S59,'SALE HSN MASTER '!$A$6:$E$20,5,FALSE)</f>
        <v>28</v>
      </c>
      <c r="K59" s="400">
        <v>23803.200000000001</v>
      </c>
      <c r="L59" s="184"/>
      <c r="M59" s="322">
        <f t="shared" si="6"/>
        <v>0</v>
      </c>
      <c r="N59" s="322">
        <f t="shared" si="3"/>
        <v>3332.4480000000003</v>
      </c>
      <c r="O59" s="322">
        <f t="shared" si="4"/>
        <v>3332.4480000000003</v>
      </c>
      <c r="P59" s="199">
        <f>VLOOKUP(A59,'SALE PARTY MASTR '!$B$5:$I$105,7,FALSE)</f>
        <v>2</v>
      </c>
      <c r="Q59" s="199" t="str">
        <f>VLOOKUP(A59,'SALE PARTY MASTR '!$B$5:$I$105,8,FALSE)</f>
        <v>Local Sale</v>
      </c>
      <c r="R59" s="199" t="s">
        <v>897</v>
      </c>
      <c r="S59" s="401">
        <v>87142090</v>
      </c>
      <c r="T59" s="201" t="str">
        <f>VLOOKUP(S59,'SALE HSN MASTER '!$A$6:$D$20,2,FALSE)</f>
        <v>Parts &amp; Accessories Of Motor Vehicles Other</v>
      </c>
      <c r="U59" s="201" t="str">
        <f>VLOOKUP(S59,'SALE HSN MASTER '!$A$6:$D$20,3,FALSE)</f>
        <v>NOS-NUMBERS</v>
      </c>
      <c r="V59" s="201" t="str">
        <f>VLOOKUP(S59,'SALE HSN MASTER '!$A$6:$D$20,4,FALSE)</f>
        <v>Goods</v>
      </c>
      <c r="W59" s="401">
        <v>540</v>
      </c>
    </row>
    <row r="60" spans="1:23" ht="14.4" x14ac:dyDescent="0.3">
      <c r="A60" s="423" t="s">
        <v>23</v>
      </c>
      <c r="B60" s="199" t="str">
        <f>VLOOKUP(A60,'SALE PARTY MASTR '!$B$5:$G$280,2,FALSE)</f>
        <v>Varroc Polymers Pvt.ltd.</v>
      </c>
      <c r="C60" s="397" t="s">
        <v>1033</v>
      </c>
      <c r="D60" s="398">
        <v>43136</v>
      </c>
      <c r="E60" s="320">
        <f t="shared" si="5"/>
        <v>44393.472000000002</v>
      </c>
      <c r="F60" s="321" t="str">
        <f>VLOOKUP(A60,'SALE PARTY MASTR '!$B$5:$I$105,3,FALSE)</f>
        <v>27-Maharashatra</v>
      </c>
      <c r="G60" s="321" t="str">
        <f>VLOOKUP(A60,'SALE PARTY MASTR '!$B$5:$I$105,4,FALSE)</f>
        <v>N</v>
      </c>
      <c r="H60" s="321" t="str">
        <f>VLOOKUP(A60,'SALE PARTY MASTR '!$B$5:$I$105,5,FALSE)</f>
        <v>Regular</v>
      </c>
      <c r="I60" s="321">
        <f>VLOOKUP(A60,'SALE PARTY MASTR '!$B$5:$I$105,6,FALSE)</f>
        <v>0</v>
      </c>
      <c r="J60" s="262">
        <f>VLOOKUP(S60,'SALE HSN MASTER '!$A$6:$E$20,5,FALSE)</f>
        <v>28</v>
      </c>
      <c r="K60" s="400">
        <v>34682.400000000001</v>
      </c>
      <c r="L60" s="184"/>
      <c r="M60" s="322">
        <f t="shared" si="6"/>
        <v>0</v>
      </c>
      <c r="N60" s="322">
        <f t="shared" si="3"/>
        <v>4855.536000000001</v>
      </c>
      <c r="O60" s="322">
        <f t="shared" si="4"/>
        <v>4855.536000000001</v>
      </c>
      <c r="P60" s="199">
        <f>VLOOKUP(A60,'SALE PARTY MASTR '!$B$5:$I$105,7,FALSE)</f>
        <v>2</v>
      </c>
      <c r="Q60" s="199" t="str">
        <f>VLOOKUP(A60,'SALE PARTY MASTR '!$B$5:$I$105,8,FALSE)</f>
        <v>Local Sale</v>
      </c>
      <c r="R60" s="199" t="s">
        <v>897</v>
      </c>
      <c r="S60" s="401">
        <v>87081090</v>
      </c>
      <c r="T60" s="201" t="str">
        <f>VLOOKUP(S60,'SALE HSN MASTER '!$A$6:$D$20,2,FALSE)</f>
        <v>Parts &amp; Accessories Of Motor Vehicles Other</v>
      </c>
      <c r="U60" s="201" t="str">
        <f>VLOOKUP(S60,'SALE HSN MASTER '!$A$6:$D$20,3,FALSE)</f>
        <v>NOS-NUMBERS</v>
      </c>
      <c r="V60" s="201" t="str">
        <f>VLOOKUP(S60,'SALE HSN MASTER '!$A$6:$D$20,4,FALSE)</f>
        <v>Goods</v>
      </c>
      <c r="W60" s="401">
        <v>480</v>
      </c>
    </row>
    <row r="61" spans="1:23" ht="14.4" x14ac:dyDescent="0.3">
      <c r="A61" s="423" t="s">
        <v>33</v>
      </c>
      <c r="B61" s="199" t="str">
        <f>VLOOKUP(A61,'SALE PARTY MASTR '!$B$5:$G$280,2,FALSE)</f>
        <v>Tata Ficosa Automotves Ltd</v>
      </c>
      <c r="C61" s="397" t="s">
        <v>1034</v>
      </c>
      <c r="D61" s="398">
        <v>43136</v>
      </c>
      <c r="E61" s="320">
        <f t="shared" si="5"/>
        <v>25487.882000000005</v>
      </c>
      <c r="F61" s="321" t="str">
        <f>VLOOKUP(A61,'SALE PARTY MASTR '!$B$5:$I$105,3,FALSE)</f>
        <v>27-Maharashatra</v>
      </c>
      <c r="G61" s="321" t="str">
        <f>VLOOKUP(A61,'SALE PARTY MASTR '!$B$5:$I$105,4,FALSE)</f>
        <v>N</v>
      </c>
      <c r="H61" s="321" t="str">
        <f>VLOOKUP(A61,'SALE PARTY MASTR '!$B$5:$I$105,5,FALSE)</f>
        <v>Regular</v>
      </c>
      <c r="I61" s="321">
        <f>VLOOKUP(A61,'SALE PARTY MASTR '!$B$5:$I$105,6,FALSE)</f>
        <v>0</v>
      </c>
      <c r="J61" s="262">
        <f>VLOOKUP(S61,'SALE HSN MASTER '!$A$6:$E$20,5,FALSE)</f>
        <v>18</v>
      </c>
      <c r="K61" s="400">
        <v>21599.9</v>
      </c>
      <c r="L61" s="184"/>
      <c r="M61" s="322">
        <f t="shared" si="6"/>
        <v>0</v>
      </c>
      <c r="N61" s="322">
        <f t="shared" si="3"/>
        <v>1943.991</v>
      </c>
      <c r="O61" s="322">
        <f t="shared" si="4"/>
        <v>1943.991</v>
      </c>
      <c r="P61" s="199">
        <f>VLOOKUP(A61,'SALE PARTY MASTR '!$B$5:$I$105,7,FALSE)</f>
        <v>2</v>
      </c>
      <c r="Q61" s="199" t="str">
        <f>VLOOKUP(A61,'SALE PARTY MASTR '!$B$5:$I$105,8,FALSE)</f>
        <v>Local Sale</v>
      </c>
      <c r="R61" s="199" t="s">
        <v>894</v>
      </c>
      <c r="S61" s="401">
        <v>998898</v>
      </c>
      <c r="T61" s="201" t="str">
        <f>VLOOKUP(S61,'SALE HSN MASTER '!$A$6:$D$20,2,FALSE)</f>
        <v>Parts &amp; Accessories Of Motor Vehicles Other</v>
      </c>
      <c r="U61" s="201" t="str">
        <f>VLOOKUP(S61,'SALE HSN MASTER '!$A$6:$D$20,3,FALSE)</f>
        <v>NOS-NUMBERS</v>
      </c>
      <c r="V61" s="201" t="str">
        <f>VLOOKUP(S61,'SALE HSN MASTER '!$A$6:$D$20,4,FALSE)</f>
        <v>Service</v>
      </c>
      <c r="W61" s="401">
        <v>196</v>
      </c>
    </row>
    <row r="62" spans="1:23" ht="14.4" x14ac:dyDescent="0.3">
      <c r="A62" s="423" t="s">
        <v>23</v>
      </c>
      <c r="B62" s="199" t="str">
        <f>VLOOKUP(A62,'SALE PARTY MASTR '!$B$5:$G$280,2,FALSE)</f>
        <v>Varroc Polymers Pvt.ltd.</v>
      </c>
      <c r="C62" s="397" t="s">
        <v>1035</v>
      </c>
      <c r="D62" s="398">
        <v>43137</v>
      </c>
      <c r="E62" s="320">
        <f t="shared" si="5"/>
        <v>39954.124799999998</v>
      </c>
      <c r="F62" s="321" t="str">
        <f>VLOOKUP(A62,'SALE PARTY MASTR '!$B$5:$I$105,3,FALSE)</f>
        <v>27-Maharashatra</v>
      </c>
      <c r="G62" s="321" t="str">
        <f>VLOOKUP(A62,'SALE PARTY MASTR '!$B$5:$I$105,4,FALSE)</f>
        <v>N</v>
      </c>
      <c r="H62" s="321" t="str">
        <f>VLOOKUP(A62,'SALE PARTY MASTR '!$B$5:$I$105,5,FALSE)</f>
        <v>Regular</v>
      </c>
      <c r="I62" s="321">
        <f>VLOOKUP(A62,'SALE PARTY MASTR '!$B$5:$I$105,6,FALSE)</f>
        <v>0</v>
      </c>
      <c r="J62" s="262">
        <f>VLOOKUP(S62,'SALE HSN MASTER '!$A$6:$E$20,5,FALSE)</f>
        <v>28</v>
      </c>
      <c r="K62" s="400">
        <v>31214.16</v>
      </c>
      <c r="L62" s="184"/>
      <c r="M62" s="322">
        <f t="shared" si="6"/>
        <v>0</v>
      </c>
      <c r="N62" s="322">
        <f t="shared" si="3"/>
        <v>4369.9824000000008</v>
      </c>
      <c r="O62" s="322">
        <f t="shared" si="4"/>
        <v>4369.9824000000008</v>
      </c>
      <c r="P62" s="199">
        <f>VLOOKUP(A62,'SALE PARTY MASTR '!$B$5:$I$105,7,FALSE)</f>
        <v>2</v>
      </c>
      <c r="Q62" s="199" t="str">
        <f>VLOOKUP(A62,'SALE PARTY MASTR '!$B$5:$I$105,8,FALSE)</f>
        <v>Local Sale</v>
      </c>
      <c r="R62" s="199" t="s">
        <v>897</v>
      </c>
      <c r="S62" s="401">
        <v>87081090</v>
      </c>
      <c r="T62" s="201" t="str">
        <f>VLOOKUP(S62,'SALE HSN MASTER '!$A$6:$D$20,2,FALSE)</f>
        <v>Parts &amp; Accessories Of Motor Vehicles Other</v>
      </c>
      <c r="U62" s="201" t="str">
        <f>VLOOKUP(S62,'SALE HSN MASTER '!$A$6:$D$20,3,FALSE)</f>
        <v>NOS-NUMBERS</v>
      </c>
      <c r="V62" s="201" t="str">
        <f>VLOOKUP(S62,'SALE HSN MASTER '!$A$6:$D$20,4,FALSE)</f>
        <v>Goods</v>
      </c>
      <c r="W62" s="401">
        <v>432</v>
      </c>
    </row>
    <row r="63" spans="1:23" ht="14.4" x14ac:dyDescent="0.3">
      <c r="A63" s="423" t="s">
        <v>24</v>
      </c>
      <c r="B63" s="199" t="str">
        <f>VLOOKUP(A63,'SALE PARTY MASTR '!$B$5:$G$280,2,FALSE)</f>
        <v>Tata Autocomp Systems LTD.(X1)</v>
      </c>
      <c r="C63" s="397" t="s">
        <v>1036</v>
      </c>
      <c r="D63" s="398">
        <v>43137</v>
      </c>
      <c r="E63" s="320">
        <f t="shared" si="5"/>
        <v>51465.830399999999</v>
      </c>
      <c r="F63" s="321" t="str">
        <f>VLOOKUP(A63,'SALE PARTY MASTR '!$B$5:$I$105,3,FALSE)</f>
        <v>27-Maharashatra</v>
      </c>
      <c r="G63" s="321" t="str">
        <f>VLOOKUP(A63,'SALE PARTY MASTR '!$B$5:$I$105,4,FALSE)</f>
        <v>N</v>
      </c>
      <c r="H63" s="321" t="str">
        <f>VLOOKUP(A63,'SALE PARTY MASTR '!$B$5:$I$105,5,FALSE)</f>
        <v>Regular</v>
      </c>
      <c r="I63" s="321">
        <f>VLOOKUP(A63,'SALE PARTY MASTR '!$B$5:$I$105,6,FALSE)</f>
        <v>0</v>
      </c>
      <c r="J63" s="262">
        <f>VLOOKUP(S63,'SALE HSN MASTER '!$A$6:$E$20,5,FALSE)</f>
        <v>28</v>
      </c>
      <c r="K63" s="400">
        <v>40207.68</v>
      </c>
      <c r="L63" s="184"/>
      <c r="M63" s="322">
        <f t="shared" si="6"/>
        <v>0</v>
      </c>
      <c r="N63" s="322">
        <f t="shared" si="3"/>
        <v>5629.0752000000002</v>
      </c>
      <c r="O63" s="322">
        <f t="shared" si="4"/>
        <v>5629.0752000000002</v>
      </c>
      <c r="P63" s="199">
        <f>VLOOKUP(A63,'SALE PARTY MASTR '!$B$5:$I$105,7,FALSE)</f>
        <v>2</v>
      </c>
      <c r="Q63" s="199" t="str">
        <f>VLOOKUP(A63,'SALE PARTY MASTR '!$B$5:$I$105,8,FALSE)</f>
        <v>Local Sale</v>
      </c>
      <c r="R63" s="199" t="s">
        <v>897</v>
      </c>
      <c r="S63" s="401">
        <v>87089900</v>
      </c>
      <c r="T63" s="201" t="str">
        <f>VLOOKUP(S63,'SALE HSN MASTER '!$A$6:$D$20,2,FALSE)</f>
        <v>Parts &amp; Accessories Of Motor Vehicles Other</v>
      </c>
      <c r="U63" s="201" t="str">
        <f>VLOOKUP(S63,'SALE HSN MASTER '!$A$6:$D$20,3,FALSE)</f>
        <v>NOS-NUMBERS</v>
      </c>
      <c r="V63" s="201" t="str">
        <f>VLOOKUP(S63,'SALE HSN MASTER '!$A$6:$D$20,4,FALSE)</f>
        <v>Goods</v>
      </c>
      <c r="W63" s="401">
        <v>84</v>
      </c>
    </row>
    <row r="64" spans="1:23" ht="14.4" x14ac:dyDescent="0.3">
      <c r="A64" s="423" t="s">
        <v>24</v>
      </c>
      <c r="B64" s="199" t="str">
        <f>VLOOKUP(A64,'SALE PARTY MASTR '!$B$5:$G$280,2,FALSE)</f>
        <v>Tata Autocomp Systems LTD.(X1)</v>
      </c>
      <c r="C64" s="397" t="s">
        <v>1037</v>
      </c>
      <c r="D64" s="398">
        <v>43137</v>
      </c>
      <c r="E64" s="320">
        <f t="shared" si="5"/>
        <v>56997.324800000002</v>
      </c>
      <c r="F64" s="321" t="str">
        <f>VLOOKUP(A64,'SALE PARTY MASTR '!$B$5:$I$105,3,FALSE)</f>
        <v>27-Maharashatra</v>
      </c>
      <c r="G64" s="321" t="str">
        <f>VLOOKUP(A64,'SALE PARTY MASTR '!$B$5:$I$105,4,FALSE)</f>
        <v>N</v>
      </c>
      <c r="H64" s="321" t="str">
        <f>VLOOKUP(A64,'SALE PARTY MASTR '!$B$5:$I$105,5,FALSE)</f>
        <v>Regular</v>
      </c>
      <c r="I64" s="321">
        <f>VLOOKUP(A64,'SALE PARTY MASTR '!$B$5:$I$105,6,FALSE)</f>
        <v>0</v>
      </c>
      <c r="J64" s="262">
        <f>VLOOKUP(S64,'SALE HSN MASTER '!$A$6:$E$20,5,FALSE)</f>
        <v>28</v>
      </c>
      <c r="K64" s="400">
        <v>44529.16</v>
      </c>
      <c r="L64" s="184"/>
      <c r="M64" s="322">
        <f t="shared" si="6"/>
        <v>0</v>
      </c>
      <c r="N64" s="322">
        <f t="shared" si="3"/>
        <v>6234.0824000000011</v>
      </c>
      <c r="O64" s="322">
        <f t="shared" si="4"/>
        <v>6234.0824000000011</v>
      </c>
      <c r="P64" s="199">
        <f>VLOOKUP(A64,'SALE PARTY MASTR '!$B$5:$I$105,7,FALSE)</f>
        <v>2</v>
      </c>
      <c r="Q64" s="199" t="str">
        <f>VLOOKUP(A64,'SALE PARTY MASTR '!$B$5:$I$105,8,FALSE)</f>
        <v>Local Sale</v>
      </c>
      <c r="R64" s="199" t="s">
        <v>897</v>
      </c>
      <c r="S64" s="401">
        <v>87089900</v>
      </c>
      <c r="T64" s="201" t="str">
        <f>VLOOKUP(S64,'SALE HSN MASTER '!$A$6:$D$20,2,FALSE)</f>
        <v>Parts &amp; Accessories Of Motor Vehicles Other</v>
      </c>
      <c r="U64" s="201" t="str">
        <f>VLOOKUP(S64,'SALE HSN MASTER '!$A$6:$D$20,3,FALSE)</f>
        <v>NOS-NUMBERS</v>
      </c>
      <c r="V64" s="201" t="str">
        <f>VLOOKUP(S64,'SALE HSN MASTER '!$A$6:$D$20,4,FALSE)</f>
        <v>Goods</v>
      </c>
      <c r="W64" s="401">
        <v>76</v>
      </c>
    </row>
    <row r="65" spans="1:23" ht="14.4" x14ac:dyDescent="0.3">
      <c r="A65" s="423" t="s">
        <v>23</v>
      </c>
      <c r="B65" s="199" t="str">
        <f>VLOOKUP(A65,'SALE PARTY MASTR '!$B$5:$G$280,2,FALSE)</f>
        <v>Varroc Polymers Pvt.ltd.</v>
      </c>
      <c r="C65" s="397" t="s">
        <v>1038</v>
      </c>
      <c r="D65" s="398">
        <v>43137</v>
      </c>
      <c r="E65" s="320">
        <f t="shared" si="5"/>
        <v>56231.731200000002</v>
      </c>
      <c r="F65" s="321" t="str">
        <f>VLOOKUP(A65,'SALE PARTY MASTR '!$B$5:$I$105,3,FALSE)</f>
        <v>27-Maharashatra</v>
      </c>
      <c r="G65" s="321" t="str">
        <f>VLOOKUP(A65,'SALE PARTY MASTR '!$B$5:$I$105,4,FALSE)</f>
        <v>N</v>
      </c>
      <c r="H65" s="321" t="str">
        <f>VLOOKUP(A65,'SALE PARTY MASTR '!$B$5:$I$105,5,FALSE)</f>
        <v>Regular</v>
      </c>
      <c r="I65" s="321">
        <f>VLOOKUP(A65,'SALE PARTY MASTR '!$B$5:$I$105,6,FALSE)</f>
        <v>0</v>
      </c>
      <c r="J65" s="262">
        <f>VLOOKUP(S65,'SALE HSN MASTER '!$A$6:$E$20,5,FALSE)</f>
        <v>28</v>
      </c>
      <c r="K65" s="400">
        <v>43931.040000000001</v>
      </c>
      <c r="L65" s="184"/>
      <c r="M65" s="322">
        <f t="shared" si="6"/>
        <v>0</v>
      </c>
      <c r="N65" s="322">
        <f t="shared" si="3"/>
        <v>6150.3456000000006</v>
      </c>
      <c r="O65" s="322">
        <f t="shared" si="4"/>
        <v>6150.3456000000006</v>
      </c>
      <c r="P65" s="199">
        <f>VLOOKUP(A65,'SALE PARTY MASTR '!$B$5:$I$105,7,FALSE)</f>
        <v>2</v>
      </c>
      <c r="Q65" s="199" t="str">
        <f>VLOOKUP(A65,'SALE PARTY MASTR '!$B$5:$I$105,8,FALSE)</f>
        <v>Local Sale</v>
      </c>
      <c r="R65" s="199" t="s">
        <v>897</v>
      </c>
      <c r="S65" s="401">
        <v>87081090</v>
      </c>
      <c r="T65" s="201" t="str">
        <f>VLOOKUP(S65,'SALE HSN MASTER '!$A$6:$D$20,2,FALSE)</f>
        <v>Parts &amp; Accessories Of Motor Vehicles Other</v>
      </c>
      <c r="U65" s="201" t="str">
        <f>VLOOKUP(S65,'SALE HSN MASTER '!$A$6:$D$20,3,FALSE)</f>
        <v>NOS-NUMBERS</v>
      </c>
      <c r="V65" s="201" t="str">
        <f>VLOOKUP(S65,'SALE HSN MASTER '!$A$6:$D$20,4,FALSE)</f>
        <v>Goods</v>
      </c>
      <c r="W65" s="401">
        <v>608</v>
      </c>
    </row>
    <row r="66" spans="1:23" ht="14.4" x14ac:dyDescent="0.3">
      <c r="A66" s="423" t="s">
        <v>31</v>
      </c>
      <c r="B66" s="199" t="str">
        <f>VLOOKUP(A66,'SALE PARTY MASTR '!$B$5:$G$280,2,FALSE)</f>
        <v>Mittal Precision Auto Comps Pvt Ltd,</v>
      </c>
      <c r="C66" s="397" t="s">
        <v>1039</v>
      </c>
      <c r="D66" s="398">
        <v>43137</v>
      </c>
      <c r="E66" s="320">
        <f t="shared" si="5"/>
        <v>6811.243199999999</v>
      </c>
      <c r="F66" s="321" t="str">
        <f>VLOOKUP(A66,'SALE PARTY MASTR '!$B$5:$I$105,3,FALSE)</f>
        <v>27-Maharashatra</v>
      </c>
      <c r="G66" s="321" t="str">
        <f>VLOOKUP(A66,'SALE PARTY MASTR '!$B$5:$I$105,4,FALSE)</f>
        <v>N</v>
      </c>
      <c r="H66" s="321" t="str">
        <f>VLOOKUP(A66,'SALE PARTY MASTR '!$B$5:$I$105,5,FALSE)</f>
        <v>Regular</v>
      </c>
      <c r="I66" s="321">
        <f>VLOOKUP(A66,'SALE PARTY MASTR '!$B$5:$I$105,6,FALSE)</f>
        <v>0</v>
      </c>
      <c r="J66" s="262">
        <f>VLOOKUP(S66,'SALE HSN MASTER '!$A$6:$E$20,5,FALSE)</f>
        <v>18</v>
      </c>
      <c r="K66" s="400">
        <v>5772.24</v>
      </c>
      <c r="L66" s="184"/>
      <c r="M66" s="322">
        <f t="shared" si="6"/>
        <v>0</v>
      </c>
      <c r="N66" s="322">
        <f t="shared" si="3"/>
        <v>519.50159999999994</v>
      </c>
      <c r="O66" s="322">
        <f t="shared" si="4"/>
        <v>519.50159999999994</v>
      </c>
      <c r="P66" s="199">
        <f>VLOOKUP(A66,'SALE PARTY MASTR '!$B$5:$I$105,7,FALSE)</f>
        <v>2</v>
      </c>
      <c r="Q66" s="199" t="str">
        <f>VLOOKUP(A66,'SALE PARTY MASTR '!$B$5:$I$105,8,FALSE)</f>
        <v>Local Sale</v>
      </c>
      <c r="R66" s="199" t="s">
        <v>894</v>
      </c>
      <c r="S66" s="401">
        <v>998898</v>
      </c>
      <c r="T66" s="201" t="str">
        <f>VLOOKUP(S66,'SALE HSN MASTER '!$A$6:$D$20,2,FALSE)</f>
        <v>Parts &amp; Accessories Of Motor Vehicles Other</v>
      </c>
      <c r="U66" s="201" t="str">
        <f>VLOOKUP(S66,'SALE HSN MASTER '!$A$6:$D$20,3,FALSE)</f>
        <v>NOS-NUMBERS</v>
      </c>
      <c r="V66" s="201" t="str">
        <f>VLOOKUP(S66,'SALE HSN MASTER '!$A$6:$D$20,4,FALSE)</f>
        <v>Service</v>
      </c>
      <c r="W66" s="401">
        <v>12</v>
      </c>
    </row>
    <row r="67" spans="1:23" ht="14.4" x14ac:dyDescent="0.3">
      <c r="A67" s="423" t="s">
        <v>32</v>
      </c>
      <c r="B67" s="199" t="str">
        <f>VLOOKUP(A67,'SALE PARTY MASTR '!$B$5:$G$280,2,FALSE)</f>
        <v>Pricol Ltd (Formerly Pricol Pune Ltd)</v>
      </c>
      <c r="C67" s="397" t="s">
        <v>1040</v>
      </c>
      <c r="D67" s="398">
        <v>43137</v>
      </c>
      <c r="E67" s="320">
        <f t="shared" si="5"/>
        <v>32507.136000000002</v>
      </c>
      <c r="F67" s="321" t="str">
        <f>VLOOKUP(A67,'SALE PARTY MASTR '!$B$5:$I$105,3,FALSE)</f>
        <v>27-Maharashatra</v>
      </c>
      <c r="G67" s="321" t="str">
        <f>VLOOKUP(A67,'SALE PARTY MASTR '!$B$5:$I$105,4,FALSE)</f>
        <v>N</v>
      </c>
      <c r="H67" s="321" t="str">
        <f>VLOOKUP(A67,'SALE PARTY MASTR '!$B$5:$I$105,5,FALSE)</f>
        <v>Regular</v>
      </c>
      <c r="I67" s="321">
        <f>VLOOKUP(A67,'SALE PARTY MASTR '!$B$5:$I$105,6,FALSE)</f>
        <v>0</v>
      </c>
      <c r="J67" s="262">
        <f>VLOOKUP(S67,'SALE HSN MASTER '!$A$6:$E$20,5,FALSE)</f>
        <v>28</v>
      </c>
      <c r="K67" s="400">
        <v>25396.2</v>
      </c>
      <c r="L67" s="184"/>
      <c r="M67" s="322">
        <f t="shared" si="6"/>
        <v>0</v>
      </c>
      <c r="N67" s="322">
        <f t="shared" si="3"/>
        <v>3555.4680000000003</v>
      </c>
      <c r="O67" s="322">
        <f t="shared" si="4"/>
        <v>3555.4680000000003</v>
      </c>
      <c r="P67" s="199">
        <f>VLOOKUP(A67,'SALE PARTY MASTR '!$B$5:$I$105,7,FALSE)</f>
        <v>2</v>
      </c>
      <c r="Q67" s="199" t="str">
        <f>VLOOKUP(A67,'SALE PARTY MASTR '!$B$5:$I$105,8,FALSE)</f>
        <v>Local Sale</v>
      </c>
      <c r="R67" s="199" t="s">
        <v>897</v>
      </c>
      <c r="S67" s="401">
        <v>87141090</v>
      </c>
      <c r="T67" s="201" t="str">
        <f>VLOOKUP(S67,'SALE HSN MASTER '!$A$6:$D$20,2,FALSE)</f>
        <v>Parts &amp; Accessories Of Motor Vehicles Other</v>
      </c>
      <c r="U67" s="201" t="str">
        <f>VLOOKUP(S67,'SALE HSN MASTER '!$A$6:$D$20,3,FALSE)</f>
        <v>NOS-NUMBERS</v>
      </c>
      <c r="V67" s="201" t="str">
        <f>VLOOKUP(S67,'SALE HSN MASTER '!$A$6:$D$20,4,FALSE)</f>
        <v>Goods</v>
      </c>
      <c r="W67" s="401">
        <v>540</v>
      </c>
    </row>
    <row r="68" spans="1:23" ht="14.4" x14ac:dyDescent="0.3">
      <c r="A68" s="423" t="s">
        <v>23</v>
      </c>
      <c r="B68" s="199" t="str">
        <f>VLOOKUP(A68,'SALE PARTY MASTR '!$B$5:$G$280,2,FALSE)</f>
        <v>Varroc Polymers Pvt.ltd.</v>
      </c>
      <c r="C68" s="397" t="s">
        <v>1041</v>
      </c>
      <c r="D68" s="398">
        <v>43137</v>
      </c>
      <c r="E68" s="320">
        <f t="shared" si="5"/>
        <v>14427.8784</v>
      </c>
      <c r="F68" s="321" t="str">
        <f>VLOOKUP(A68,'SALE PARTY MASTR '!$B$5:$I$105,3,FALSE)</f>
        <v>27-Maharashatra</v>
      </c>
      <c r="G68" s="321" t="str">
        <f>VLOOKUP(A68,'SALE PARTY MASTR '!$B$5:$I$105,4,FALSE)</f>
        <v>N</v>
      </c>
      <c r="H68" s="321" t="str">
        <f>VLOOKUP(A68,'SALE PARTY MASTR '!$B$5:$I$105,5,FALSE)</f>
        <v>Regular</v>
      </c>
      <c r="I68" s="321">
        <f>VLOOKUP(A68,'SALE PARTY MASTR '!$B$5:$I$105,6,FALSE)</f>
        <v>0</v>
      </c>
      <c r="J68" s="262">
        <f>VLOOKUP(S68,'SALE HSN MASTER '!$A$6:$E$20,5,FALSE)</f>
        <v>28</v>
      </c>
      <c r="K68" s="400">
        <v>11271.78</v>
      </c>
      <c r="L68" s="184"/>
      <c r="M68" s="322">
        <f t="shared" si="6"/>
        <v>0</v>
      </c>
      <c r="N68" s="322">
        <f t="shared" si="3"/>
        <v>1578.0492000000002</v>
      </c>
      <c r="O68" s="322">
        <f t="shared" si="4"/>
        <v>1578.0492000000002</v>
      </c>
      <c r="P68" s="199">
        <f>VLOOKUP(A68,'SALE PARTY MASTR '!$B$5:$I$105,7,FALSE)</f>
        <v>2</v>
      </c>
      <c r="Q68" s="199" t="str">
        <f>VLOOKUP(A68,'SALE PARTY MASTR '!$B$5:$I$105,8,FALSE)</f>
        <v>Local Sale</v>
      </c>
      <c r="R68" s="199" t="s">
        <v>897</v>
      </c>
      <c r="S68" s="401">
        <v>87081090</v>
      </c>
      <c r="T68" s="201" t="str">
        <f>VLOOKUP(S68,'SALE HSN MASTER '!$A$6:$D$20,2,FALSE)</f>
        <v>Parts &amp; Accessories Of Motor Vehicles Other</v>
      </c>
      <c r="U68" s="201" t="str">
        <f>VLOOKUP(S68,'SALE HSN MASTER '!$A$6:$D$20,3,FALSE)</f>
        <v>NOS-NUMBERS</v>
      </c>
      <c r="V68" s="201" t="str">
        <f>VLOOKUP(S68,'SALE HSN MASTER '!$A$6:$D$20,4,FALSE)</f>
        <v>Goods</v>
      </c>
      <c r="W68" s="401">
        <v>156</v>
      </c>
    </row>
    <row r="69" spans="1:23" ht="14.4" x14ac:dyDescent="0.3">
      <c r="A69" s="423" t="s">
        <v>23</v>
      </c>
      <c r="B69" s="199" t="str">
        <f>VLOOKUP(A69,'SALE PARTY MASTR '!$B$5:$G$280,2,FALSE)</f>
        <v>Varroc Polymers Pvt.ltd.</v>
      </c>
      <c r="C69" s="397" t="s">
        <v>1042</v>
      </c>
      <c r="D69" s="398">
        <v>43137</v>
      </c>
      <c r="E69" s="320">
        <f t="shared" si="5"/>
        <v>38423.040000000008</v>
      </c>
      <c r="F69" s="321" t="str">
        <f>VLOOKUP(A69,'SALE PARTY MASTR '!$B$5:$I$105,3,FALSE)</f>
        <v>27-Maharashatra</v>
      </c>
      <c r="G69" s="321" t="str">
        <f>VLOOKUP(A69,'SALE PARTY MASTR '!$B$5:$I$105,4,FALSE)</f>
        <v>N</v>
      </c>
      <c r="H69" s="321" t="str">
        <f>VLOOKUP(A69,'SALE PARTY MASTR '!$B$5:$I$105,5,FALSE)</f>
        <v>Regular</v>
      </c>
      <c r="I69" s="321">
        <f>VLOOKUP(A69,'SALE PARTY MASTR '!$B$5:$I$105,6,FALSE)</f>
        <v>0</v>
      </c>
      <c r="J69" s="262">
        <f>VLOOKUP(S69,'SALE HSN MASTER '!$A$6:$E$20,5,FALSE)</f>
        <v>28</v>
      </c>
      <c r="K69" s="400">
        <v>30018</v>
      </c>
      <c r="L69" s="184"/>
      <c r="M69" s="322">
        <f t="shared" si="6"/>
        <v>0</v>
      </c>
      <c r="N69" s="322">
        <f t="shared" si="3"/>
        <v>4202.5200000000004</v>
      </c>
      <c r="O69" s="322">
        <f t="shared" si="4"/>
        <v>4202.5200000000004</v>
      </c>
      <c r="P69" s="199">
        <f>VLOOKUP(A69,'SALE PARTY MASTR '!$B$5:$I$105,7,FALSE)</f>
        <v>2</v>
      </c>
      <c r="Q69" s="199" t="str">
        <f>VLOOKUP(A69,'SALE PARTY MASTR '!$B$5:$I$105,8,FALSE)</f>
        <v>Local Sale</v>
      </c>
      <c r="R69" s="199" t="s">
        <v>897</v>
      </c>
      <c r="S69" s="401">
        <v>87141090</v>
      </c>
      <c r="T69" s="201" t="str">
        <f>VLOOKUP(S69,'SALE HSN MASTER '!$A$6:$D$20,2,FALSE)</f>
        <v>Parts &amp; Accessories Of Motor Vehicles Other</v>
      </c>
      <c r="U69" s="201" t="str">
        <f>VLOOKUP(S69,'SALE HSN MASTER '!$A$6:$D$20,3,FALSE)</f>
        <v>NOS-NUMBERS</v>
      </c>
      <c r="V69" s="201" t="str">
        <f>VLOOKUP(S69,'SALE HSN MASTER '!$A$6:$D$20,4,FALSE)</f>
        <v>Goods</v>
      </c>
      <c r="W69" s="401">
        <v>552</v>
      </c>
    </row>
    <row r="70" spans="1:23" ht="14.4" x14ac:dyDescent="0.3">
      <c r="A70" s="423" t="s">
        <v>31</v>
      </c>
      <c r="B70" s="199" t="str">
        <f>VLOOKUP(A70,'SALE PARTY MASTR '!$B$5:$G$280,2,FALSE)</f>
        <v>Mittal Precision Auto Comps Pvt Ltd,</v>
      </c>
      <c r="C70" s="397" t="s">
        <v>1043</v>
      </c>
      <c r="D70" s="398">
        <v>43137</v>
      </c>
      <c r="E70" s="320">
        <f t="shared" si="5"/>
        <v>6811.243199999999</v>
      </c>
      <c r="F70" s="321" t="str">
        <f>VLOOKUP(A70,'SALE PARTY MASTR '!$B$5:$I$105,3,FALSE)</f>
        <v>27-Maharashatra</v>
      </c>
      <c r="G70" s="321" t="str">
        <f>VLOOKUP(A70,'SALE PARTY MASTR '!$B$5:$I$105,4,FALSE)</f>
        <v>N</v>
      </c>
      <c r="H70" s="321" t="str">
        <f>VLOOKUP(A70,'SALE PARTY MASTR '!$B$5:$I$105,5,FALSE)</f>
        <v>Regular</v>
      </c>
      <c r="I70" s="321">
        <f>VLOOKUP(A70,'SALE PARTY MASTR '!$B$5:$I$105,6,FALSE)</f>
        <v>0</v>
      </c>
      <c r="J70" s="262">
        <f>VLOOKUP(S70,'SALE HSN MASTER '!$A$6:$E$20,5,FALSE)</f>
        <v>18</v>
      </c>
      <c r="K70" s="400">
        <v>5772.24</v>
      </c>
      <c r="L70" s="184"/>
      <c r="M70" s="322">
        <f t="shared" si="6"/>
        <v>0</v>
      </c>
      <c r="N70" s="322">
        <f t="shared" si="3"/>
        <v>519.50159999999994</v>
      </c>
      <c r="O70" s="322">
        <f t="shared" si="4"/>
        <v>519.50159999999994</v>
      </c>
      <c r="P70" s="199">
        <f>VLOOKUP(A70,'SALE PARTY MASTR '!$B$5:$I$105,7,FALSE)</f>
        <v>2</v>
      </c>
      <c r="Q70" s="199" t="str">
        <f>VLOOKUP(A70,'SALE PARTY MASTR '!$B$5:$I$105,8,FALSE)</f>
        <v>Local Sale</v>
      </c>
      <c r="R70" s="199" t="s">
        <v>894</v>
      </c>
      <c r="S70" s="401">
        <v>998898</v>
      </c>
      <c r="T70" s="201" t="str">
        <f>VLOOKUP(S70,'SALE HSN MASTER '!$A$6:$D$20,2,FALSE)</f>
        <v>Parts &amp; Accessories Of Motor Vehicles Other</v>
      </c>
      <c r="U70" s="201" t="str">
        <f>VLOOKUP(S70,'SALE HSN MASTER '!$A$6:$D$20,3,FALSE)</f>
        <v>NOS-NUMBERS</v>
      </c>
      <c r="V70" s="201" t="str">
        <f>VLOOKUP(S70,'SALE HSN MASTER '!$A$6:$D$20,4,FALSE)</f>
        <v>Service</v>
      </c>
      <c r="W70" s="401">
        <v>12</v>
      </c>
    </row>
    <row r="71" spans="1:23" ht="14.4" x14ac:dyDescent="0.3">
      <c r="A71" s="423" t="s">
        <v>25</v>
      </c>
      <c r="B71" s="199" t="str">
        <f>VLOOKUP(A71,'SALE PARTY MASTR '!$B$5:$G$280,2,FALSE)</f>
        <v>VE Commercial vehicles Ltd</v>
      </c>
      <c r="C71" s="397" t="s">
        <v>1044</v>
      </c>
      <c r="D71" s="398">
        <v>43137</v>
      </c>
      <c r="E71" s="320">
        <f t="shared" si="5"/>
        <v>45351.705599999994</v>
      </c>
      <c r="F71" s="321" t="str">
        <f>VLOOKUP(A71,'SALE PARTY MASTR '!$B$5:$I$105,3,FALSE)</f>
        <v>23-Madhya Pradesh</v>
      </c>
      <c r="G71" s="321" t="str">
        <f>VLOOKUP(A71,'SALE PARTY MASTR '!$B$5:$I$105,4,FALSE)</f>
        <v>N</v>
      </c>
      <c r="H71" s="321" t="str">
        <f>VLOOKUP(A71,'SALE PARTY MASTR '!$B$5:$I$105,5,FALSE)</f>
        <v>Regular</v>
      </c>
      <c r="I71" s="321">
        <f>VLOOKUP(A71,'SALE PARTY MASTR '!$B$5:$I$105,6,FALSE)</f>
        <v>0</v>
      </c>
      <c r="J71" s="262">
        <f>VLOOKUP(S71,'SALE HSN MASTER '!$A$6:$E$20,5,FALSE)</f>
        <v>28</v>
      </c>
      <c r="K71" s="400">
        <v>35431.019999999997</v>
      </c>
      <c r="L71" s="184"/>
      <c r="M71" s="322">
        <f t="shared" si="6"/>
        <v>9920.6855999999989</v>
      </c>
      <c r="N71" s="322">
        <f t="shared" si="3"/>
        <v>0</v>
      </c>
      <c r="O71" s="322">
        <f t="shared" si="4"/>
        <v>0</v>
      </c>
      <c r="P71" s="199">
        <f>VLOOKUP(A71,'SALE PARTY MASTR '!$B$5:$I$105,7,FALSE)</f>
        <v>2</v>
      </c>
      <c r="Q71" s="199" t="str">
        <f>VLOOKUP(A71,'SALE PARTY MASTR '!$B$5:$I$105,8,FALSE)</f>
        <v>Oms Sale</v>
      </c>
      <c r="R71" s="199" t="s">
        <v>903</v>
      </c>
      <c r="S71" s="401">
        <v>87081090</v>
      </c>
      <c r="T71" s="201" t="str">
        <f>VLOOKUP(S71,'SALE HSN MASTER '!$A$6:$D$20,2,FALSE)</f>
        <v>Parts &amp; Accessories Of Motor Vehicles Other</v>
      </c>
      <c r="U71" s="201" t="str">
        <f>VLOOKUP(S71,'SALE HSN MASTER '!$A$6:$D$20,3,FALSE)</f>
        <v>NOS-NUMBERS</v>
      </c>
      <c r="V71" s="201" t="str">
        <f>VLOOKUP(S71,'SALE HSN MASTER '!$A$6:$D$20,4,FALSE)</f>
        <v>Goods</v>
      </c>
      <c r="W71" s="401">
        <v>18</v>
      </c>
    </row>
    <row r="72" spans="1:23" ht="14.4" x14ac:dyDescent="0.3">
      <c r="A72" s="423" t="s">
        <v>25</v>
      </c>
      <c r="B72" s="199" t="str">
        <f>VLOOKUP(A72,'SALE PARTY MASTR '!$B$5:$G$280,2,FALSE)</f>
        <v>VE Commercial vehicles Ltd</v>
      </c>
      <c r="C72" s="397" t="s">
        <v>1045</v>
      </c>
      <c r="D72" s="398">
        <v>43137</v>
      </c>
      <c r="E72" s="320">
        <f t="shared" si="5"/>
        <v>24033.792000000001</v>
      </c>
      <c r="F72" s="321" t="str">
        <f>VLOOKUP(A72,'SALE PARTY MASTR '!$B$5:$I$105,3,FALSE)</f>
        <v>23-Madhya Pradesh</v>
      </c>
      <c r="G72" s="321" t="str">
        <f>VLOOKUP(A72,'SALE PARTY MASTR '!$B$5:$I$105,4,FALSE)</f>
        <v>N</v>
      </c>
      <c r="H72" s="321" t="str">
        <f>VLOOKUP(A72,'SALE PARTY MASTR '!$B$5:$I$105,5,FALSE)</f>
        <v>Regular</v>
      </c>
      <c r="I72" s="321">
        <f>VLOOKUP(A72,'SALE PARTY MASTR '!$B$5:$I$105,6,FALSE)</f>
        <v>0</v>
      </c>
      <c r="J72" s="262">
        <f>VLOOKUP(S72,'SALE HSN MASTER '!$A$6:$E$20,5,FALSE)</f>
        <v>28</v>
      </c>
      <c r="K72" s="400">
        <v>18776.400000000001</v>
      </c>
      <c r="L72" s="184"/>
      <c r="M72" s="322">
        <f t="shared" si="6"/>
        <v>5257.3920000000007</v>
      </c>
      <c r="N72" s="322">
        <f t="shared" si="3"/>
        <v>0</v>
      </c>
      <c r="O72" s="322">
        <f t="shared" si="4"/>
        <v>0</v>
      </c>
      <c r="P72" s="199">
        <f>VLOOKUP(A72,'SALE PARTY MASTR '!$B$5:$I$105,7,FALSE)</f>
        <v>2</v>
      </c>
      <c r="Q72" s="199" t="str">
        <f>VLOOKUP(A72,'SALE PARTY MASTR '!$B$5:$I$105,8,FALSE)</f>
        <v>Oms Sale</v>
      </c>
      <c r="R72" s="199" t="s">
        <v>903</v>
      </c>
      <c r="S72" s="401">
        <v>87081090</v>
      </c>
      <c r="T72" s="201" t="str">
        <f>VLOOKUP(S72,'SALE HSN MASTER '!$A$6:$D$20,2,FALSE)</f>
        <v>Parts &amp; Accessories Of Motor Vehicles Other</v>
      </c>
      <c r="U72" s="201" t="str">
        <f>VLOOKUP(S72,'SALE HSN MASTER '!$A$6:$D$20,3,FALSE)</f>
        <v>NOS-NUMBERS</v>
      </c>
      <c r="V72" s="201" t="str">
        <f>VLOOKUP(S72,'SALE HSN MASTER '!$A$6:$D$20,4,FALSE)</f>
        <v>Goods</v>
      </c>
      <c r="W72" s="401">
        <v>20</v>
      </c>
    </row>
    <row r="73" spans="1:23" ht="14.4" x14ac:dyDescent="0.3">
      <c r="A73" s="423" t="s">
        <v>25</v>
      </c>
      <c r="B73" s="199" t="str">
        <f>VLOOKUP(A73,'SALE PARTY MASTR '!$B$5:$G$280,2,FALSE)</f>
        <v>VE Commercial vehicles Ltd</v>
      </c>
      <c r="C73" s="397" t="s">
        <v>1046</v>
      </c>
      <c r="D73" s="398">
        <v>43137</v>
      </c>
      <c r="E73" s="320">
        <f t="shared" si="5"/>
        <v>41690.879999999997</v>
      </c>
      <c r="F73" s="321" t="str">
        <f>VLOOKUP(A73,'SALE PARTY MASTR '!$B$5:$I$105,3,FALSE)</f>
        <v>23-Madhya Pradesh</v>
      </c>
      <c r="G73" s="321" t="str">
        <f>VLOOKUP(A73,'SALE PARTY MASTR '!$B$5:$I$105,4,FALSE)</f>
        <v>N</v>
      </c>
      <c r="H73" s="321" t="str">
        <f>VLOOKUP(A73,'SALE PARTY MASTR '!$B$5:$I$105,5,FALSE)</f>
        <v>Regular</v>
      </c>
      <c r="I73" s="321">
        <f>VLOOKUP(A73,'SALE PARTY MASTR '!$B$5:$I$105,6,FALSE)</f>
        <v>0</v>
      </c>
      <c r="J73" s="262">
        <f>VLOOKUP(S73,'SALE HSN MASTER '!$A$6:$E$20,5,FALSE)</f>
        <v>28</v>
      </c>
      <c r="K73" s="400">
        <v>32571</v>
      </c>
      <c r="L73" s="184"/>
      <c r="M73" s="322">
        <f t="shared" si="6"/>
        <v>9119.8799999999992</v>
      </c>
      <c r="N73" s="322">
        <f t="shared" ref="N73:N136" si="7">+IF(P73=1,0,IF(Q73="Local Sale",IF(J73=18,K73*0.09,IF(J73=12,K73*0.06,IF(J73=5,K73*0.025,IF(J73=28,K73*0.14,IF(J73=3,K73*0.015,0))))),0))</f>
        <v>0</v>
      </c>
      <c r="O73" s="322">
        <f t="shared" ref="O73:O136" si="8">+IF(P73=1,0,IF(Q73="Local Sale",IF(J73=18,K73*0.09,IF(J73=12,K73*0.06,IF(J73=5,K73*0.025,IF(J73=28,K73*0.14,IF(J73=3,K73*0.015,0))))),0))</f>
        <v>0</v>
      </c>
      <c r="P73" s="199">
        <f>VLOOKUP(A73,'SALE PARTY MASTR '!$B$5:$I$105,7,FALSE)</f>
        <v>2</v>
      </c>
      <c r="Q73" s="199" t="str">
        <f>VLOOKUP(A73,'SALE PARTY MASTR '!$B$5:$I$105,8,FALSE)</f>
        <v>Oms Sale</v>
      </c>
      <c r="R73" s="199" t="s">
        <v>903</v>
      </c>
      <c r="S73" s="401">
        <v>87081090</v>
      </c>
      <c r="T73" s="201" t="str">
        <f>VLOOKUP(S73,'SALE HSN MASTER '!$A$6:$D$20,2,FALSE)</f>
        <v>Parts &amp; Accessories Of Motor Vehicles Other</v>
      </c>
      <c r="U73" s="201" t="str">
        <f>VLOOKUP(S73,'SALE HSN MASTER '!$A$6:$D$20,3,FALSE)</f>
        <v>NOS-NUMBERS</v>
      </c>
      <c r="V73" s="201" t="str">
        <f>VLOOKUP(S73,'SALE HSN MASTER '!$A$6:$D$20,4,FALSE)</f>
        <v>Goods</v>
      </c>
      <c r="W73" s="401">
        <v>100</v>
      </c>
    </row>
    <row r="74" spans="1:23" ht="14.4" x14ac:dyDescent="0.3">
      <c r="A74" s="423" t="s">
        <v>25</v>
      </c>
      <c r="B74" s="199" t="str">
        <f>VLOOKUP(A74,'SALE PARTY MASTR '!$B$5:$G$280,2,FALSE)</f>
        <v>VE Commercial vehicles Ltd</v>
      </c>
      <c r="C74" s="397" t="s">
        <v>1047</v>
      </c>
      <c r="D74" s="398">
        <v>43137</v>
      </c>
      <c r="E74" s="320">
        <f t="shared" si="5"/>
        <v>5199.0271999999995</v>
      </c>
      <c r="F74" s="321" t="str">
        <f>VLOOKUP(A74,'SALE PARTY MASTR '!$B$5:$I$105,3,FALSE)</f>
        <v>23-Madhya Pradesh</v>
      </c>
      <c r="G74" s="321" t="str">
        <f>VLOOKUP(A74,'SALE PARTY MASTR '!$B$5:$I$105,4,FALSE)</f>
        <v>N</v>
      </c>
      <c r="H74" s="321" t="str">
        <f>VLOOKUP(A74,'SALE PARTY MASTR '!$B$5:$I$105,5,FALSE)</f>
        <v>Regular</v>
      </c>
      <c r="I74" s="321">
        <f>VLOOKUP(A74,'SALE PARTY MASTR '!$B$5:$I$105,6,FALSE)</f>
        <v>0</v>
      </c>
      <c r="J74" s="262">
        <f>VLOOKUP(S74,'SALE HSN MASTER '!$A$6:$E$20,5,FALSE)</f>
        <v>28</v>
      </c>
      <c r="K74" s="400">
        <v>4061.74</v>
      </c>
      <c r="L74" s="184"/>
      <c r="M74" s="322">
        <f t="shared" si="6"/>
        <v>1137.2872</v>
      </c>
      <c r="N74" s="322">
        <f t="shared" si="7"/>
        <v>0</v>
      </c>
      <c r="O74" s="322">
        <f t="shared" si="8"/>
        <v>0</v>
      </c>
      <c r="P74" s="199">
        <f>VLOOKUP(A74,'SALE PARTY MASTR '!$B$5:$I$105,7,FALSE)</f>
        <v>2</v>
      </c>
      <c r="Q74" s="199" t="str">
        <f>VLOOKUP(A74,'SALE PARTY MASTR '!$B$5:$I$105,8,FALSE)</f>
        <v>Oms Sale</v>
      </c>
      <c r="R74" s="199" t="s">
        <v>903</v>
      </c>
      <c r="S74" s="401">
        <v>87081090</v>
      </c>
      <c r="T74" s="201" t="str">
        <f>VLOOKUP(S74,'SALE HSN MASTER '!$A$6:$D$20,2,FALSE)</f>
        <v>Parts &amp; Accessories Of Motor Vehicles Other</v>
      </c>
      <c r="U74" s="201" t="str">
        <f>VLOOKUP(S74,'SALE HSN MASTER '!$A$6:$D$20,3,FALSE)</f>
        <v>NOS-NUMBERS</v>
      </c>
      <c r="V74" s="201" t="str">
        <f>VLOOKUP(S74,'SALE HSN MASTER '!$A$6:$D$20,4,FALSE)</f>
        <v>Goods</v>
      </c>
      <c r="W74" s="401">
        <v>2</v>
      </c>
    </row>
    <row r="75" spans="1:23" ht="14.4" x14ac:dyDescent="0.3">
      <c r="A75" s="423" t="s">
        <v>23</v>
      </c>
      <c r="B75" s="199" t="str">
        <f>VLOOKUP(A75,'SALE PARTY MASTR '!$B$5:$G$280,2,FALSE)</f>
        <v>Varroc Polymers Pvt.ltd.</v>
      </c>
      <c r="C75" s="397" t="s">
        <v>1048</v>
      </c>
      <c r="D75" s="398">
        <v>43137</v>
      </c>
      <c r="E75" s="320">
        <f t="shared" si="5"/>
        <v>55861.785599999996</v>
      </c>
      <c r="F75" s="321" t="str">
        <f>VLOOKUP(A75,'SALE PARTY MASTR '!$B$5:$I$105,3,FALSE)</f>
        <v>27-Maharashatra</v>
      </c>
      <c r="G75" s="321" t="str">
        <f>VLOOKUP(A75,'SALE PARTY MASTR '!$B$5:$I$105,4,FALSE)</f>
        <v>N</v>
      </c>
      <c r="H75" s="321" t="str">
        <f>VLOOKUP(A75,'SALE PARTY MASTR '!$B$5:$I$105,5,FALSE)</f>
        <v>Regular</v>
      </c>
      <c r="I75" s="321">
        <f>VLOOKUP(A75,'SALE PARTY MASTR '!$B$5:$I$105,6,FALSE)</f>
        <v>0</v>
      </c>
      <c r="J75" s="262">
        <f>VLOOKUP(S75,'SALE HSN MASTER '!$A$6:$E$20,5,FALSE)</f>
        <v>28</v>
      </c>
      <c r="K75" s="400">
        <v>43642.02</v>
      </c>
      <c r="L75" s="184"/>
      <c r="M75" s="322">
        <f t="shared" si="6"/>
        <v>0</v>
      </c>
      <c r="N75" s="322">
        <f t="shared" si="7"/>
        <v>6109.8828000000003</v>
      </c>
      <c r="O75" s="322">
        <f t="shared" si="8"/>
        <v>6109.8828000000003</v>
      </c>
      <c r="P75" s="199">
        <f>VLOOKUP(A75,'SALE PARTY MASTR '!$B$5:$I$105,7,FALSE)</f>
        <v>2</v>
      </c>
      <c r="Q75" s="199" t="str">
        <f>VLOOKUP(A75,'SALE PARTY MASTR '!$B$5:$I$105,8,FALSE)</f>
        <v>Local Sale</v>
      </c>
      <c r="R75" s="199" t="s">
        <v>897</v>
      </c>
      <c r="S75" s="401">
        <v>87081090</v>
      </c>
      <c r="T75" s="201" t="str">
        <f>VLOOKUP(S75,'SALE HSN MASTER '!$A$6:$D$20,2,FALSE)</f>
        <v>Parts &amp; Accessories Of Motor Vehicles Other</v>
      </c>
      <c r="U75" s="201" t="str">
        <f>VLOOKUP(S75,'SALE HSN MASTER '!$A$6:$D$20,3,FALSE)</f>
        <v>NOS-NUMBERS</v>
      </c>
      <c r="V75" s="201" t="str">
        <f>VLOOKUP(S75,'SALE HSN MASTER '!$A$6:$D$20,4,FALSE)</f>
        <v>Goods</v>
      </c>
      <c r="W75" s="401">
        <v>604</v>
      </c>
    </row>
    <row r="76" spans="1:23" ht="14.4" x14ac:dyDescent="0.3">
      <c r="A76" s="423" t="s">
        <v>23</v>
      </c>
      <c r="B76" s="199" t="str">
        <f>VLOOKUP(A76,'SALE PARTY MASTR '!$B$5:$G$280,2,FALSE)</f>
        <v>Varroc Polymers Pvt.ltd.</v>
      </c>
      <c r="C76" s="397" t="s">
        <v>1049</v>
      </c>
      <c r="D76" s="398">
        <v>43137</v>
      </c>
      <c r="E76" s="320">
        <f t="shared" si="5"/>
        <v>11368.96</v>
      </c>
      <c r="F76" s="321" t="str">
        <f>VLOOKUP(A76,'SALE PARTY MASTR '!$B$5:$I$105,3,FALSE)</f>
        <v>27-Maharashatra</v>
      </c>
      <c r="G76" s="321" t="str">
        <f>VLOOKUP(A76,'SALE PARTY MASTR '!$B$5:$I$105,4,FALSE)</f>
        <v>N</v>
      </c>
      <c r="H76" s="321" t="str">
        <f>VLOOKUP(A76,'SALE PARTY MASTR '!$B$5:$I$105,5,FALSE)</f>
        <v>Regular</v>
      </c>
      <c r="I76" s="321">
        <f>VLOOKUP(A76,'SALE PARTY MASTR '!$B$5:$I$105,6,FALSE)</f>
        <v>0</v>
      </c>
      <c r="J76" s="262">
        <f>VLOOKUP(S76,'SALE HSN MASTER '!$A$6:$E$20,5,FALSE)</f>
        <v>28</v>
      </c>
      <c r="K76" s="400">
        <v>8882</v>
      </c>
      <c r="L76" s="184"/>
      <c r="M76" s="322">
        <f t="shared" si="6"/>
        <v>0</v>
      </c>
      <c r="N76" s="322">
        <f t="shared" si="7"/>
        <v>1243.48</v>
      </c>
      <c r="O76" s="322">
        <f t="shared" si="8"/>
        <v>1243.48</v>
      </c>
      <c r="P76" s="199">
        <f>VLOOKUP(A76,'SALE PARTY MASTR '!$B$5:$I$105,7,FALSE)</f>
        <v>2</v>
      </c>
      <c r="Q76" s="199" t="str">
        <f>VLOOKUP(A76,'SALE PARTY MASTR '!$B$5:$I$105,8,FALSE)</f>
        <v>Local Sale</v>
      </c>
      <c r="R76" s="199" t="s">
        <v>897</v>
      </c>
      <c r="S76" s="401">
        <v>87141090</v>
      </c>
      <c r="T76" s="201" t="str">
        <f>VLOOKUP(S76,'SALE HSN MASTER '!$A$6:$D$20,2,FALSE)</f>
        <v>Parts &amp; Accessories Of Motor Vehicles Other</v>
      </c>
      <c r="U76" s="201" t="str">
        <f>VLOOKUP(S76,'SALE HSN MASTER '!$A$6:$D$20,3,FALSE)</f>
        <v>NOS-NUMBERS</v>
      </c>
      <c r="V76" s="201" t="str">
        <f>VLOOKUP(S76,'SALE HSN MASTER '!$A$6:$D$20,4,FALSE)</f>
        <v>Goods</v>
      </c>
      <c r="W76" s="401">
        <v>100</v>
      </c>
    </row>
    <row r="77" spans="1:23" ht="14.4" x14ac:dyDescent="0.3">
      <c r="A77" s="423" t="s">
        <v>22</v>
      </c>
      <c r="B77" s="199" t="str">
        <f>VLOOKUP(A77,'SALE PARTY MASTR '!$B$5:$G$280,2,FALSE)</f>
        <v>Japtech Industries</v>
      </c>
      <c r="C77" s="397" t="s">
        <v>1050</v>
      </c>
      <c r="D77" s="398">
        <v>43138</v>
      </c>
      <c r="E77" s="320">
        <f t="shared" si="5"/>
        <v>10058.556</v>
      </c>
      <c r="F77" s="321" t="str">
        <f>VLOOKUP(A77,'SALE PARTY MASTR '!$B$5:$I$105,3,FALSE)</f>
        <v>27-Maharashatra</v>
      </c>
      <c r="G77" s="321" t="str">
        <f>VLOOKUP(A77,'SALE PARTY MASTR '!$B$5:$I$105,4,FALSE)</f>
        <v>N</v>
      </c>
      <c r="H77" s="321" t="str">
        <f>VLOOKUP(A77,'SALE PARTY MASTR '!$B$5:$I$105,5,FALSE)</f>
        <v>Regular</v>
      </c>
      <c r="I77" s="321">
        <f>VLOOKUP(A77,'SALE PARTY MASTR '!$B$5:$I$105,6,FALSE)</f>
        <v>0</v>
      </c>
      <c r="J77" s="262">
        <f>VLOOKUP(S77,'SALE HSN MASTER '!$A$6:$E$20,5,FALSE)</f>
        <v>18</v>
      </c>
      <c r="K77" s="400">
        <v>8524.2000000000007</v>
      </c>
      <c r="L77" s="184"/>
      <c r="M77" s="322">
        <f t="shared" si="6"/>
        <v>0</v>
      </c>
      <c r="N77" s="322">
        <f t="shared" si="7"/>
        <v>767.178</v>
      </c>
      <c r="O77" s="322">
        <f t="shared" si="8"/>
        <v>767.178</v>
      </c>
      <c r="P77" s="199">
        <f>VLOOKUP(A77,'SALE PARTY MASTR '!$B$5:$I$105,7,FALSE)</f>
        <v>2</v>
      </c>
      <c r="Q77" s="199" t="str">
        <f>VLOOKUP(A77,'SALE PARTY MASTR '!$B$5:$I$105,8,FALSE)</f>
        <v>Local Sale</v>
      </c>
      <c r="R77" s="199" t="s">
        <v>894</v>
      </c>
      <c r="S77" s="401">
        <v>998898</v>
      </c>
      <c r="T77" s="201" t="str">
        <f>VLOOKUP(S77,'SALE HSN MASTER '!$A$6:$D$20,2,FALSE)</f>
        <v>Parts &amp; Accessories Of Motor Vehicles Other</v>
      </c>
      <c r="U77" s="201" t="str">
        <f>VLOOKUP(S77,'SALE HSN MASTER '!$A$6:$D$20,3,FALSE)</f>
        <v>NOS-NUMBERS</v>
      </c>
      <c r="V77" s="201" t="str">
        <f>VLOOKUP(S77,'SALE HSN MASTER '!$A$6:$D$20,4,FALSE)</f>
        <v>Service</v>
      </c>
      <c r="W77" s="401">
        <v>30</v>
      </c>
    </row>
    <row r="78" spans="1:23" ht="14.4" x14ac:dyDescent="0.3">
      <c r="A78" s="423" t="s">
        <v>23</v>
      </c>
      <c r="B78" s="199" t="str">
        <f>VLOOKUP(A78,'SALE PARTY MASTR '!$B$5:$G$280,2,FALSE)</f>
        <v>Varroc Polymers Pvt.ltd.</v>
      </c>
      <c r="C78" s="397" t="s">
        <v>1051</v>
      </c>
      <c r="D78" s="398">
        <v>43138</v>
      </c>
      <c r="E78" s="320">
        <f t="shared" si="5"/>
        <v>27745.919999999998</v>
      </c>
      <c r="F78" s="321" t="str">
        <f>VLOOKUP(A78,'SALE PARTY MASTR '!$B$5:$I$105,3,FALSE)</f>
        <v>27-Maharashatra</v>
      </c>
      <c r="G78" s="321" t="str">
        <f>VLOOKUP(A78,'SALE PARTY MASTR '!$B$5:$I$105,4,FALSE)</f>
        <v>N</v>
      </c>
      <c r="H78" s="321" t="str">
        <f>VLOOKUP(A78,'SALE PARTY MASTR '!$B$5:$I$105,5,FALSE)</f>
        <v>Regular</v>
      </c>
      <c r="I78" s="321">
        <f>VLOOKUP(A78,'SALE PARTY MASTR '!$B$5:$I$105,6,FALSE)</f>
        <v>0</v>
      </c>
      <c r="J78" s="262">
        <f>VLOOKUP(S78,'SALE HSN MASTER '!$A$6:$E$20,5,FALSE)</f>
        <v>28</v>
      </c>
      <c r="K78" s="400">
        <v>21676.5</v>
      </c>
      <c r="L78" s="184"/>
      <c r="M78" s="322">
        <f t="shared" si="6"/>
        <v>0</v>
      </c>
      <c r="N78" s="322">
        <f t="shared" si="7"/>
        <v>3034.7100000000005</v>
      </c>
      <c r="O78" s="322">
        <f t="shared" si="8"/>
        <v>3034.7100000000005</v>
      </c>
      <c r="P78" s="199">
        <f>VLOOKUP(A78,'SALE PARTY MASTR '!$B$5:$I$105,7,FALSE)</f>
        <v>2</v>
      </c>
      <c r="Q78" s="199" t="str">
        <f>VLOOKUP(A78,'SALE PARTY MASTR '!$B$5:$I$105,8,FALSE)</f>
        <v>Local Sale</v>
      </c>
      <c r="R78" s="199" t="s">
        <v>897</v>
      </c>
      <c r="S78" s="401">
        <v>87081090</v>
      </c>
      <c r="T78" s="201" t="str">
        <f>VLOOKUP(S78,'SALE HSN MASTER '!$A$6:$D$20,2,FALSE)</f>
        <v>Parts &amp; Accessories Of Motor Vehicles Other</v>
      </c>
      <c r="U78" s="201" t="str">
        <f>VLOOKUP(S78,'SALE HSN MASTER '!$A$6:$D$20,3,FALSE)</f>
        <v>NOS-NUMBERS</v>
      </c>
      <c r="V78" s="201" t="str">
        <f>VLOOKUP(S78,'SALE HSN MASTER '!$A$6:$D$20,4,FALSE)</f>
        <v>Goods</v>
      </c>
      <c r="W78" s="401">
        <v>300</v>
      </c>
    </row>
    <row r="79" spans="1:23" ht="14.4" x14ac:dyDescent="0.3">
      <c r="A79" s="423" t="s">
        <v>32</v>
      </c>
      <c r="B79" s="199" t="str">
        <f>VLOOKUP(A79,'SALE PARTY MASTR '!$B$5:$G$280,2,FALSE)</f>
        <v>Pricol Ltd (Formerly Pricol Pune Ltd)</v>
      </c>
      <c r="C79" s="397" t="s">
        <v>1052</v>
      </c>
      <c r="D79" s="398">
        <v>43138</v>
      </c>
      <c r="E79" s="320">
        <f t="shared" si="5"/>
        <v>23153.664000000001</v>
      </c>
      <c r="F79" s="321" t="str">
        <f>VLOOKUP(A79,'SALE PARTY MASTR '!$B$5:$I$105,3,FALSE)</f>
        <v>27-Maharashatra</v>
      </c>
      <c r="G79" s="321" t="str">
        <f>VLOOKUP(A79,'SALE PARTY MASTR '!$B$5:$I$105,4,FALSE)</f>
        <v>N</v>
      </c>
      <c r="H79" s="321" t="str">
        <f>VLOOKUP(A79,'SALE PARTY MASTR '!$B$5:$I$105,5,FALSE)</f>
        <v>Regular</v>
      </c>
      <c r="I79" s="321">
        <f>VLOOKUP(A79,'SALE PARTY MASTR '!$B$5:$I$105,6,FALSE)</f>
        <v>0</v>
      </c>
      <c r="J79" s="262">
        <f>VLOOKUP(S79,'SALE HSN MASTER '!$A$6:$E$20,5,FALSE)</f>
        <v>28</v>
      </c>
      <c r="K79" s="400">
        <v>18088.8</v>
      </c>
      <c r="L79" s="184"/>
      <c r="M79" s="322">
        <f t="shared" si="6"/>
        <v>0</v>
      </c>
      <c r="N79" s="322">
        <f t="shared" si="7"/>
        <v>2532.4320000000002</v>
      </c>
      <c r="O79" s="322">
        <f t="shared" si="8"/>
        <v>2532.4320000000002</v>
      </c>
      <c r="P79" s="199">
        <f>VLOOKUP(A79,'SALE PARTY MASTR '!$B$5:$I$105,7,FALSE)</f>
        <v>2</v>
      </c>
      <c r="Q79" s="199" t="str">
        <f>VLOOKUP(A79,'SALE PARTY MASTR '!$B$5:$I$105,8,FALSE)</f>
        <v>Local Sale</v>
      </c>
      <c r="R79" s="199" t="s">
        <v>897</v>
      </c>
      <c r="S79" s="401">
        <v>87141090</v>
      </c>
      <c r="T79" s="201" t="str">
        <f>VLOOKUP(S79,'SALE HSN MASTER '!$A$6:$D$20,2,FALSE)</f>
        <v>Parts &amp; Accessories Of Motor Vehicles Other</v>
      </c>
      <c r="U79" s="201" t="str">
        <f>VLOOKUP(S79,'SALE HSN MASTER '!$A$6:$D$20,3,FALSE)</f>
        <v>NOS-NUMBERS</v>
      </c>
      <c r="V79" s="201" t="str">
        <f>VLOOKUP(S79,'SALE HSN MASTER '!$A$6:$D$20,4,FALSE)</f>
        <v>Goods</v>
      </c>
      <c r="W79" s="401">
        <v>240</v>
      </c>
    </row>
    <row r="80" spans="1:23" ht="14.4" x14ac:dyDescent="0.3">
      <c r="A80" s="423" t="s">
        <v>32</v>
      </c>
      <c r="B80" s="199" t="str">
        <f>VLOOKUP(A80,'SALE PARTY MASTR '!$B$5:$G$280,2,FALSE)</f>
        <v>Pricol Ltd (Formerly Pricol Pune Ltd)</v>
      </c>
      <c r="C80" s="397" t="s">
        <v>1053</v>
      </c>
      <c r="D80" s="398">
        <v>43138</v>
      </c>
      <c r="E80" s="320">
        <f t="shared" si="5"/>
        <v>50566.656000000003</v>
      </c>
      <c r="F80" s="321" t="str">
        <f>VLOOKUP(A80,'SALE PARTY MASTR '!$B$5:$I$105,3,FALSE)</f>
        <v>27-Maharashatra</v>
      </c>
      <c r="G80" s="321" t="str">
        <f>VLOOKUP(A80,'SALE PARTY MASTR '!$B$5:$I$105,4,FALSE)</f>
        <v>N</v>
      </c>
      <c r="H80" s="321" t="str">
        <f>VLOOKUP(A80,'SALE PARTY MASTR '!$B$5:$I$105,5,FALSE)</f>
        <v>Regular</v>
      </c>
      <c r="I80" s="321">
        <f>VLOOKUP(A80,'SALE PARTY MASTR '!$B$5:$I$105,6,FALSE)</f>
        <v>0</v>
      </c>
      <c r="J80" s="262">
        <f>VLOOKUP(S80,'SALE HSN MASTER '!$A$6:$E$20,5,FALSE)</f>
        <v>28</v>
      </c>
      <c r="K80" s="400">
        <v>39505.199999999997</v>
      </c>
      <c r="L80" s="184"/>
      <c r="M80" s="322">
        <f t="shared" si="6"/>
        <v>0</v>
      </c>
      <c r="N80" s="322">
        <f t="shared" si="7"/>
        <v>5530.7280000000001</v>
      </c>
      <c r="O80" s="322">
        <f t="shared" si="8"/>
        <v>5530.7280000000001</v>
      </c>
      <c r="P80" s="199">
        <f>VLOOKUP(A80,'SALE PARTY MASTR '!$B$5:$I$105,7,FALSE)</f>
        <v>2</v>
      </c>
      <c r="Q80" s="199" t="str">
        <f>VLOOKUP(A80,'SALE PARTY MASTR '!$B$5:$I$105,8,FALSE)</f>
        <v>Local Sale</v>
      </c>
      <c r="R80" s="199" t="s">
        <v>897</v>
      </c>
      <c r="S80" s="401">
        <v>87141090</v>
      </c>
      <c r="T80" s="201" t="str">
        <f>VLOOKUP(S80,'SALE HSN MASTER '!$A$6:$D$20,2,FALSE)</f>
        <v>Parts &amp; Accessories Of Motor Vehicles Other</v>
      </c>
      <c r="U80" s="201" t="str">
        <f>VLOOKUP(S80,'SALE HSN MASTER '!$A$6:$D$20,3,FALSE)</f>
        <v>NOS-NUMBERS</v>
      </c>
      <c r="V80" s="201" t="str">
        <f>VLOOKUP(S80,'SALE HSN MASTER '!$A$6:$D$20,4,FALSE)</f>
        <v>Goods</v>
      </c>
      <c r="W80" s="401">
        <v>840</v>
      </c>
    </row>
    <row r="81" spans="1:23" ht="14.4" x14ac:dyDescent="0.3">
      <c r="A81" s="423" t="s">
        <v>32</v>
      </c>
      <c r="B81" s="199" t="str">
        <f>VLOOKUP(A81,'SALE PARTY MASTR '!$B$5:$G$280,2,FALSE)</f>
        <v>Pricol Ltd (Formerly Pricol Pune Ltd)</v>
      </c>
      <c r="C81" s="397" t="s">
        <v>1054</v>
      </c>
      <c r="D81" s="398">
        <v>43138</v>
      </c>
      <c r="E81" s="320">
        <f t="shared" si="5"/>
        <v>7223.8080000000009</v>
      </c>
      <c r="F81" s="321" t="str">
        <f>VLOOKUP(A81,'SALE PARTY MASTR '!$B$5:$I$105,3,FALSE)</f>
        <v>27-Maharashatra</v>
      </c>
      <c r="G81" s="321" t="str">
        <f>VLOOKUP(A81,'SALE PARTY MASTR '!$B$5:$I$105,4,FALSE)</f>
        <v>N</v>
      </c>
      <c r="H81" s="321" t="str">
        <f>VLOOKUP(A81,'SALE PARTY MASTR '!$B$5:$I$105,5,FALSE)</f>
        <v>Regular</v>
      </c>
      <c r="I81" s="321">
        <f>VLOOKUP(A81,'SALE PARTY MASTR '!$B$5:$I$105,6,FALSE)</f>
        <v>0</v>
      </c>
      <c r="J81" s="262">
        <f>VLOOKUP(S81,'SALE HSN MASTER '!$A$6:$E$20,5,FALSE)</f>
        <v>28</v>
      </c>
      <c r="K81" s="400">
        <v>5643.6</v>
      </c>
      <c r="L81" s="184"/>
      <c r="M81" s="322">
        <f t="shared" si="6"/>
        <v>0</v>
      </c>
      <c r="N81" s="322">
        <f t="shared" si="7"/>
        <v>790.10400000000016</v>
      </c>
      <c r="O81" s="322">
        <f t="shared" si="8"/>
        <v>790.10400000000016</v>
      </c>
      <c r="P81" s="199">
        <f>VLOOKUP(A81,'SALE PARTY MASTR '!$B$5:$I$105,7,FALSE)</f>
        <v>2</v>
      </c>
      <c r="Q81" s="199" t="str">
        <f>VLOOKUP(A81,'SALE PARTY MASTR '!$B$5:$I$105,8,FALSE)</f>
        <v>Local Sale</v>
      </c>
      <c r="R81" s="199" t="s">
        <v>897</v>
      </c>
      <c r="S81" s="401">
        <v>87141090</v>
      </c>
      <c r="T81" s="201" t="str">
        <f>VLOOKUP(S81,'SALE HSN MASTER '!$A$6:$D$20,2,FALSE)</f>
        <v>Parts &amp; Accessories Of Motor Vehicles Other</v>
      </c>
      <c r="U81" s="201" t="str">
        <f>VLOOKUP(S81,'SALE HSN MASTER '!$A$6:$D$20,3,FALSE)</f>
        <v>NOS-NUMBERS</v>
      </c>
      <c r="V81" s="201" t="str">
        <f>VLOOKUP(S81,'SALE HSN MASTER '!$A$6:$D$20,4,FALSE)</f>
        <v>Goods</v>
      </c>
      <c r="W81" s="401">
        <v>120</v>
      </c>
    </row>
    <row r="82" spans="1:23" ht="14.4" x14ac:dyDescent="0.3">
      <c r="A82" s="423" t="s">
        <v>27</v>
      </c>
      <c r="B82" s="199" t="str">
        <f>VLOOKUP(A82,'SALE PARTY MASTR '!$B$5:$G$280,2,FALSE)</f>
        <v>Rinder India Pvt Ltd.</v>
      </c>
      <c r="C82" s="397" t="s">
        <v>1055</v>
      </c>
      <c r="D82" s="398">
        <v>43138</v>
      </c>
      <c r="E82" s="320">
        <f t="shared" si="5"/>
        <v>28320</v>
      </c>
      <c r="F82" s="321" t="str">
        <f>VLOOKUP(A82,'SALE PARTY MASTR '!$B$5:$I$105,3,FALSE)</f>
        <v>27-Maharashatra</v>
      </c>
      <c r="G82" s="321" t="str">
        <f>VLOOKUP(A82,'SALE PARTY MASTR '!$B$5:$I$105,4,FALSE)</f>
        <v>N</v>
      </c>
      <c r="H82" s="321" t="str">
        <f>VLOOKUP(A82,'SALE PARTY MASTR '!$B$5:$I$105,5,FALSE)</f>
        <v>Regular</v>
      </c>
      <c r="I82" s="321">
        <f>VLOOKUP(A82,'SALE PARTY MASTR '!$B$5:$I$105,6,FALSE)</f>
        <v>0</v>
      </c>
      <c r="J82" s="262">
        <f>VLOOKUP(S82,'SALE HSN MASTER '!$A$6:$E$20,5,FALSE)</f>
        <v>18</v>
      </c>
      <c r="K82" s="400">
        <v>24000</v>
      </c>
      <c r="L82" s="184"/>
      <c r="M82" s="322">
        <f t="shared" si="6"/>
        <v>0</v>
      </c>
      <c r="N82" s="322">
        <f t="shared" si="7"/>
        <v>2160</v>
      </c>
      <c r="O82" s="322">
        <f t="shared" si="8"/>
        <v>2160</v>
      </c>
      <c r="P82" s="199">
        <f>VLOOKUP(A82,'SALE PARTY MASTR '!$B$5:$I$105,7,FALSE)</f>
        <v>2</v>
      </c>
      <c r="Q82" s="199" t="str">
        <f>VLOOKUP(A82,'SALE PARTY MASTR '!$B$5:$I$105,8,FALSE)</f>
        <v>Local Sale</v>
      </c>
      <c r="R82" s="199" t="s">
        <v>894</v>
      </c>
      <c r="S82" s="401">
        <v>85129000</v>
      </c>
      <c r="T82" s="201" t="str">
        <f>VLOOKUP(S82,'SALE HSN MASTER '!$A$6:$D$20,2,FALSE)</f>
        <v>Parts &amp; Accessories Of Motor Vehicles Other</v>
      </c>
      <c r="U82" s="201" t="str">
        <f>VLOOKUP(S82,'SALE HSN MASTER '!$A$6:$D$20,3,FALSE)</f>
        <v>NOS-NUMBERS</v>
      </c>
      <c r="V82" s="201" t="str">
        <f>VLOOKUP(S82,'SALE HSN MASTER '!$A$6:$D$20,4,FALSE)</f>
        <v>Goods</v>
      </c>
      <c r="W82" s="401">
        <v>960</v>
      </c>
    </row>
    <row r="83" spans="1:23" ht="14.4" x14ac:dyDescent="0.3">
      <c r="A83" s="423" t="s">
        <v>24</v>
      </c>
      <c r="B83" s="199" t="str">
        <f>VLOOKUP(A83,'SALE PARTY MASTR '!$B$5:$G$280,2,FALSE)</f>
        <v>Tata Autocomp Systems LTD.(X1)</v>
      </c>
      <c r="C83" s="397" t="s">
        <v>1056</v>
      </c>
      <c r="D83" s="398">
        <v>43138</v>
      </c>
      <c r="E83" s="320">
        <f t="shared" si="5"/>
        <v>18300.416000000001</v>
      </c>
      <c r="F83" s="321" t="str">
        <f>VLOOKUP(A83,'SALE PARTY MASTR '!$B$5:$I$105,3,FALSE)</f>
        <v>27-Maharashatra</v>
      </c>
      <c r="G83" s="321" t="str">
        <f>VLOOKUP(A83,'SALE PARTY MASTR '!$B$5:$I$105,4,FALSE)</f>
        <v>N</v>
      </c>
      <c r="H83" s="321" t="str">
        <f>VLOOKUP(A83,'SALE PARTY MASTR '!$B$5:$I$105,5,FALSE)</f>
        <v>Regular</v>
      </c>
      <c r="I83" s="321">
        <f>VLOOKUP(A83,'SALE PARTY MASTR '!$B$5:$I$105,6,FALSE)</f>
        <v>0</v>
      </c>
      <c r="J83" s="262">
        <f>VLOOKUP(S83,'SALE HSN MASTER '!$A$6:$E$20,5,FALSE)</f>
        <v>28</v>
      </c>
      <c r="K83" s="400">
        <v>14297.2</v>
      </c>
      <c r="L83" s="184"/>
      <c r="M83" s="322">
        <f t="shared" si="6"/>
        <v>0</v>
      </c>
      <c r="N83" s="322">
        <f t="shared" si="7"/>
        <v>2001.6080000000004</v>
      </c>
      <c r="O83" s="322">
        <f t="shared" si="8"/>
        <v>2001.6080000000004</v>
      </c>
      <c r="P83" s="199">
        <f>VLOOKUP(A83,'SALE PARTY MASTR '!$B$5:$I$105,7,FALSE)</f>
        <v>2</v>
      </c>
      <c r="Q83" s="199" t="str">
        <f>VLOOKUP(A83,'SALE PARTY MASTR '!$B$5:$I$105,8,FALSE)</f>
        <v>Local Sale</v>
      </c>
      <c r="R83" s="199" t="s">
        <v>897</v>
      </c>
      <c r="S83" s="401">
        <v>87089900</v>
      </c>
      <c r="T83" s="201" t="str">
        <f>VLOOKUP(S83,'SALE HSN MASTER '!$A$6:$D$20,2,FALSE)</f>
        <v>Parts &amp; Accessories Of Motor Vehicles Other</v>
      </c>
      <c r="U83" s="201" t="str">
        <f>VLOOKUP(S83,'SALE HSN MASTER '!$A$6:$D$20,3,FALSE)</f>
        <v>NOS-NUMBERS</v>
      </c>
      <c r="V83" s="201" t="str">
        <f>VLOOKUP(S83,'SALE HSN MASTER '!$A$6:$D$20,4,FALSE)</f>
        <v>Goods</v>
      </c>
      <c r="W83" s="401">
        <v>40</v>
      </c>
    </row>
    <row r="84" spans="1:23" ht="14.4" x14ac:dyDescent="0.3">
      <c r="A84" s="423" t="s">
        <v>976</v>
      </c>
      <c r="B84" s="199" t="str">
        <f>VLOOKUP(A84,'SALE PARTY MASTR '!$B$5:$G$280,2,FALSE)</f>
        <v>Renata Precision Components Pvt Ltd</v>
      </c>
      <c r="C84" s="397" t="s">
        <v>1057</v>
      </c>
      <c r="D84" s="398">
        <v>43138</v>
      </c>
      <c r="E84" s="320">
        <f t="shared" si="5"/>
        <v>37878</v>
      </c>
      <c r="F84" s="321" t="str">
        <f>VLOOKUP(A84,'SALE PARTY MASTR '!$B$5:$I$105,3,FALSE)</f>
        <v>27-Maharashatra</v>
      </c>
      <c r="G84" s="321" t="str">
        <f>VLOOKUP(A84,'SALE PARTY MASTR '!$B$5:$I$105,4,FALSE)</f>
        <v>N</v>
      </c>
      <c r="H84" s="321" t="str">
        <f>VLOOKUP(A84,'SALE PARTY MASTR '!$B$5:$I$105,5,FALSE)</f>
        <v>Regular</v>
      </c>
      <c r="I84" s="321">
        <f>VLOOKUP(A84,'SALE PARTY MASTR '!$B$5:$I$105,6,FALSE)</f>
        <v>0</v>
      </c>
      <c r="J84" s="262">
        <f>VLOOKUP(S84,'SALE HSN MASTER '!$A$6:$E$20,5,FALSE)</f>
        <v>18</v>
      </c>
      <c r="K84" s="400">
        <v>32100</v>
      </c>
      <c r="L84" s="184"/>
      <c r="M84" s="322">
        <f t="shared" si="6"/>
        <v>0</v>
      </c>
      <c r="N84" s="322">
        <f t="shared" si="7"/>
        <v>2889</v>
      </c>
      <c r="O84" s="322">
        <f t="shared" si="8"/>
        <v>2889</v>
      </c>
      <c r="P84" s="199">
        <f>VLOOKUP(A84,'SALE PARTY MASTR '!$B$5:$I$105,7,FALSE)</f>
        <v>2</v>
      </c>
      <c r="Q84" s="199" t="str">
        <f>VLOOKUP(A84,'SALE PARTY MASTR '!$B$5:$I$105,8,FALSE)</f>
        <v>Local Sale</v>
      </c>
      <c r="R84" s="199" t="s">
        <v>894</v>
      </c>
      <c r="S84" s="401">
        <v>998898</v>
      </c>
      <c r="T84" s="201" t="str">
        <f>VLOOKUP(S84,'SALE HSN MASTER '!$A$6:$D$20,2,FALSE)</f>
        <v>Parts &amp; Accessories Of Motor Vehicles Other</v>
      </c>
      <c r="U84" s="201" t="str">
        <f>VLOOKUP(S84,'SALE HSN MASTER '!$A$6:$D$20,3,FALSE)</f>
        <v>NOS-NUMBERS</v>
      </c>
      <c r="V84" s="201" t="str">
        <f>VLOOKUP(S84,'SALE HSN MASTER '!$A$6:$D$20,4,FALSE)</f>
        <v>Service</v>
      </c>
      <c r="W84" s="401">
        <v>360</v>
      </c>
    </row>
    <row r="85" spans="1:23" ht="14.4" x14ac:dyDescent="0.3">
      <c r="A85" s="423" t="s">
        <v>23</v>
      </c>
      <c r="B85" s="199" t="str">
        <f>VLOOKUP(A85,'SALE PARTY MASTR '!$B$5:$G$280,2,FALSE)</f>
        <v>Varroc Polymers Pvt.ltd.</v>
      </c>
      <c r="C85" s="397" t="s">
        <v>1058</v>
      </c>
      <c r="D85" s="398">
        <v>43138</v>
      </c>
      <c r="E85" s="320">
        <f t="shared" si="5"/>
        <v>36624.614399999999</v>
      </c>
      <c r="F85" s="321" t="str">
        <f>VLOOKUP(A85,'SALE PARTY MASTR '!$B$5:$I$105,3,FALSE)</f>
        <v>27-Maharashatra</v>
      </c>
      <c r="G85" s="321" t="str">
        <f>VLOOKUP(A85,'SALE PARTY MASTR '!$B$5:$I$105,4,FALSE)</f>
        <v>N</v>
      </c>
      <c r="H85" s="321" t="str">
        <f>VLOOKUP(A85,'SALE PARTY MASTR '!$B$5:$I$105,5,FALSE)</f>
        <v>Regular</v>
      </c>
      <c r="I85" s="321">
        <f>VLOOKUP(A85,'SALE PARTY MASTR '!$B$5:$I$105,6,FALSE)</f>
        <v>0</v>
      </c>
      <c r="J85" s="262">
        <f>VLOOKUP(S85,'SALE HSN MASTER '!$A$6:$E$20,5,FALSE)</f>
        <v>28</v>
      </c>
      <c r="K85" s="400">
        <v>28612.98</v>
      </c>
      <c r="L85" s="184"/>
      <c r="M85" s="322">
        <f t="shared" si="6"/>
        <v>0</v>
      </c>
      <c r="N85" s="322">
        <f t="shared" si="7"/>
        <v>4005.8172000000004</v>
      </c>
      <c r="O85" s="322">
        <f t="shared" si="8"/>
        <v>4005.8172000000004</v>
      </c>
      <c r="P85" s="199">
        <f>VLOOKUP(A85,'SALE PARTY MASTR '!$B$5:$I$105,7,FALSE)</f>
        <v>2</v>
      </c>
      <c r="Q85" s="199" t="str">
        <f>VLOOKUP(A85,'SALE PARTY MASTR '!$B$5:$I$105,8,FALSE)</f>
        <v>Local Sale</v>
      </c>
      <c r="R85" s="199" t="s">
        <v>897</v>
      </c>
      <c r="S85" s="401">
        <v>87081090</v>
      </c>
      <c r="T85" s="201" t="str">
        <f>VLOOKUP(S85,'SALE HSN MASTER '!$A$6:$D$20,2,FALSE)</f>
        <v>Parts &amp; Accessories Of Motor Vehicles Other</v>
      </c>
      <c r="U85" s="201" t="str">
        <f>VLOOKUP(S85,'SALE HSN MASTER '!$A$6:$D$20,3,FALSE)</f>
        <v>NOS-NUMBERS</v>
      </c>
      <c r="V85" s="201" t="str">
        <f>VLOOKUP(S85,'SALE HSN MASTER '!$A$6:$D$20,4,FALSE)</f>
        <v>Goods</v>
      </c>
      <c r="W85" s="401">
        <v>396</v>
      </c>
    </row>
    <row r="86" spans="1:23" ht="14.4" x14ac:dyDescent="0.3">
      <c r="A86" s="423" t="s">
        <v>23</v>
      </c>
      <c r="B86" s="199" t="str">
        <f>VLOOKUP(A86,'SALE PARTY MASTR '!$B$5:$G$280,2,FALSE)</f>
        <v>Varroc Polymers Pvt.ltd.</v>
      </c>
      <c r="C86" s="397" t="s">
        <v>1059</v>
      </c>
      <c r="D86" s="398">
        <v>43138</v>
      </c>
      <c r="E86" s="320">
        <f t="shared" si="5"/>
        <v>28896</v>
      </c>
      <c r="F86" s="321" t="str">
        <f>VLOOKUP(A86,'SALE PARTY MASTR '!$B$5:$I$105,3,FALSE)</f>
        <v>27-Maharashatra</v>
      </c>
      <c r="G86" s="321" t="str">
        <f>VLOOKUP(A86,'SALE PARTY MASTR '!$B$5:$I$105,4,FALSE)</f>
        <v>N</v>
      </c>
      <c r="H86" s="321" t="str">
        <f>VLOOKUP(A86,'SALE PARTY MASTR '!$B$5:$I$105,5,FALSE)</f>
        <v>Regular</v>
      </c>
      <c r="I86" s="321">
        <f>VLOOKUP(A86,'SALE PARTY MASTR '!$B$5:$I$105,6,FALSE)</f>
        <v>0</v>
      </c>
      <c r="J86" s="262">
        <f>VLOOKUP(S86,'SALE HSN MASTER '!$A$6:$E$20,5,FALSE)</f>
        <v>28</v>
      </c>
      <c r="K86" s="400">
        <v>22575</v>
      </c>
      <c r="L86" s="184"/>
      <c r="M86" s="322">
        <f t="shared" si="6"/>
        <v>0</v>
      </c>
      <c r="N86" s="322">
        <f t="shared" si="7"/>
        <v>3160.5000000000005</v>
      </c>
      <c r="O86" s="322">
        <f t="shared" si="8"/>
        <v>3160.5000000000005</v>
      </c>
      <c r="P86" s="199">
        <f>VLOOKUP(A86,'SALE PARTY MASTR '!$B$5:$I$105,7,FALSE)</f>
        <v>2</v>
      </c>
      <c r="Q86" s="199" t="str">
        <f>VLOOKUP(A86,'SALE PARTY MASTR '!$B$5:$I$105,8,FALSE)</f>
        <v>Local Sale</v>
      </c>
      <c r="R86" s="199" t="s">
        <v>897</v>
      </c>
      <c r="S86" s="401">
        <v>87141090</v>
      </c>
      <c r="T86" s="201" t="str">
        <f>VLOOKUP(S86,'SALE HSN MASTER '!$A$6:$D$20,2,FALSE)</f>
        <v>Parts &amp; Accessories Of Motor Vehicles Other</v>
      </c>
      <c r="U86" s="201" t="str">
        <f>VLOOKUP(S86,'SALE HSN MASTER '!$A$6:$D$20,3,FALSE)</f>
        <v>NOS-NUMBERS</v>
      </c>
      <c r="V86" s="201" t="str">
        <f>VLOOKUP(S86,'SALE HSN MASTER '!$A$6:$D$20,4,FALSE)</f>
        <v>Goods</v>
      </c>
      <c r="W86" s="401">
        <v>300</v>
      </c>
    </row>
    <row r="87" spans="1:23" ht="14.4" x14ac:dyDescent="0.3">
      <c r="A87" s="423" t="s">
        <v>23</v>
      </c>
      <c r="B87" s="199" t="str">
        <f>VLOOKUP(A87,'SALE PARTY MASTR '!$B$5:$G$280,2,FALSE)</f>
        <v>Varroc Polymers Pvt.ltd.</v>
      </c>
      <c r="C87" s="397" t="s">
        <v>1060</v>
      </c>
      <c r="D87" s="398">
        <v>43138</v>
      </c>
      <c r="E87" s="320">
        <f t="shared" si="5"/>
        <v>36624.614399999999</v>
      </c>
      <c r="F87" s="321" t="str">
        <f>VLOOKUP(A87,'SALE PARTY MASTR '!$B$5:$I$105,3,FALSE)</f>
        <v>27-Maharashatra</v>
      </c>
      <c r="G87" s="321" t="str">
        <f>VLOOKUP(A87,'SALE PARTY MASTR '!$B$5:$I$105,4,FALSE)</f>
        <v>N</v>
      </c>
      <c r="H87" s="321" t="str">
        <f>VLOOKUP(A87,'SALE PARTY MASTR '!$B$5:$I$105,5,FALSE)</f>
        <v>Regular</v>
      </c>
      <c r="I87" s="321">
        <f>VLOOKUP(A87,'SALE PARTY MASTR '!$B$5:$I$105,6,FALSE)</f>
        <v>0</v>
      </c>
      <c r="J87" s="262">
        <f>VLOOKUP(S87,'SALE HSN MASTER '!$A$6:$E$20,5,FALSE)</f>
        <v>28</v>
      </c>
      <c r="K87" s="400">
        <v>28612.98</v>
      </c>
      <c r="L87" s="184"/>
      <c r="M87" s="322">
        <f t="shared" si="6"/>
        <v>0</v>
      </c>
      <c r="N87" s="322">
        <f t="shared" si="7"/>
        <v>4005.8172000000004</v>
      </c>
      <c r="O87" s="322">
        <f t="shared" si="8"/>
        <v>4005.8172000000004</v>
      </c>
      <c r="P87" s="199">
        <f>VLOOKUP(A87,'SALE PARTY MASTR '!$B$5:$I$105,7,FALSE)</f>
        <v>2</v>
      </c>
      <c r="Q87" s="199" t="str">
        <f>VLOOKUP(A87,'SALE PARTY MASTR '!$B$5:$I$105,8,FALSE)</f>
        <v>Local Sale</v>
      </c>
      <c r="R87" s="199" t="s">
        <v>897</v>
      </c>
      <c r="S87" s="401">
        <v>87081090</v>
      </c>
      <c r="T87" s="201" t="str">
        <f>VLOOKUP(S87,'SALE HSN MASTER '!$A$6:$D$20,2,FALSE)</f>
        <v>Parts &amp; Accessories Of Motor Vehicles Other</v>
      </c>
      <c r="U87" s="201" t="str">
        <f>VLOOKUP(S87,'SALE HSN MASTER '!$A$6:$D$20,3,FALSE)</f>
        <v>NOS-NUMBERS</v>
      </c>
      <c r="V87" s="201" t="str">
        <f>VLOOKUP(S87,'SALE HSN MASTER '!$A$6:$D$20,4,FALSE)</f>
        <v>Goods</v>
      </c>
      <c r="W87" s="401">
        <v>396</v>
      </c>
    </row>
    <row r="88" spans="1:23" ht="14.4" x14ac:dyDescent="0.3">
      <c r="A88" s="423" t="s">
        <v>23</v>
      </c>
      <c r="B88" s="199" t="str">
        <f>VLOOKUP(A88,'SALE PARTY MASTR '!$B$5:$G$280,2,FALSE)</f>
        <v>Varroc Polymers Pvt.ltd.</v>
      </c>
      <c r="C88" s="397" t="s">
        <v>1061</v>
      </c>
      <c r="D88" s="398">
        <v>43138</v>
      </c>
      <c r="E88" s="320">
        <f t="shared" si="5"/>
        <v>9745.9199999999983</v>
      </c>
      <c r="F88" s="321" t="str">
        <f>VLOOKUP(A88,'SALE PARTY MASTR '!$B$5:$I$105,3,FALSE)</f>
        <v>27-Maharashatra</v>
      </c>
      <c r="G88" s="321" t="str">
        <f>VLOOKUP(A88,'SALE PARTY MASTR '!$B$5:$I$105,4,FALSE)</f>
        <v>N</v>
      </c>
      <c r="H88" s="321" t="str">
        <f>VLOOKUP(A88,'SALE PARTY MASTR '!$B$5:$I$105,5,FALSE)</f>
        <v>Regular</v>
      </c>
      <c r="I88" s="321">
        <f>VLOOKUP(A88,'SALE PARTY MASTR '!$B$5:$I$105,6,FALSE)</f>
        <v>0</v>
      </c>
      <c r="J88" s="262">
        <f>VLOOKUP(S88,'SALE HSN MASTER '!$A$6:$E$20,5,FALSE)</f>
        <v>28</v>
      </c>
      <c r="K88" s="400">
        <v>7614</v>
      </c>
      <c r="L88" s="184"/>
      <c r="M88" s="322">
        <f t="shared" si="6"/>
        <v>0</v>
      </c>
      <c r="N88" s="322">
        <f t="shared" si="7"/>
        <v>1065.96</v>
      </c>
      <c r="O88" s="322">
        <f t="shared" si="8"/>
        <v>1065.96</v>
      </c>
      <c r="P88" s="199">
        <f>VLOOKUP(A88,'SALE PARTY MASTR '!$B$5:$I$105,7,FALSE)</f>
        <v>2</v>
      </c>
      <c r="Q88" s="199" t="str">
        <f>VLOOKUP(A88,'SALE PARTY MASTR '!$B$5:$I$105,8,FALSE)</f>
        <v>Local Sale</v>
      </c>
      <c r="R88" s="199" t="s">
        <v>897</v>
      </c>
      <c r="S88" s="401">
        <v>87141090</v>
      </c>
      <c r="T88" s="201" t="str">
        <f>VLOOKUP(S88,'SALE HSN MASTER '!$A$6:$D$20,2,FALSE)</f>
        <v>Parts &amp; Accessories Of Motor Vehicles Other</v>
      </c>
      <c r="U88" s="201" t="str">
        <f>VLOOKUP(S88,'SALE HSN MASTER '!$A$6:$D$20,3,FALSE)</f>
        <v>NOS-NUMBERS</v>
      </c>
      <c r="V88" s="201" t="str">
        <f>VLOOKUP(S88,'SALE HSN MASTER '!$A$6:$D$20,4,FALSE)</f>
        <v>Goods</v>
      </c>
      <c r="W88" s="401">
        <v>216</v>
      </c>
    </row>
    <row r="89" spans="1:23" ht="14.4" x14ac:dyDescent="0.3">
      <c r="A89" s="423" t="s">
        <v>24</v>
      </c>
      <c r="B89" s="199" t="str">
        <f>VLOOKUP(A89,'SALE PARTY MASTR '!$B$5:$G$280,2,FALSE)</f>
        <v>Tata Autocomp Systems LTD.(X1)</v>
      </c>
      <c r="C89" s="397" t="s">
        <v>1062</v>
      </c>
      <c r="D89" s="398">
        <v>43138</v>
      </c>
      <c r="E89" s="320">
        <f t="shared" si="5"/>
        <v>22003.788800000002</v>
      </c>
      <c r="F89" s="321" t="str">
        <f>VLOOKUP(A89,'SALE PARTY MASTR '!$B$5:$I$105,3,FALSE)</f>
        <v>27-Maharashatra</v>
      </c>
      <c r="G89" s="321" t="str">
        <f>VLOOKUP(A89,'SALE PARTY MASTR '!$B$5:$I$105,4,FALSE)</f>
        <v>N</v>
      </c>
      <c r="H89" s="321" t="str">
        <f>VLOOKUP(A89,'SALE PARTY MASTR '!$B$5:$I$105,5,FALSE)</f>
        <v>Regular</v>
      </c>
      <c r="I89" s="321">
        <f>VLOOKUP(A89,'SALE PARTY MASTR '!$B$5:$I$105,6,FALSE)</f>
        <v>0</v>
      </c>
      <c r="J89" s="262">
        <f>VLOOKUP(S89,'SALE HSN MASTER '!$A$6:$E$20,5,FALSE)</f>
        <v>28</v>
      </c>
      <c r="K89" s="400">
        <v>17190.46</v>
      </c>
      <c r="L89" s="184"/>
      <c r="M89" s="322">
        <f t="shared" si="6"/>
        <v>0</v>
      </c>
      <c r="N89" s="322">
        <f t="shared" si="7"/>
        <v>2406.6644000000001</v>
      </c>
      <c r="O89" s="322">
        <f t="shared" si="8"/>
        <v>2406.6644000000001</v>
      </c>
      <c r="P89" s="199">
        <f>VLOOKUP(A89,'SALE PARTY MASTR '!$B$5:$I$105,7,FALSE)</f>
        <v>2</v>
      </c>
      <c r="Q89" s="199" t="str">
        <f>VLOOKUP(A89,'SALE PARTY MASTR '!$B$5:$I$105,8,FALSE)</f>
        <v>Local Sale</v>
      </c>
      <c r="R89" s="199" t="s">
        <v>897</v>
      </c>
      <c r="S89" s="401">
        <v>87089900</v>
      </c>
      <c r="T89" s="201" t="str">
        <f>VLOOKUP(S89,'SALE HSN MASTER '!$A$6:$D$20,2,FALSE)</f>
        <v>Parts &amp; Accessories Of Motor Vehicles Other</v>
      </c>
      <c r="U89" s="201" t="str">
        <f>VLOOKUP(S89,'SALE HSN MASTER '!$A$6:$D$20,3,FALSE)</f>
        <v>NOS-NUMBERS</v>
      </c>
      <c r="V89" s="201" t="str">
        <f>VLOOKUP(S89,'SALE HSN MASTER '!$A$6:$D$20,4,FALSE)</f>
        <v>Goods</v>
      </c>
      <c r="W89" s="401">
        <v>86</v>
      </c>
    </row>
    <row r="90" spans="1:23" ht="14.4" x14ac:dyDescent="0.3">
      <c r="A90" s="423" t="s">
        <v>23</v>
      </c>
      <c r="B90" s="199" t="str">
        <f>VLOOKUP(A90,'SALE PARTY MASTR '!$B$5:$G$280,2,FALSE)</f>
        <v>Varroc Polymers Pvt.ltd.</v>
      </c>
      <c r="C90" s="397" t="s">
        <v>1063</v>
      </c>
      <c r="D90" s="398">
        <v>43138</v>
      </c>
      <c r="E90" s="320">
        <f t="shared" si="5"/>
        <v>37734.451200000003</v>
      </c>
      <c r="F90" s="321" t="str">
        <f>VLOOKUP(A90,'SALE PARTY MASTR '!$B$5:$I$105,3,FALSE)</f>
        <v>27-Maharashatra</v>
      </c>
      <c r="G90" s="321" t="str">
        <f>VLOOKUP(A90,'SALE PARTY MASTR '!$B$5:$I$105,4,FALSE)</f>
        <v>N</v>
      </c>
      <c r="H90" s="321" t="str">
        <f>VLOOKUP(A90,'SALE PARTY MASTR '!$B$5:$I$105,5,FALSE)</f>
        <v>Regular</v>
      </c>
      <c r="I90" s="321">
        <f>VLOOKUP(A90,'SALE PARTY MASTR '!$B$5:$I$105,6,FALSE)</f>
        <v>0</v>
      </c>
      <c r="J90" s="262">
        <f>VLOOKUP(S90,'SALE HSN MASTER '!$A$6:$E$20,5,FALSE)</f>
        <v>28</v>
      </c>
      <c r="K90" s="400">
        <v>29480.04</v>
      </c>
      <c r="L90" s="184"/>
      <c r="M90" s="322">
        <f t="shared" si="6"/>
        <v>0</v>
      </c>
      <c r="N90" s="322">
        <f t="shared" si="7"/>
        <v>4127.2056000000002</v>
      </c>
      <c r="O90" s="322">
        <f t="shared" si="8"/>
        <v>4127.2056000000002</v>
      </c>
      <c r="P90" s="199">
        <f>VLOOKUP(A90,'SALE PARTY MASTR '!$B$5:$I$105,7,FALSE)</f>
        <v>2</v>
      </c>
      <c r="Q90" s="199" t="str">
        <f>VLOOKUP(A90,'SALE PARTY MASTR '!$B$5:$I$105,8,FALSE)</f>
        <v>Local Sale</v>
      </c>
      <c r="R90" s="199" t="s">
        <v>897</v>
      </c>
      <c r="S90" s="401">
        <v>87081090</v>
      </c>
      <c r="T90" s="201" t="str">
        <f>VLOOKUP(S90,'SALE HSN MASTER '!$A$6:$D$20,2,FALSE)</f>
        <v>Parts &amp; Accessories Of Motor Vehicles Other</v>
      </c>
      <c r="U90" s="201" t="str">
        <f>VLOOKUP(S90,'SALE HSN MASTER '!$A$6:$D$20,3,FALSE)</f>
        <v>NOS-NUMBERS</v>
      </c>
      <c r="V90" s="201" t="str">
        <f>VLOOKUP(S90,'SALE HSN MASTER '!$A$6:$D$20,4,FALSE)</f>
        <v>Goods</v>
      </c>
      <c r="W90" s="401">
        <v>408</v>
      </c>
    </row>
    <row r="91" spans="1:23" ht="14.4" x14ac:dyDescent="0.3">
      <c r="A91" s="423" t="s">
        <v>23</v>
      </c>
      <c r="B91" s="199" t="str">
        <f>VLOOKUP(A91,'SALE PARTY MASTR '!$B$5:$G$280,2,FALSE)</f>
        <v>Varroc Polymers Pvt.ltd.</v>
      </c>
      <c r="C91" s="397" t="s">
        <v>1064</v>
      </c>
      <c r="D91" s="398">
        <v>43139</v>
      </c>
      <c r="E91" s="320">
        <f t="shared" ref="E91:E154" si="9">+K91+M91+N91+O91</f>
        <v>37734.451200000003</v>
      </c>
      <c r="F91" s="321" t="str">
        <f>VLOOKUP(A91,'SALE PARTY MASTR '!$B$5:$I$105,3,FALSE)</f>
        <v>27-Maharashatra</v>
      </c>
      <c r="G91" s="321" t="str">
        <f>VLOOKUP(A91,'SALE PARTY MASTR '!$B$5:$I$105,4,FALSE)</f>
        <v>N</v>
      </c>
      <c r="H91" s="321" t="str">
        <f>VLOOKUP(A91,'SALE PARTY MASTR '!$B$5:$I$105,5,FALSE)</f>
        <v>Regular</v>
      </c>
      <c r="I91" s="321">
        <f>VLOOKUP(A91,'SALE PARTY MASTR '!$B$5:$I$105,6,FALSE)</f>
        <v>0</v>
      </c>
      <c r="J91" s="262">
        <f>VLOOKUP(S91,'SALE HSN MASTER '!$A$6:$E$20,5,FALSE)</f>
        <v>28</v>
      </c>
      <c r="K91" s="400">
        <v>29480.04</v>
      </c>
      <c r="L91" s="184"/>
      <c r="M91" s="322">
        <f t="shared" ref="M91:M154" si="10">+IF(P91=1,0,IF(N91=0,J91*K91/100,0))</f>
        <v>0</v>
      </c>
      <c r="N91" s="322">
        <f t="shared" si="7"/>
        <v>4127.2056000000002</v>
      </c>
      <c r="O91" s="322">
        <f t="shared" si="8"/>
        <v>4127.2056000000002</v>
      </c>
      <c r="P91" s="199">
        <f>VLOOKUP(A91,'SALE PARTY MASTR '!$B$5:$I$105,7,FALSE)</f>
        <v>2</v>
      </c>
      <c r="Q91" s="199" t="str">
        <f>VLOOKUP(A91,'SALE PARTY MASTR '!$B$5:$I$105,8,FALSE)</f>
        <v>Local Sale</v>
      </c>
      <c r="R91" s="199" t="s">
        <v>897</v>
      </c>
      <c r="S91" s="401">
        <v>87081090</v>
      </c>
      <c r="T91" s="201" t="str">
        <f>VLOOKUP(S91,'SALE HSN MASTER '!$A$6:$D$20,2,FALSE)</f>
        <v>Parts &amp; Accessories Of Motor Vehicles Other</v>
      </c>
      <c r="U91" s="201" t="str">
        <f>VLOOKUP(S91,'SALE HSN MASTER '!$A$6:$D$20,3,FALSE)</f>
        <v>NOS-NUMBERS</v>
      </c>
      <c r="V91" s="201" t="str">
        <f>VLOOKUP(S91,'SALE HSN MASTER '!$A$6:$D$20,4,FALSE)</f>
        <v>Goods</v>
      </c>
      <c r="W91" s="401">
        <v>408</v>
      </c>
    </row>
    <row r="92" spans="1:23" ht="14.4" x14ac:dyDescent="0.3">
      <c r="A92" s="423" t="s">
        <v>31</v>
      </c>
      <c r="B92" s="199" t="str">
        <f>VLOOKUP(A92,'SALE PARTY MASTR '!$B$5:$G$280,2,FALSE)</f>
        <v>Mittal Precision Auto Comps Pvt Ltd,</v>
      </c>
      <c r="C92" s="397" t="s">
        <v>1065</v>
      </c>
      <c r="D92" s="398">
        <v>43139</v>
      </c>
      <c r="E92" s="320">
        <f t="shared" si="9"/>
        <v>6811.243199999999</v>
      </c>
      <c r="F92" s="321" t="str">
        <f>VLOOKUP(A92,'SALE PARTY MASTR '!$B$5:$I$105,3,FALSE)</f>
        <v>27-Maharashatra</v>
      </c>
      <c r="G92" s="321" t="str">
        <f>VLOOKUP(A92,'SALE PARTY MASTR '!$B$5:$I$105,4,FALSE)</f>
        <v>N</v>
      </c>
      <c r="H92" s="321" t="str">
        <f>VLOOKUP(A92,'SALE PARTY MASTR '!$B$5:$I$105,5,FALSE)</f>
        <v>Regular</v>
      </c>
      <c r="I92" s="321">
        <f>VLOOKUP(A92,'SALE PARTY MASTR '!$B$5:$I$105,6,FALSE)</f>
        <v>0</v>
      </c>
      <c r="J92" s="262">
        <f>VLOOKUP(S92,'SALE HSN MASTER '!$A$6:$E$20,5,FALSE)</f>
        <v>18</v>
      </c>
      <c r="K92" s="400">
        <v>5772.24</v>
      </c>
      <c r="L92" s="184"/>
      <c r="M92" s="322">
        <f t="shared" si="10"/>
        <v>0</v>
      </c>
      <c r="N92" s="322">
        <f t="shared" si="7"/>
        <v>519.50159999999994</v>
      </c>
      <c r="O92" s="322">
        <f t="shared" si="8"/>
        <v>519.50159999999994</v>
      </c>
      <c r="P92" s="199">
        <f>VLOOKUP(A92,'SALE PARTY MASTR '!$B$5:$I$105,7,FALSE)</f>
        <v>2</v>
      </c>
      <c r="Q92" s="199" t="str">
        <f>VLOOKUP(A92,'SALE PARTY MASTR '!$B$5:$I$105,8,FALSE)</f>
        <v>Local Sale</v>
      </c>
      <c r="R92" s="199" t="s">
        <v>894</v>
      </c>
      <c r="S92" s="401">
        <v>998898</v>
      </c>
      <c r="T92" s="201" t="str">
        <f>VLOOKUP(S92,'SALE HSN MASTER '!$A$6:$D$20,2,FALSE)</f>
        <v>Parts &amp; Accessories Of Motor Vehicles Other</v>
      </c>
      <c r="U92" s="201" t="str">
        <f>VLOOKUP(S92,'SALE HSN MASTER '!$A$6:$D$20,3,FALSE)</f>
        <v>NOS-NUMBERS</v>
      </c>
      <c r="V92" s="201" t="str">
        <f>VLOOKUP(S92,'SALE HSN MASTER '!$A$6:$D$20,4,FALSE)</f>
        <v>Service</v>
      </c>
      <c r="W92" s="401">
        <v>12</v>
      </c>
    </row>
    <row r="93" spans="1:23" ht="14.4" x14ac:dyDescent="0.3">
      <c r="A93" s="423" t="s">
        <v>31</v>
      </c>
      <c r="B93" s="199" t="str">
        <f>VLOOKUP(A93,'SALE PARTY MASTR '!$B$5:$G$280,2,FALSE)</f>
        <v>Mittal Precision Auto Comps Pvt Ltd,</v>
      </c>
      <c r="C93" s="397" t="s">
        <v>1066</v>
      </c>
      <c r="D93" s="398">
        <v>43139</v>
      </c>
      <c r="E93" s="320">
        <f t="shared" si="9"/>
        <v>6811.243199999999</v>
      </c>
      <c r="F93" s="321" t="str">
        <f>VLOOKUP(A93,'SALE PARTY MASTR '!$B$5:$I$105,3,FALSE)</f>
        <v>27-Maharashatra</v>
      </c>
      <c r="G93" s="321" t="str">
        <f>VLOOKUP(A93,'SALE PARTY MASTR '!$B$5:$I$105,4,FALSE)</f>
        <v>N</v>
      </c>
      <c r="H93" s="321" t="str">
        <f>VLOOKUP(A93,'SALE PARTY MASTR '!$B$5:$I$105,5,FALSE)</f>
        <v>Regular</v>
      </c>
      <c r="I93" s="321">
        <f>VLOOKUP(A93,'SALE PARTY MASTR '!$B$5:$I$105,6,FALSE)</f>
        <v>0</v>
      </c>
      <c r="J93" s="262">
        <f>VLOOKUP(S93,'SALE HSN MASTER '!$A$6:$E$20,5,FALSE)</f>
        <v>18</v>
      </c>
      <c r="K93" s="400">
        <v>5772.24</v>
      </c>
      <c r="L93" s="184"/>
      <c r="M93" s="322">
        <f t="shared" si="10"/>
        <v>0</v>
      </c>
      <c r="N93" s="322">
        <f t="shared" si="7"/>
        <v>519.50159999999994</v>
      </c>
      <c r="O93" s="322">
        <f t="shared" si="8"/>
        <v>519.50159999999994</v>
      </c>
      <c r="P93" s="199">
        <f>VLOOKUP(A93,'SALE PARTY MASTR '!$B$5:$I$105,7,FALSE)</f>
        <v>2</v>
      </c>
      <c r="Q93" s="199" t="str">
        <f>VLOOKUP(A93,'SALE PARTY MASTR '!$B$5:$I$105,8,FALSE)</f>
        <v>Local Sale</v>
      </c>
      <c r="R93" s="199" t="s">
        <v>894</v>
      </c>
      <c r="S93" s="401">
        <v>998898</v>
      </c>
      <c r="T93" s="201" t="str">
        <f>VLOOKUP(S93,'SALE HSN MASTER '!$A$6:$D$20,2,FALSE)</f>
        <v>Parts &amp; Accessories Of Motor Vehicles Other</v>
      </c>
      <c r="U93" s="201" t="str">
        <f>VLOOKUP(S93,'SALE HSN MASTER '!$A$6:$D$20,3,FALSE)</f>
        <v>NOS-NUMBERS</v>
      </c>
      <c r="V93" s="201" t="str">
        <f>VLOOKUP(S93,'SALE HSN MASTER '!$A$6:$D$20,4,FALSE)</f>
        <v>Service</v>
      </c>
      <c r="W93" s="401">
        <v>12</v>
      </c>
    </row>
    <row r="94" spans="1:23" ht="14.4" x14ac:dyDescent="0.3">
      <c r="A94" s="423" t="s">
        <v>862</v>
      </c>
      <c r="B94" s="199" t="str">
        <f>VLOOKUP(A94,'SALE PARTY MASTR '!$B$5:$G$280,2,FALSE)</f>
        <v>Varroc Engineering Pvt Ltd</v>
      </c>
      <c r="C94" s="397" t="s">
        <v>1067</v>
      </c>
      <c r="D94" s="398">
        <v>43139</v>
      </c>
      <c r="E94" s="320">
        <f t="shared" si="9"/>
        <v>42190.156799999997</v>
      </c>
      <c r="F94" s="321" t="str">
        <f>VLOOKUP(A94,'SALE PARTY MASTR '!$B$5:$I$105,3,FALSE)</f>
        <v>27-Maharashatra</v>
      </c>
      <c r="G94" s="321" t="str">
        <f>VLOOKUP(A94,'SALE PARTY MASTR '!$B$5:$I$105,4,FALSE)</f>
        <v>N</v>
      </c>
      <c r="H94" s="321" t="str">
        <f>VLOOKUP(A94,'SALE PARTY MASTR '!$B$5:$I$105,5,FALSE)</f>
        <v>Regular</v>
      </c>
      <c r="I94" s="321">
        <f>VLOOKUP(A94,'SALE PARTY MASTR '!$B$5:$I$105,6,FALSE)</f>
        <v>0</v>
      </c>
      <c r="J94" s="262">
        <f>VLOOKUP(S94,'SALE HSN MASTER '!$A$6:$E$20,5,FALSE)</f>
        <v>28</v>
      </c>
      <c r="K94" s="400">
        <v>32961.06</v>
      </c>
      <c r="L94" s="184"/>
      <c r="M94" s="322">
        <f t="shared" si="10"/>
        <v>0</v>
      </c>
      <c r="N94" s="322">
        <f t="shared" si="7"/>
        <v>4614.5483999999997</v>
      </c>
      <c r="O94" s="322">
        <f t="shared" si="8"/>
        <v>4614.5483999999997</v>
      </c>
      <c r="P94" s="199">
        <f>VLOOKUP(A94,'SALE PARTY MASTR '!$B$5:$I$105,7,FALSE)</f>
        <v>2</v>
      </c>
      <c r="Q94" s="199" t="str">
        <f>VLOOKUP(A94,'SALE PARTY MASTR '!$B$5:$I$105,8,FALSE)</f>
        <v>Local Sale</v>
      </c>
      <c r="R94" s="199" t="s">
        <v>897</v>
      </c>
      <c r="S94" s="401">
        <v>85119000</v>
      </c>
      <c r="T94" s="201" t="str">
        <f>VLOOKUP(S94,'SALE HSN MASTER '!$A$6:$D$20,2,FALSE)</f>
        <v>Parts &amp; Accessories Of Motor Vehicles Other</v>
      </c>
      <c r="U94" s="201" t="str">
        <f>VLOOKUP(S94,'SALE HSN MASTER '!$A$6:$D$20,3,FALSE)</f>
        <v>NOS-NUMBERS</v>
      </c>
      <c r="V94" s="201" t="str">
        <f>VLOOKUP(S94,'SALE HSN MASTER '!$A$6:$D$20,4,FALSE)</f>
        <v>Goods</v>
      </c>
      <c r="W94" s="401">
        <v>594</v>
      </c>
    </row>
    <row r="95" spans="1:23" ht="14.4" x14ac:dyDescent="0.3">
      <c r="A95" s="423" t="s">
        <v>862</v>
      </c>
      <c r="B95" s="199" t="str">
        <f>VLOOKUP(A95,'SALE PARTY MASTR '!$B$5:$G$280,2,FALSE)</f>
        <v>Varroc Engineering Pvt Ltd</v>
      </c>
      <c r="C95" s="397" t="s">
        <v>1068</v>
      </c>
      <c r="D95" s="398">
        <v>43139</v>
      </c>
      <c r="E95" s="320">
        <f t="shared" si="9"/>
        <v>30468.096000000001</v>
      </c>
      <c r="F95" s="321" t="str">
        <f>VLOOKUP(A95,'SALE PARTY MASTR '!$B$5:$I$105,3,FALSE)</f>
        <v>27-Maharashatra</v>
      </c>
      <c r="G95" s="321" t="str">
        <f>VLOOKUP(A95,'SALE PARTY MASTR '!$B$5:$I$105,4,FALSE)</f>
        <v>N</v>
      </c>
      <c r="H95" s="321" t="str">
        <f>VLOOKUP(A95,'SALE PARTY MASTR '!$B$5:$I$105,5,FALSE)</f>
        <v>Regular</v>
      </c>
      <c r="I95" s="321">
        <f>VLOOKUP(A95,'SALE PARTY MASTR '!$B$5:$I$105,6,FALSE)</f>
        <v>0</v>
      </c>
      <c r="J95" s="262">
        <f>VLOOKUP(S95,'SALE HSN MASTER '!$A$6:$E$20,5,FALSE)</f>
        <v>28</v>
      </c>
      <c r="K95" s="400">
        <v>23803.200000000001</v>
      </c>
      <c r="L95" s="184"/>
      <c r="M95" s="322">
        <f t="shared" si="10"/>
        <v>0</v>
      </c>
      <c r="N95" s="322">
        <f t="shared" si="7"/>
        <v>3332.4480000000003</v>
      </c>
      <c r="O95" s="322">
        <f t="shared" si="8"/>
        <v>3332.4480000000003</v>
      </c>
      <c r="P95" s="199">
        <f>VLOOKUP(A95,'SALE PARTY MASTR '!$B$5:$I$105,7,FALSE)</f>
        <v>2</v>
      </c>
      <c r="Q95" s="199" t="str">
        <f>VLOOKUP(A95,'SALE PARTY MASTR '!$B$5:$I$105,8,FALSE)</f>
        <v>Local Sale</v>
      </c>
      <c r="R95" s="199" t="s">
        <v>897</v>
      </c>
      <c r="S95" s="401">
        <v>87142090</v>
      </c>
      <c r="T95" s="201" t="str">
        <f>VLOOKUP(S95,'SALE HSN MASTER '!$A$6:$D$20,2,FALSE)</f>
        <v>Parts &amp; Accessories Of Motor Vehicles Other</v>
      </c>
      <c r="U95" s="201" t="str">
        <f>VLOOKUP(S95,'SALE HSN MASTER '!$A$6:$D$20,3,FALSE)</f>
        <v>NOS-NUMBERS</v>
      </c>
      <c r="V95" s="201" t="str">
        <f>VLOOKUP(S95,'SALE HSN MASTER '!$A$6:$D$20,4,FALSE)</f>
        <v>Goods</v>
      </c>
      <c r="W95" s="401">
        <v>540</v>
      </c>
    </row>
    <row r="96" spans="1:23" ht="14.4" x14ac:dyDescent="0.3">
      <c r="A96" s="423" t="s">
        <v>32</v>
      </c>
      <c r="B96" s="199" t="str">
        <f>VLOOKUP(A96,'SALE PARTY MASTR '!$B$5:$G$280,2,FALSE)</f>
        <v>Pricol Ltd (Formerly Pricol Pune Ltd)</v>
      </c>
      <c r="C96" s="397" t="s">
        <v>1069</v>
      </c>
      <c r="D96" s="398">
        <v>43139</v>
      </c>
      <c r="E96" s="320">
        <f t="shared" si="9"/>
        <v>25083.136000000002</v>
      </c>
      <c r="F96" s="321" t="str">
        <f>VLOOKUP(A96,'SALE PARTY MASTR '!$B$5:$I$105,3,FALSE)</f>
        <v>27-Maharashatra</v>
      </c>
      <c r="G96" s="321" t="str">
        <f>VLOOKUP(A96,'SALE PARTY MASTR '!$B$5:$I$105,4,FALSE)</f>
        <v>N</v>
      </c>
      <c r="H96" s="321" t="str">
        <f>VLOOKUP(A96,'SALE PARTY MASTR '!$B$5:$I$105,5,FALSE)</f>
        <v>Regular</v>
      </c>
      <c r="I96" s="321">
        <f>VLOOKUP(A96,'SALE PARTY MASTR '!$B$5:$I$105,6,FALSE)</f>
        <v>0</v>
      </c>
      <c r="J96" s="262">
        <f>VLOOKUP(S96,'SALE HSN MASTER '!$A$6:$E$20,5,FALSE)</f>
        <v>28</v>
      </c>
      <c r="K96" s="400">
        <v>19596.2</v>
      </c>
      <c r="L96" s="184"/>
      <c r="M96" s="322">
        <f t="shared" si="10"/>
        <v>0</v>
      </c>
      <c r="N96" s="322">
        <f t="shared" si="7"/>
        <v>2743.4680000000003</v>
      </c>
      <c r="O96" s="322">
        <f t="shared" si="8"/>
        <v>2743.4680000000003</v>
      </c>
      <c r="P96" s="199">
        <f>VLOOKUP(A96,'SALE PARTY MASTR '!$B$5:$I$105,7,FALSE)</f>
        <v>2</v>
      </c>
      <c r="Q96" s="199" t="str">
        <f>VLOOKUP(A96,'SALE PARTY MASTR '!$B$5:$I$105,8,FALSE)</f>
        <v>Local Sale</v>
      </c>
      <c r="R96" s="199" t="s">
        <v>897</v>
      </c>
      <c r="S96" s="401">
        <v>87141090</v>
      </c>
      <c r="T96" s="201" t="str">
        <f>VLOOKUP(S96,'SALE HSN MASTER '!$A$6:$D$20,2,FALSE)</f>
        <v>Parts &amp; Accessories Of Motor Vehicles Other</v>
      </c>
      <c r="U96" s="201" t="str">
        <f>VLOOKUP(S96,'SALE HSN MASTER '!$A$6:$D$20,3,FALSE)</f>
        <v>NOS-NUMBERS</v>
      </c>
      <c r="V96" s="201" t="str">
        <f>VLOOKUP(S96,'SALE HSN MASTER '!$A$6:$D$20,4,FALSE)</f>
        <v>Goods</v>
      </c>
      <c r="W96" s="401">
        <v>260</v>
      </c>
    </row>
    <row r="97" spans="1:23" ht="14.4" x14ac:dyDescent="0.3">
      <c r="A97" s="423" t="s">
        <v>23</v>
      </c>
      <c r="B97" s="199" t="str">
        <f>VLOOKUP(A97,'SALE PARTY MASTR '!$B$5:$G$280,2,FALSE)</f>
        <v>Varroc Polymers Pvt.ltd.</v>
      </c>
      <c r="C97" s="397" t="s">
        <v>1070</v>
      </c>
      <c r="D97" s="398">
        <v>43139</v>
      </c>
      <c r="E97" s="320">
        <f t="shared" si="9"/>
        <v>49202.764800000004</v>
      </c>
      <c r="F97" s="321" t="str">
        <f>VLOOKUP(A97,'SALE PARTY MASTR '!$B$5:$I$105,3,FALSE)</f>
        <v>27-Maharashatra</v>
      </c>
      <c r="G97" s="321" t="str">
        <f>VLOOKUP(A97,'SALE PARTY MASTR '!$B$5:$I$105,4,FALSE)</f>
        <v>N</v>
      </c>
      <c r="H97" s="321" t="str">
        <f>VLOOKUP(A97,'SALE PARTY MASTR '!$B$5:$I$105,5,FALSE)</f>
        <v>Regular</v>
      </c>
      <c r="I97" s="321">
        <f>VLOOKUP(A97,'SALE PARTY MASTR '!$B$5:$I$105,6,FALSE)</f>
        <v>0</v>
      </c>
      <c r="J97" s="262">
        <f>VLOOKUP(S97,'SALE HSN MASTER '!$A$6:$E$20,5,FALSE)</f>
        <v>28</v>
      </c>
      <c r="K97" s="400">
        <v>38439.660000000003</v>
      </c>
      <c r="L97" s="184"/>
      <c r="M97" s="322">
        <f t="shared" si="10"/>
        <v>0</v>
      </c>
      <c r="N97" s="322">
        <f t="shared" si="7"/>
        <v>5381.5524000000014</v>
      </c>
      <c r="O97" s="322">
        <f t="shared" si="8"/>
        <v>5381.5524000000014</v>
      </c>
      <c r="P97" s="199">
        <f>VLOOKUP(A97,'SALE PARTY MASTR '!$B$5:$I$105,7,FALSE)</f>
        <v>2</v>
      </c>
      <c r="Q97" s="199" t="str">
        <f>VLOOKUP(A97,'SALE PARTY MASTR '!$B$5:$I$105,8,FALSE)</f>
        <v>Local Sale</v>
      </c>
      <c r="R97" s="199" t="s">
        <v>897</v>
      </c>
      <c r="S97" s="401">
        <v>87081090</v>
      </c>
      <c r="T97" s="201" t="str">
        <f>VLOOKUP(S97,'SALE HSN MASTER '!$A$6:$D$20,2,FALSE)</f>
        <v>Parts &amp; Accessories Of Motor Vehicles Other</v>
      </c>
      <c r="U97" s="201" t="str">
        <f>VLOOKUP(S97,'SALE HSN MASTER '!$A$6:$D$20,3,FALSE)</f>
        <v>NOS-NUMBERS</v>
      </c>
      <c r="V97" s="201" t="str">
        <f>VLOOKUP(S97,'SALE HSN MASTER '!$A$6:$D$20,4,FALSE)</f>
        <v>Goods</v>
      </c>
      <c r="W97" s="401">
        <v>532</v>
      </c>
    </row>
    <row r="98" spans="1:23" ht="14.4" x14ac:dyDescent="0.3">
      <c r="A98" s="423" t="s">
        <v>24</v>
      </c>
      <c r="B98" s="199" t="str">
        <f>VLOOKUP(A98,'SALE PARTY MASTR '!$B$5:$G$280,2,FALSE)</f>
        <v>Tata Autocomp Systems LTD.(X1)</v>
      </c>
      <c r="C98" s="397" t="s">
        <v>1071</v>
      </c>
      <c r="D98" s="398">
        <v>43139</v>
      </c>
      <c r="E98" s="320">
        <f t="shared" si="9"/>
        <v>17151.488000000001</v>
      </c>
      <c r="F98" s="321" t="str">
        <f>VLOOKUP(A98,'SALE PARTY MASTR '!$B$5:$I$105,3,FALSE)</f>
        <v>27-Maharashatra</v>
      </c>
      <c r="G98" s="321" t="str">
        <f>VLOOKUP(A98,'SALE PARTY MASTR '!$B$5:$I$105,4,FALSE)</f>
        <v>N</v>
      </c>
      <c r="H98" s="321" t="str">
        <f>VLOOKUP(A98,'SALE PARTY MASTR '!$B$5:$I$105,5,FALSE)</f>
        <v>Regular</v>
      </c>
      <c r="I98" s="321">
        <f>VLOOKUP(A98,'SALE PARTY MASTR '!$B$5:$I$105,6,FALSE)</f>
        <v>0</v>
      </c>
      <c r="J98" s="262">
        <f>VLOOKUP(S98,'SALE HSN MASTER '!$A$6:$E$20,5,FALSE)</f>
        <v>28</v>
      </c>
      <c r="K98" s="400">
        <v>13399.6</v>
      </c>
      <c r="L98" s="184"/>
      <c r="M98" s="322">
        <f t="shared" si="10"/>
        <v>0</v>
      </c>
      <c r="N98" s="322">
        <f t="shared" si="7"/>
        <v>1875.9440000000002</v>
      </c>
      <c r="O98" s="322">
        <f t="shared" si="8"/>
        <v>1875.9440000000002</v>
      </c>
      <c r="P98" s="199">
        <f>VLOOKUP(A98,'SALE PARTY MASTR '!$B$5:$I$105,7,FALSE)</f>
        <v>2</v>
      </c>
      <c r="Q98" s="199" t="str">
        <f>VLOOKUP(A98,'SALE PARTY MASTR '!$B$5:$I$105,8,FALSE)</f>
        <v>Local Sale</v>
      </c>
      <c r="R98" s="199" t="s">
        <v>897</v>
      </c>
      <c r="S98" s="401">
        <v>87089900</v>
      </c>
      <c r="T98" s="201" t="str">
        <f>VLOOKUP(S98,'SALE HSN MASTER '!$A$6:$D$20,2,FALSE)</f>
        <v>Parts &amp; Accessories Of Motor Vehicles Other</v>
      </c>
      <c r="U98" s="201" t="str">
        <f>VLOOKUP(S98,'SALE HSN MASTER '!$A$6:$D$20,3,FALSE)</f>
        <v>NOS-NUMBERS</v>
      </c>
      <c r="V98" s="201" t="str">
        <f>VLOOKUP(S98,'SALE HSN MASTER '!$A$6:$D$20,4,FALSE)</f>
        <v>Goods</v>
      </c>
      <c r="W98" s="401">
        <v>40</v>
      </c>
    </row>
    <row r="99" spans="1:23" ht="14.4" x14ac:dyDescent="0.3">
      <c r="A99" s="423" t="s">
        <v>23</v>
      </c>
      <c r="B99" s="199" t="str">
        <f>VLOOKUP(A99,'SALE PARTY MASTR '!$B$5:$G$280,2,FALSE)</f>
        <v>Varroc Polymers Pvt.ltd.</v>
      </c>
      <c r="C99" s="397" t="s">
        <v>1072</v>
      </c>
      <c r="D99" s="398">
        <v>43139</v>
      </c>
      <c r="E99" s="320">
        <f t="shared" si="9"/>
        <v>36559.360000000001</v>
      </c>
      <c r="F99" s="321" t="str">
        <f>VLOOKUP(A99,'SALE PARTY MASTR '!$B$5:$I$105,3,FALSE)</f>
        <v>27-Maharashatra</v>
      </c>
      <c r="G99" s="321" t="str">
        <f>VLOOKUP(A99,'SALE PARTY MASTR '!$B$5:$I$105,4,FALSE)</f>
        <v>N</v>
      </c>
      <c r="H99" s="321" t="str">
        <f>VLOOKUP(A99,'SALE PARTY MASTR '!$B$5:$I$105,5,FALSE)</f>
        <v>Regular</v>
      </c>
      <c r="I99" s="321">
        <f>VLOOKUP(A99,'SALE PARTY MASTR '!$B$5:$I$105,6,FALSE)</f>
        <v>0</v>
      </c>
      <c r="J99" s="262">
        <f>VLOOKUP(S99,'SALE HSN MASTER '!$A$6:$E$20,5,FALSE)</f>
        <v>28</v>
      </c>
      <c r="K99" s="400">
        <v>28562</v>
      </c>
      <c r="L99" s="184"/>
      <c r="M99" s="322">
        <f t="shared" si="10"/>
        <v>0</v>
      </c>
      <c r="N99" s="322">
        <f t="shared" si="7"/>
        <v>3998.6800000000003</v>
      </c>
      <c r="O99" s="322">
        <f t="shared" si="8"/>
        <v>3998.6800000000003</v>
      </c>
      <c r="P99" s="199">
        <f>VLOOKUP(A99,'SALE PARTY MASTR '!$B$5:$I$105,7,FALSE)</f>
        <v>2</v>
      </c>
      <c r="Q99" s="199" t="str">
        <f>VLOOKUP(A99,'SALE PARTY MASTR '!$B$5:$I$105,8,FALSE)</f>
        <v>Local Sale</v>
      </c>
      <c r="R99" s="199" t="s">
        <v>897</v>
      </c>
      <c r="S99" s="401">
        <v>87141090</v>
      </c>
      <c r="T99" s="201" t="str">
        <f>VLOOKUP(S99,'SALE HSN MASTER '!$A$6:$D$20,2,FALSE)</f>
        <v>Parts &amp; Accessories Of Motor Vehicles Other</v>
      </c>
      <c r="U99" s="201" t="str">
        <f>VLOOKUP(S99,'SALE HSN MASTER '!$A$6:$D$20,3,FALSE)</f>
        <v>NOS-NUMBERS</v>
      </c>
      <c r="V99" s="201" t="str">
        <f>VLOOKUP(S99,'SALE HSN MASTER '!$A$6:$D$20,4,FALSE)</f>
        <v>Goods</v>
      </c>
      <c r="W99" s="401">
        <v>488</v>
      </c>
    </row>
    <row r="100" spans="1:23" ht="14.4" x14ac:dyDescent="0.3">
      <c r="A100" s="423" t="s">
        <v>31</v>
      </c>
      <c r="B100" s="199" t="str">
        <f>VLOOKUP(A100,'SALE PARTY MASTR '!$B$5:$G$280,2,FALSE)</f>
        <v>Mittal Precision Auto Comps Pvt Ltd,</v>
      </c>
      <c r="C100" s="397" t="s">
        <v>1073</v>
      </c>
      <c r="D100" s="398">
        <v>43139</v>
      </c>
      <c r="E100" s="320">
        <f t="shared" si="9"/>
        <v>6811.243199999999</v>
      </c>
      <c r="F100" s="321" t="str">
        <f>VLOOKUP(A100,'SALE PARTY MASTR '!$B$5:$I$105,3,FALSE)</f>
        <v>27-Maharashatra</v>
      </c>
      <c r="G100" s="321" t="str">
        <f>VLOOKUP(A100,'SALE PARTY MASTR '!$B$5:$I$105,4,FALSE)</f>
        <v>N</v>
      </c>
      <c r="H100" s="321" t="str">
        <f>VLOOKUP(A100,'SALE PARTY MASTR '!$B$5:$I$105,5,FALSE)</f>
        <v>Regular</v>
      </c>
      <c r="I100" s="321">
        <f>VLOOKUP(A100,'SALE PARTY MASTR '!$B$5:$I$105,6,FALSE)</f>
        <v>0</v>
      </c>
      <c r="J100" s="262">
        <f>VLOOKUP(S100,'SALE HSN MASTER '!$A$6:$E$20,5,FALSE)</f>
        <v>18</v>
      </c>
      <c r="K100" s="400">
        <v>5772.24</v>
      </c>
      <c r="L100" s="184"/>
      <c r="M100" s="322">
        <f t="shared" si="10"/>
        <v>0</v>
      </c>
      <c r="N100" s="322">
        <f t="shared" si="7"/>
        <v>519.50159999999994</v>
      </c>
      <c r="O100" s="322">
        <f t="shared" si="8"/>
        <v>519.50159999999994</v>
      </c>
      <c r="P100" s="199">
        <f>VLOOKUP(A100,'SALE PARTY MASTR '!$B$5:$I$105,7,FALSE)</f>
        <v>2</v>
      </c>
      <c r="Q100" s="199" t="str">
        <f>VLOOKUP(A100,'SALE PARTY MASTR '!$B$5:$I$105,8,FALSE)</f>
        <v>Local Sale</v>
      </c>
      <c r="R100" s="199" t="s">
        <v>894</v>
      </c>
      <c r="S100" s="401">
        <v>998898</v>
      </c>
      <c r="T100" s="201" t="str">
        <f>VLOOKUP(S100,'SALE HSN MASTER '!$A$6:$D$20,2,FALSE)</f>
        <v>Parts &amp; Accessories Of Motor Vehicles Other</v>
      </c>
      <c r="U100" s="201" t="str">
        <f>VLOOKUP(S100,'SALE HSN MASTER '!$A$6:$D$20,3,FALSE)</f>
        <v>NOS-NUMBERS</v>
      </c>
      <c r="V100" s="201" t="str">
        <f>VLOOKUP(S100,'SALE HSN MASTER '!$A$6:$D$20,4,FALSE)</f>
        <v>Service</v>
      </c>
      <c r="W100" s="401">
        <v>12</v>
      </c>
    </row>
    <row r="101" spans="1:23" ht="14.4" x14ac:dyDescent="0.3">
      <c r="A101" s="423" t="s">
        <v>23</v>
      </c>
      <c r="B101" s="199" t="str">
        <f>VLOOKUP(A101,'SALE PARTY MASTR '!$B$5:$G$280,2,FALSE)</f>
        <v>Varroc Polymers Pvt.ltd.</v>
      </c>
      <c r="C101" s="397" t="s">
        <v>1074</v>
      </c>
      <c r="D101" s="398">
        <v>43139</v>
      </c>
      <c r="E101" s="320">
        <f t="shared" si="9"/>
        <v>8878.6944000000003</v>
      </c>
      <c r="F101" s="321" t="str">
        <f>VLOOKUP(A101,'SALE PARTY MASTR '!$B$5:$I$105,3,FALSE)</f>
        <v>27-Maharashatra</v>
      </c>
      <c r="G101" s="321" t="str">
        <f>VLOOKUP(A101,'SALE PARTY MASTR '!$B$5:$I$105,4,FALSE)</f>
        <v>N</v>
      </c>
      <c r="H101" s="321" t="str">
        <f>VLOOKUP(A101,'SALE PARTY MASTR '!$B$5:$I$105,5,FALSE)</f>
        <v>Regular</v>
      </c>
      <c r="I101" s="321">
        <f>VLOOKUP(A101,'SALE PARTY MASTR '!$B$5:$I$105,6,FALSE)</f>
        <v>0</v>
      </c>
      <c r="J101" s="262">
        <f>VLOOKUP(S101,'SALE HSN MASTER '!$A$6:$E$20,5,FALSE)</f>
        <v>28</v>
      </c>
      <c r="K101" s="400">
        <v>6936.48</v>
      </c>
      <c r="L101" s="184"/>
      <c r="M101" s="322">
        <f t="shared" si="10"/>
        <v>0</v>
      </c>
      <c r="N101" s="322">
        <f t="shared" si="7"/>
        <v>971.10720000000003</v>
      </c>
      <c r="O101" s="322">
        <f t="shared" si="8"/>
        <v>971.10720000000003</v>
      </c>
      <c r="P101" s="199">
        <f>VLOOKUP(A101,'SALE PARTY MASTR '!$B$5:$I$105,7,FALSE)</f>
        <v>2</v>
      </c>
      <c r="Q101" s="199" t="str">
        <f>VLOOKUP(A101,'SALE PARTY MASTR '!$B$5:$I$105,8,FALSE)</f>
        <v>Local Sale</v>
      </c>
      <c r="R101" s="199" t="s">
        <v>897</v>
      </c>
      <c r="S101" s="401">
        <v>87081090</v>
      </c>
      <c r="T101" s="201" t="str">
        <f>VLOOKUP(S101,'SALE HSN MASTER '!$A$6:$D$20,2,FALSE)</f>
        <v>Parts &amp; Accessories Of Motor Vehicles Other</v>
      </c>
      <c r="U101" s="201" t="str">
        <f>VLOOKUP(S101,'SALE HSN MASTER '!$A$6:$D$20,3,FALSE)</f>
        <v>NOS-NUMBERS</v>
      </c>
      <c r="V101" s="201" t="str">
        <f>VLOOKUP(S101,'SALE HSN MASTER '!$A$6:$D$20,4,FALSE)</f>
        <v>Goods</v>
      </c>
      <c r="W101" s="401">
        <v>96</v>
      </c>
    </row>
    <row r="102" spans="1:23" ht="14.4" x14ac:dyDescent="0.3">
      <c r="A102" s="423" t="s">
        <v>23</v>
      </c>
      <c r="B102" s="199" t="str">
        <f>VLOOKUP(A102,'SALE PARTY MASTR '!$B$5:$G$280,2,FALSE)</f>
        <v>Varroc Polymers Pvt.ltd.</v>
      </c>
      <c r="C102" s="397" t="s">
        <v>1075</v>
      </c>
      <c r="D102" s="398">
        <v>43139</v>
      </c>
      <c r="E102" s="320">
        <f t="shared" si="9"/>
        <v>38844.287999999993</v>
      </c>
      <c r="F102" s="321" t="str">
        <f>VLOOKUP(A102,'SALE PARTY MASTR '!$B$5:$I$105,3,FALSE)</f>
        <v>27-Maharashatra</v>
      </c>
      <c r="G102" s="321" t="str">
        <f>VLOOKUP(A102,'SALE PARTY MASTR '!$B$5:$I$105,4,FALSE)</f>
        <v>N</v>
      </c>
      <c r="H102" s="321" t="str">
        <f>VLOOKUP(A102,'SALE PARTY MASTR '!$B$5:$I$105,5,FALSE)</f>
        <v>Regular</v>
      </c>
      <c r="I102" s="321">
        <f>VLOOKUP(A102,'SALE PARTY MASTR '!$B$5:$I$105,6,FALSE)</f>
        <v>0</v>
      </c>
      <c r="J102" s="262">
        <f>VLOOKUP(S102,'SALE HSN MASTER '!$A$6:$E$20,5,FALSE)</f>
        <v>28</v>
      </c>
      <c r="K102" s="400">
        <v>30347.1</v>
      </c>
      <c r="L102" s="184"/>
      <c r="M102" s="322">
        <f t="shared" si="10"/>
        <v>0</v>
      </c>
      <c r="N102" s="322">
        <f t="shared" si="7"/>
        <v>4248.5940000000001</v>
      </c>
      <c r="O102" s="322">
        <f t="shared" si="8"/>
        <v>4248.5940000000001</v>
      </c>
      <c r="P102" s="199">
        <f>VLOOKUP(A102,'SALE PARTY MASTR '!$B$5:$I$105,7,FALSE)</f>
        <v>2</v>
      </c>
      <c r="Q102" s="199" t="str">
        <f>VLOOKUP(A102,'SALE PARTY MASTR '!$B$5:$I$105,8,FALSE)</f>
        <v>Local Sale</v>
      </c>
      <c r="R102" s="199" t="s">
        <v>897</v>
      </c>
      <c r="S102" s="401">
        <v>87081090</v>
      </c>
      <c r="T102" s="201" t="str">
        <f>VLOOKUP(S102,'SALE HSN MASTER '!$A$6:$D$20,2,FALSE)</f>
        <v>Parts &amp; Accessories Of Motor Vehicles Other</v>
      </c>
      <c r="U102" s="201" t="str">
        <f>VLOOKUP(S102,'SALE HSN MASTER '!$A$6:$D$20,3,FALSE)</f>
        <v>NOS-NUMBERS</v>
      </c>
      <c r="V102" s="201" t="str">
        <f>VLOOKUP(S102,'SALE HSN MASTER '!$A$6:$D$20,4,FALSE)</f>
        <v>Goods</v>
      </c>
      <c r="W102" s="401">
        <v>420</v>
      </c>
    </row>
    <row r="103" spans="1:23" ht="14.4" x14ac:dyDescent="0.3">
      <c r="A103" s="423" t="s">
        <v>31</v>
      </c>
      <c r="B103" s="199" t="str">
        <f>VLOOKUP(A103,'SALE PARTY MASTR '!$B$5:$G$280,2,FALSE)</f>
        <v>Mittal Precision Auto Comps Pvt Ltd,</v>
      </c>
      <c r="C103" s="397" t="s">
        <v>1076</v>
      </c>
      <c r="D103" s="398">
        <v>43139</v>
      </c>
      <c r="E103" s="320">
        <f t="shared" si="9"/>
        <v>7109.5944</v>
      </c>
      <c r="F103" s="321" t="str">
        <f>VLOOKUP(A103,'SALE PARTY MASTR '!$B$5:$I$105,3,FALSE)</f>
        <v>27-Maharashatra</v>
      </c>
      <c r="G103" s="321" t="str">
        <f>VLOOKUP(A103,'SALE PARTY MASTR '!$B$5:$I$105,4,FALSE)</f>
        <v>N</v>
      </c>
      <c r="H103" s="321" t="str">
        <f>VLOOKUP(A103,'SALE PARTY MASTR '!$B$5:$I$105,5,FALSE)</f>
        <v>Regular</v>
      </c>
      <c r="I103" s="321">
        <f>VLOOKUP(A103,'SALE PARTY MASTR '!$B$5:$I$105,6,FALSE)</f>
        <v>0</v>
      </c>
      <c r="J103" s="262">
        <f>VLOOKUP(S103,'SALE HSN MASTER '!$A$6:$E$20,5,FALSE)</f>
        <v>18</v>
      </c>
      <c r="K103" s="400">
        <v>6025.08</v>
      </c>
      <c r="L103" s="184"/>
      <c r="M103" s="322">
        <f t="shared" si="10"/>
        <v>0</v>
      </c>
      <c r="N103" s="322">
        <f t="shared" si="7"/>
        <v>542.25720000000001</v>
      </c>
      <c r="O103" s="322">
        <f t="shared" si="8"/>
        <v>542.25720000000001</v>
      </c>
      <c r="P103" s="199">
        <f>VLOOKUP(A103,'SALE PARTY MASTR '!$B$5:$I$105,7,FALSE)</f>
        <v>2</v>
      </c>
      <c r="Q103" s="199" t="str">
        <f>VLOOKUP(A103,'SALE PARTY MASTR '!$B$5:$I$105,8,FALSE)</f>
        <v>Local Sale</v>
      </c>
      <c r="R103" s="199" t="s">
        <v>894</v>
      </c>
      <c r="S103" s="401">
        <v>998898</v>
      </c>
      <c r="T103" s="201" t="str">
        <f>VLOOKUP(S103,'SALE HSN MASTER '!$A$6:$D$20,2,FALSE)</f>
        <v>Parts &amp; Accessories Of Motor Vehicles Other</v>
      </c>
      <c r="U103" s="201" t="str">
        <f>VLOOKUP(S103,'SALE HSN MASTER '!$A$6:$D$20,3,FALSE)</f>
        <v>NOS-NUMBERS</v>
      </c>
      <c r="V103" s="201" t="str">
        <f>VLOOKUP(S103,'SALE HSN MASTER '!$A$6:$D$20,4,FALSE)</f>
        <v>Service</v>
      </c>
      <c r="W103" s="401">
        <v>12</v>
      </c>
    </row>
    <row r="104" spans="1:23" ht="14.4" x14ac:dyDescent="0.3">
      <c r="A104" s="423" t="s">
        <v>28</v>
      </c>
      <c r="B104" s="199" t="str">
        <f>VLOOKUP(A104,'SALE PARTY MASTR '!$B$5:$G$280,2,FALSE)</f>
        <v>Lumax Auto Technologies Ltd.</v>
      </c>
      <c r="C104" s="397" t="s">
        <v>1077</v>
      </c>
      <c r="D104" s="398">
        <v>43139</v>
      </c>
      <c r="E104" s="320">
        <f t="shared" si="9"/>
        <v>80981.535599999988</v>
      </c>
      <c r="F104" s="321" t="str">
        <f>VLOOKUP(A104,'SALE PARTY MASTR '!$B$5:$I$105,3,FALSE)</f>
        <v>27-Maharashatra</v>
      </c>
      <c r="G104" s="321" t="str">
        <f>VLOOKUP(A104,'SALE PARTY MASTR '!$B$5:$I$105,4,FALSE)</f>
        <v>N</v>
      </c>
      <c r="H104" s="321" t="str">
        <f>VLOOKUP(A104,'SALE PARTY MASTR '!$B$5:$I$105,5,FALSE)</f>
        <v>Regular</v>
      </c>
      <c r="I104" s="321">
        <f>VLOOKUP(A104,'SALE PARTY MASTR '!$B$5:$I$105,6,FALSE)</f>
        <v>0</v>
      </c>
      <c r="J104" s="262">
        <f>VLOOKUP(S104,'SALE HSN MASTER '!$A$6:$E$20,5,FALSE)</f>
        <v>18</v>
      </c>
      <c r="K104" s="400">
        <v>68628.42</v>
      </c>
      <c r="L104" s="184"/>
      <c r="M104" s="322">
        <f t="shared" si="10"/>
        <v>0</v>
      </c>
      <c r="N104" s="322">
        <f t="shared" si="7"/>
        <v>6176.5577999999996</v>
      </c>
      <c r="O104" s="322">
        <f t="shared" si="8"/>
        <v>6176.5577999999996</v>
      </c>
      <c r="P104" s="199">
        <f>VLOOKUP(A104,'SALE PARTY MASTR '!$B$5:$I$105,7,FALSE)</f>
        <v>2</v>
      </c>
      <c r="Q104" s="199" t="str">
        <f>VLOOKUP(A104,'SALE PARTY MASTR '!$B$5:$I$105,8,FALSE)</f>
        <v>Local Sale</v>
      </c>
      <c r="R104" s="199" t="s">
        <v>894</v>
      </c>
      <c r="S104" s="401">
        <v>85129000</v>
      </c>
      <c r="T104" s="201" t="str">
        <f>VLOOKUP(S104,'SALE HSN MASTER '!$A$6:$D$20,2,FALSE)</f>
        <v>Parts &amp; Accessories Of Motor Vehicles Other</v>
      </c>
      <c r="U104" s="201" t="str">
        <f>VLOOKUP(S104,'SALE HSN MASTER '!$A$6:$D$20,3,FALSE)</f>
        <v>NOS-NUMBERS</v>
      </c>
      <c r="V104" s="201" t="str">
        <f>VLOOKUP(S104,'SALE HSN MASTER '!$A$6:$D$20,4,FALSE)</f>
        <v>Goods</v>
      </c>
      <c r="W104" s="401">
        <v>558</v>
      </c>
    </row>
    <row r="105" spans="1:23" ht="14.4" x14ac:dyDescent="0.3">
      <c r="A105" s="423" t="s">
        <v>27</v>
      </c>
      <c r="B105" s="199" t="str">
        <f>VLOOKUP(A105,'SALE PARTY MASTR '!$B$5:$G$280,2,FALSE)</f>
        <v>Rinder India Pvt Ltd.</v>
      </c>
      <c r="C105" s="397" t="s">
        <v>1078</v>
      </c>
      <c r="D105" s="398">
        <v>43139</v>
      </c>
      <c r="E105" s="320">
        <f t="shared" si="9"/>
        <v>28320</v>
      </c>
      <c r="F105" s="321" t="str">
        <f>VLOOKUP(A105,'SALE PARTY MASTR '!$B$5:$I$105,3,FALSE)</f>
        <v>27-Maharashatra</v>
      </c>
      <c r="G105" s="321" t="str">
        <f>VLOOKUP(A105,'SALE PARTY MASTR '!$B$5:$I$105,4,FALSE)</f>
        <v>N</v>
      </c>
      <c r="H105" s="321" t="str">
        <f>VLOOKUP(A105,'SALE PARTY MASTR '!$B$5:$I$105,5,FALSE)</f>
        <v>Regular</v>
      </c>
      <c r="I105" s="321">
        <f>VLOOKUP(A105,'SALE PARTY MASTR '!$B$5:$I$105,6,FALSE)</f>
        <v>0</v>
      </c>
      <c r="J105" s="262">
        <f>VLOOKUP(S105,'SALE HSN MASTER '!$A$6:$E$20,5,FALSE)</f>
        <v>18</v>
      </c>
      <c r="K105" s="400">
        <v>24000</v>
      </c>
      <c r="L105" s="184"/>
      <c r="M105" s="322">
        <f t="shared" si="10"/>
        <v>0</v>
      </c>
      <c r="N105" s="322">
        <f t="shared" si="7"/>
        <v>2160</v>
      </c>
      <c r="O105" s="322">
        <f t="shared" si="8"/>
        <v>2160</v>
      </c>
      <c r="P105" s="199">
        <f>VLOOKUP(A105,'SALE PARTY MASTR '!$B$5:$I$105,7,FALSE)</f>
        <v>2</v>
      </c>
      <c r="Q105" s="199" t="str">
        <f>VLOOKUP(A105,'SALE PARTY MASTR '!$B$5:$I$105,8,FALSE)</f>
        <v>Local Sale</v>
      </c>
      <c r="R105" s="199" t="s">
        <v>894</v>
      </c>
      <c r="S105" s="401">
        <v>85129000</v>
      </c>
      <c r="T105" s="201" t="str">
        <f>VLOOKUP(S105,'SALE HSN MASTER '!$A$6:$D$20,2,FALSE)</f>
        <v>Parts &amp; Accessories Of Motor Vehicles Other</v>
      </c>
      <c r="U105" s="201" t="str">
        <f>VLOOKUP(S105,'SALE HSN MASTER '!$A$6:$D$20,3,FALSE)</f>
        <v>NOS-NUMBERS</v>
      </c>
      <c r="V105" s="201" t="str">
        <f>VLOOKUP(S105,'SALE HSN MASTER '!$A$6:$D$20,4,FALSE)</f>
        <v>Goods</v>
      </c>
      <c r="W105" s="401">
        <v>960</v>
      </c>
    </row>
    <row r="106" spans="1:23" ht="14.4" x14ac:dyDescent="0.3">
      <c r="A106" s="423" t="s">
        <v>27</v>
      </c>
      <c r="B106" s="199" t="str">
        <f>VLOOKUP(A106,'SALE PARTY MASTR '!$B$5:$G$280,2,FALSE)</f>
        <v>Rinder India Pvt Ltd.</v>
      </c>
      <c r="C106" s="397" t="s">
        <v>1079</v>
      </c>
      <c r="D106" s="398">
        <v>43140</v>
      </c>
      <c r="E106" s="320">
        <f t="shared" si="9"/>
        <v>42480</v>
      </c>
      <c r="F106" s="321" t="str">
        <f>VLOOKUP(A106,'SALE PARTY MASTR '!$B$5:$I$105,3,FALSE)</f>
        <v>27-Maharashatra</v>
      </c>
      <c r="G106" s="321" t="str">
        <f>VLOOKUP(A106,'SALE PARTY MASTR '!$B$5:$I$105,4,FALSE)</f>
        <v>N</v>
      </c>
      <c r="H106" s="321" t="str">
        <f>VLOOKUP(A106,'SALE PARTY MASTR '!$B$5:$I$105,5,FALSE)</f>
        <v>Regular</v>
      </c>
      <c r="I106" s="321">
        <f>VLOOKUP(A106,'SALE PARTY MASTR '!$B$5:$I$105,6,FALSE)</f>
        <v>0</v>
      </c>
      <c r="J106" s="262">
        <f>VLOOKUP(S106,'SALE HSN MASTER '!$A$6:$E$20,5,FALSE)</f>
        <v>18</v>
      </c>
      <c r="K106" s="400">
        <v>36000</v>
      </c>
      <c r="L106" s="184"/>
      <c r="M106" s="322">
        <f t="shared" si="10"/>
        <v>0</v>
      </c>
      <c r="N106" s="322">
        <f t="shared" si="7"/>
        <v>3240</v>
      </c>
      <c r="O106" s="322">
        <f t="shared" si="8"/>
        <v>3240</v>
      </c>
      <c r="P106" s="199">
        <f>VLOOKUP(A106,'SALE PARTY MASTR '!$B$5:$I$105,7,FALSE)</f>
        <v>2</v>
      </c>
      <c r="Q106" s="199" t="str">
        <f>VLOOKUP(A106,'SALE PARTY MASTR '!$B$5:$I$105,8,FALSE)</f>
        <v>Local Sale</v>
      </c>
      <c r="R106" s="199" t="s">
        <v>894</v>
      </c>
      <c r="S106" s="401">
        <v>85129000</v>
      </c>
      <c r="T106" s="201" t="str">
        <f>VLOOKUP(S106,'SALE HSN MASTER '!$A$6:$D$20,2,FALSE)</f>
        <v>Parts &amp; Accessories Of Motor Vehicles Other</v>
      </c>
      <c r="U106" s="201" t="str">
        <f>VLOOKUP(S106,'SALE HSN MASTER '!$A$6:$D$20,3,FALSE)</f>
        <v>NOS-NUMBERS</v>
      </c>
      <c r="V106" s="201" t="str">
        <f>VLOOKUP(S106,'SALE HSN MASTER '!$A$6:$D$20,4,FALSE)</f>
        <v>Goods</v>
      </c>
      <c r="W106" s="401">
        <v>1440</v>
      </c>
    </row>
    <row r="107" spans="1:23" ht="14.4" x14ac:dyDescent="0.3">
      <c r="A107" s="423" t="s">
        <v>23</v>
      </c>
      <c r="B107" s="199" t="str">
        <f>VLOOKUP(A107,'SALE PARTY MASTR '!$B$5:$G$280,2,FALSE)</f>
        <v>Varroc Polymers Pvt.ltd.</v>
      </c>
      <c r="C107" s="397" t="s">
        <v>1080</v>
      </c>
      <c r="D107" s="398">
        <v>43140</v>
      </c>
      <c r="E107" s="320">
        <f t="shared" si="9"/>
        <v>37734.451200000003</v>
      </c>
      <c r="F107" s="321" t="str">
        <f>VLOOKUP(A107,'SALE PARTY MASTR '!$B$5:$I$105,3,FALSE)</f>
        <v>27-Maharashatra</v>
      </c>
      <c r="G107" s="321" t="str">
        <f>VLOOKUP(A107,'SALE PARTY MASTR '!$B$5:$I$105,4,FALSE)</f>
        <v>N</v>
      </c>
      <c r="H107" s="321" t="str">
        <f>VLOOKUP(A107,'SALE PARTY MASTR '!$B$5:$I$105,5,FALSE)</f>
        <v>Regular</v>
      </c>
      <c r="I107" s="321">
        <f>VLOOKUP(A107,'SALE PARTY MASTR '!$B$5:$I$105,6,FALSE)</f>
        <v>0</v>
      </c>
      <c r="J107" s="262">
        <f>VLOOKUP(S107,'SALE HSN MASTER '!$A$6:$E$20,5,FALSE)</f>
        <v>28</v>
      </c>
      <c r="K107" s="400">
        <v>29480.04</v>
      </c>
      <c r="L107" s="184"/>
      <c r="M107" s="322">
        <f t="shared" si="10"/>
        <v>0</v>
      </c>
      <c r="N107" s="322">
        <f t="shared" si="7"/>
        <v>4127.2056000000002</v>
      </c>
      <c r="O107" s="322">
        <f t="shared" si="8"/>
        <v>4127.2056000000002</v>
      </c>
      <c r="P107" s="199">
        <f>VLOOKUP(A107,'SALE PARTY MASTR '!$B$5:$I$105,7,FALSE)</f>
        <v>2</v>
      </c>
      <c r="Q107" s="199" t="str">
        <f>VLOOKUP(A107,'SALE PARTY MASTR '!$B$5:$I$105,8,FALSE)</f>
        <v>Local Sale</v>
      </c>
      <c r="R107" s="199" t="s">
        <v>897</v>
      </c>
      <c r="S107" s="401">
        <v>87081090</v>
      </c>
      <c r="T107" s="201" t="str">
        <f>VLOOKUP(S107,'SALE HSN MASTER '!$A$6:$D$20,2,FALSE)</f>
        <v>Parts &amp; Accessories Of Motor Vehicles Other</v>
      </c>
      <c r="U107" s="201" t="str">
        <f>VLOOKUP(S107,'SALE HSN MASTER '!$A$6:$D$20,3,FALSE)</f>
        <v>NOS-NUMBERS</v>
      </c>
      <c r="V107" s="201" t="str">
        <f>VLOOKUP(S107,'SALE HSN MASTER '!$A$6:$D$20,4,FALSE)</f>
        <v>Goods</v>
      </c>
      <c r="W107" s="401">
        <v>408</v>
      </c>
    </row>
    <row r="108" spans="1:23" ht="14.4" x14ac:dyDescent="0.3">
      <c r="A108" s="423" t="s">
        <v>22</v>
      </c>
      <c r="B108" s="199" t="str">
        <f>VLOOKUP(A108,'SALE PARTY MASTR '!$B$5:$G$280,2,FALSE)</f>
        <v>Japtech Industries</v>
      </c>
      <c r="C108" s="397" t="s">
        <v>1081</v>
      </c>
      <c r="D108" s="398">
        <v>43140</v>
      </c>
      <c r="E108" s="320">
        <f t="shared" si="9"/>
        <v>6161.9599999999991</v>
      </c>
      <c r="F108" s="321" t="str">
        <f>VLOOKUP(A108,'SALE PARTY MASTR '!$B$5:$I$105,3,FALSE)</f>
        <v>27-Maharashatra</v>
      </c>
      <c r="G108" s="321" t="str">
        <f>VLOOKUP(A108,'SALE PARTY MASTR '!$B$5:$I$105,4,FALSE)</f>
        <v>N</v>
      </c>
      <c r="H108" s="321" t="str">
        <f>VLOOKUP(A108,'SALE PARTY MASTR '!$B$5:$I$105,5,FALSE)</f>
        <v>Regular</v>
      </c>
      <c r="I108" s="321">
        <f>VLOOKUP(A108,'SALE PARTY MASTR '!$B$5:$I$105,6,FALSE)</f>
        <v>0</v>
      </c>
      <c r="J108" s="262">
        <f>VLOOKUP(S108,'SALE HSN MASTER '!$A$6:$E$20,5,FALSE)</f>
        <v>18</v>
      </c>
      <c r="K108" s="400">
        <v>5222</v>
      </c>
      <c r="L108" s="184"/>
      <c r="M108" s="322">
        <f t="shared" si="10"/>
        <v>0</v>
      </c>
      <c r="N108" s="322">
        <f t="shared" si="7"/>
        <v>469.97999999999996</v>
      </c>
      <c r="O108" s="322">
        <f t="shared" si="8"/>
        <v>469.97999999999996</v>
      </c>
      <c r="P108" s="199">
        <f>VLOOKUP(A108,'SALE PARTY MASTR '!$B$5:$I$105,7,FALSE)</f>
        <v>2</v>
      </c>
      <c r="Q108" s="199" t="str">
        <f>VLOOKUP(A108,'SALE PARTY MASTR '!$B$5:$I$105,8,FALSE)</f>
        <v>Local Sale</v>
      </c>
      <c r="R108" s="199" t="s">
        <v>894</v>
      </c>
      <c r="S108" s="401">
        <v>998898</v>
      </c>
      <c r="T108" s="201" t="str">
        <f>VLOOKUP(S108,'SALE HSN MASTER '!$A$6:$D$20,2,FALSE)</f>
        <v>Parts &amp; Accessories Of Motor Vehicles Other</v>
      </c>
      <c r="U108" s="201" t="str">
        <f>VLOOKUP(S108,'SALE HSN MASTER '!$A$6:$D$20,3,FALSE)</f>
        <v>NOS-NUMBERS</v>
      </c>
      <c r="V108" s="201" t="str">
        <f>VLOOKUP(S108,'SALE HSN MASTER '!$A$6:$D$20,4,FALSE)</f>
        <v>Service</v>
      </c>
      <c r="W108" s="401">
        <v>14</v>
      </c>
    </row>
    <row r="109" spans="1:23" ht="14.4" x14ac:dyDescent="0.3">
      <c r="A109" s="423" t="s">
        <v>23</v>
      </c>
      <c r="B109" s="199" t="str">
        <f>VLOOKUP(A109,'SALE PARTY MASTR '!$B$5:$G$280,2,FALSE)</f>
        <v>Varroc Polymers Pvt.ltd.</v>
      </c>
      <c r="C109" s="397" t="s">
        <v>1082</v>
      </c>
      <c r="D109" s="398">
        <v>43140</v>
      </c>
      <c r="E109" s="320">
        <f t="shared" si="9"/>
        <v>38844.287999999993</v>
      </c>
      <c r="F109" s="321" t="str">
        <f>VLOOKUP(A109,'SALE PARTY MASTR '!$B$5:$I$105,3,FALSE)</f>
        <v>27-Maharashatra</v>
      </c>
      <c r="G109" s="321" t="str">
        <f>VLOOKUP(A109,'SALE PARTY MASTR '!$B$5:$I$105,4,FALSE)</f>
        <v>N</v>
      </c>
      <c r="H109" s="321" t="str">
        <f>VLOOKUP(A109,'SALE PARTY MASTR '!$B$5:$I$105,5,FALSE)</f>
        <v>Regular</v>
      </c>
      <c r="I109" s="321">
        <f>VLOOKUP(A109,'SALE PARTY MASTR '!$B$5:$I$105,6,FALSE)</f>
        <v>0</v>
      </c>
      <c r="J109" s="262">
        <f>VLOOKUP(S109,'SALE HSN MASTER '!$A$6:$E$20,5,FALSE)</f>
        <v>28</v>
      </c>
      <c r="K109" s="400">
        <v>30347.1</v>
      </c>
      <c r="L109" s="184"/>
      <c r="M109" s="322">
        <f t="shared" si="10"/>
        <v>0</v>
      </c>
      <c r="N109" s="322">
        <f t="shared" si="7"/>
        <v>4248.5940000000001</v>
      </c>
      <c r="O109" s="322">
        <f t="shared" si="8"/>
        <v>4248.5940000000001</v>
      </c>
      <c r="P109" s="199">
        <f>VLOOKUP(A109,'SALE PARTY MASTR '!$B$5:$I$105,7,FALSE)</f>
        <v>2</v>
      </c>
      <c r="Q109" s="199" t="str">
        <f>VLOOKUP(A109,'SALE PARTY MASTR '!$B$5:$I$105,8,FALSE)</f>
        <v>Local Sale</v>
      </c>
      <c r="R109" s="199" t="s">
        <v>897</v>
      </c>
      <c r="S109" s="401">
        <v>87081090</v>
      </c>
      <c r="T109" s="201" t="str">
        <f>VLOOKUP(S109,'SALE HSN MASTER '!$A$6:$D$20,2,FALSE)</f>
        <v>Parts &amp; Accessories Of Motor Vehicles Other</v>
      </c>
      <c r="U109" s="201" t="str">
        <f>VLOOKUP(S109,'SALE HSN MASTER '!$A$6:$D$20,3,FALSE)</f>
        <v>NOS-NUMBERS</v>
      </c>
      <c r="V109" s="201" t="str">
        <f>VLOOKUP(S109,'SALE HSN MASTER '!$A$6:$D$20,4,FALSE)</f>
        <v>Goods</v>
      </c>
      <c r="W109" s="401">
        <v>420</v>
      </c>
    </row>
    <row r="110" spans="1:23" ht="14.4" x14ac:dyDescent="0.3">
      <c r="A110" s="423" t="s">
        <v>23</v>
      </c>
      <c r="B110" s="199" t="str">
        <f>VLOOKUP(A110,'SALE PARTY MASTR '!$B$5:$G$280,2,FALSE)</f>
        <v>Varroc Polymers Pvt.ltd.</v>
      </c>
      <c r="C110" s="397" t="s">
        <v>1083</v>
      </c>
      <c r="D110" s="398">
        <v>43140</v>
      </c>
      <c r="E110" s="320">
        <f t="shared" si="9"/>
        <v>38844.287999999993</v>
      </c>
      <c r="F110" s="321" t="str">
        <f>VLOOKUP(A110,'SALE PARTY MASTR '!$B$5:$I$105,3,FALSE)</f>
        <v>27-Maharashatra</v>
      </c>
      <c r="G110" s="321" t="str">
        <f>VLOOKUP(A110,'SALE PARTY MASTR '!$B$5:$I$105,4,FALSE)</f>
        <v>N</v>
      </c>
      <c r="H110" s="321" t="str">
        <f>VLOOKUP(A110,'SALE PARTY MASTR '!$B$5:$I$105,5,FALSE)</f>
        <v>Regular</v>
      </c>
      <c r="I110" s="321">
        <f>VLOOKUP(A110,'SALE PARTY MASTR '!$B$5:$I$105,6,FALSE)</f>
        <v>0</v>
      </c>
      <c r="J110" s="262">
        <f>VLOOKUP(S110,'SALE HSN MASTER '!$A$6:$E$20,5,FALSE)</f>
        <v>28</v>
      </c>
      <c r="K110" s="400">
        <v>30347.1</v>
      </c>
      <c r="L110" s="184"/>
      <c r="M110" s="322">
        <f t="shared" si="10"/>
        <v>0</v>
      </c>
      <c r="N110" s="322">
        <f t="shared" si="7"/>
        <v>4248.5940000000001</v>
      </c>
      <c r="O110" s="322">
        <f t="shared" si="8"/>
        <v>4248.5940000000001</v>
      </c>
      <c r="P110" s="199">
        <f>VLOOKUP(A110,'SALE PARTY MASTR '!$B$5:$I$105,7,FALSE)</f>
        <v>2</v>
      </c>
      <c r="Q110" s="199" t="str">
        <f>VLOOKUP(A110,'SALE PARTY MASTR '!$B$5:$I$105,8,FALSE)</f>
        <v>Local Sale</v>
      </c>
      <c r="R110" s="199" t="s">
        <v>897</v>
      </c>
      <c r="S110" s="401">
        <v>87081090</v>
      </c>
      <c r="T110" s="201" t="str">
        <f>VLOOKUP(S110,'SALE HSN MASTER '!$A$6:$D$20,2,FALSE)</f>
        <v>Parts &amp; Accessories Of Motor Vehicles Other</v>
      </c>
      <c r="U110" s="201" t="str">
        <f>VLOOKUP(S110,'SALE HSN MASTER '!$A$6:$D$20,3,FALSE)</f>
        <v>NOS-NUMBERS</v>
      </c>
      <c r="V110" s="201" t="str">
        <f>VLOOKUP(S110,'SALE HSN MASTER '!$A$6:$D$20,4,FALSE)</f>
        <v>Goods</v>
      </c>
      <c r="W110" s="401">
        <v>420</v>
      </c>
    </row>
    <row r="111" spans="1:23" ht="14.4" x14ac:dyDescent="0.3">
      <c r="A111" s="423" t="s">
        <v>24</v>
      </c>
      <c r="B111" s="199" t="str">
        <f>VLOOKUP(A111,'SALE PARTY MASTR '!$B$5:$G$280,2,FALSE)</f>
        <v>Tata Autocomp Systems LTD.(X1)</v>
      </c>
      <c r="C111" s="397" t="s">
        <v>1084</v>
      </c>
      <c r="D111" s="398">
        <v>43140</v>
      </c>
      <c r="E111" s="320">
        <f t="shared" si="9"/>
        <v>46824.192000000003</v>
      </c>
      <c r="F111" s="321" t="str">
        <f>VLOOKUP(A111,'SALE PARTY MASTR '!$B$5:$I$105,3,FALSE)</f>
        <v>27-Maharashatra</v>
      </c>
      <c r="G111" s="321" t="str">
        <f>VLOOKUP(A111,'SALE PARTY MASTR '!$B$5:$I$105,4,FALSE)</f>
        <v>N</v>
      </c>
      <c r="H111" s="321" t="str">
        <f>VLOOKUP(A111,'SALE PARTY MASTR '!$B$5:$I$105,5,FALSE)</f>
        <v>Regular</v>
      </c>
      <c r="I111" s="321">
        <f>VLOOKUP(A111,'SALE PARTY MASTR '!$B$5:$I$105,6,FALSE)</f>
        <v>0</v>
      </c>
      <c r="J111" s="262">
        <f>VLOOKUP(S111,'SALE HSN MASTER '!$A$6:$E$20,5,FALSE)</f>
        <v>28</v>
      </c>
      <c r="K111" s="400">
        <v>36581.4</v>
      </c>
      <c r="L111" s="184"/>
      <c r="M111" s="322">
        <f t="shared" si="10"/>
        <v>0</v>
      </c>
      <c r="N111" s="322">
        <f t="shared" si="7"/>
        <v>5121.3960000000006</v>
      </c>
      <c r="O111" s="322">
        <f t="shared" si="8"/>
        <v>5121.3960000000006</v>
      </c>
      <c r="P111" s="199">
        <f>VLOOKUP(A111,'SALE PARTY MASTR '!$B$5:$I$105,7,FALSE)</f>
        <v>2</v>
      </c>
      <c r="Q111" s="199" t="str">
        <f>VLOOKUP(A111,'SALE PARTY MASTR '!$B$5:$I$105,8,FALSE)</f>
        <v>Local Sale</v>
      </c>
      <c r="R111" s="199" t="s">
        <v>897</v>
      </c>
      <c r="S111" s="401">
        <v>87089900</v>
      </c>
      <c r="T111" s="201" t="str">
        <f>VLOOKUP(S111,'SALE HSN MASTER '!$A$6:$D$20,2,FALSE)</f>
        <v>Parts &amp; Accessories Of Motor Vehicles Other</v>
      </c>
      <c r="U111" s="201" t="str">
        <f>VLOOKUP(S111,'SALE HSN MASTER '!$A$6:$D$20,3,FALSE)</f>
        <v>NOS-NUMBERS</v>
      </c>
      <c r="V111" s="201" t="str">
        <f>VLOOKUP(S111,'SALE HSN MASTER '!$A$6:$D$20,4,FALSE)</f>
        <v>Goods</v>
      </c>
      <c r="W111" s="401">
        <v>260</v>
      </c>
    </row>
    <row r="112" spans="1:23" ht="14.4" x14ac:dyDescent="0.3">
      <c r="A112" s="423" t="s">
        <v>32</v>
      </c>
      <c r="B112" s="199" t="str">
        <f>VLOOKUP(A112,'SALE PARTY MASTR '!$B$5:$G$280,2,FALSE)</f>
        <v>Pricol Ltd (Formerly Pricol Pune Ltd)</v>
      </c>
      <c r="C112" s="397" t="s">
        <v>1085</v>
      </c>
      <c r="D112" s="398">
        <v>43140</v>
      </c>
      <c r="E112" s="320">
        <f t="shared" si="9"/>
        <v>35517.056000000004</v>
      </c>
      <c r="F112" s="321" t="str">
        <f>VLOOKUP(A112,'SALE PARTY MASTR '!$B$5:$I$105,3,FALSE)</f>
        <v>27-Maharashatra</v>
      </c>
      <c r="G112" s="321" t="str">
        <f>VLOOKUP(A112,'SALE PARTY MASTR '!$B$5:$I$105,4,FALSE)</f>
        <v>N</v>
      </c>
      <c r="H112" s="321" t="str">
        <f>VLOOKUP(A112,'SALE PARTY MASTR '!$B$5:$I$105,5,FALSE)</f>
        <v>Regular</v>
      </c>
      <c r="I112" s="321">
        <f>VLOOKUP(A112,'SALE PARTY MASTR '!$B$5:$I$105,6,FALSE)</f>
        <v>0</v>
      </c>
      <c r="J112" s="262">
        <f>VLOOKUP(S112,'SALE HSN MASTER '!$A$6:$E$20,5,FALSE)</f>
        <v>28</v>
      </c>
      <c r="K112" s="400">
        <v>27747.7</v>
      </c>
      <c r="L112" s="184"/>
      <c r="M112" s="322">
        <f t="shared" si="10"/>
        <v>0</v>
      </c>
      <c r="N112" s="322">
        <f t="shared" si="7"/>
        <v>3884.6780000000003</v>
      </c>
      <c r="O112" s="322">
        <f t="shared" si="8"/>
        <v>3884.6780000000003</v>
      </c>
      <c r="P112" s="199">
        <f>VLOOKUP(A112,'SALE PARTY MASTR '!$B$5:$I$105,7,FALSE)</f>
        <v>2</v>
      </c>
      <c r="Q112" s="199" t="str">
        <f>VLOOKUP(A112,'SALE PARTY MASTR '!$B$5:$I$105,8,FALSE)</f>
        <v>Local Sale</v>
      </c>
      <c r="R112" s="199" t="s">
        <v>897</v>
      </c>
      <c r="S112" s="401">
        <v>87141090</v>
      </c>
      <c r="T112" s="201" t="str">
        <f>VLOOKUP(S112,'SALE HSN MASTER '!$A$6:$D$20,2,FALSE)</f>
        <v>Parts &amp; Accessories Of Motor Vehicles Other</v>
      </c>
      <c r="U112" s="201" t="str">
        <f>VLOOKUP(S112,'SALE HSN MASTER '!$A$6:$D$20,3,FALSE)</f>
        <v>NOS-NUMBERS</v>
      </c>
      <c r="V112" s="201" t="str">
        <f>VLOOKUP(S112,'SALE HSN MASTER '!$A$6:$D$20,4,FALSE)</f>
        <v>Goods</v>
      </c>
      <c r="W112" s="401">
        <v>590</v>
      </c>
    </row>
    <row r="113" spans="1:23" ht="14.4" x14ac:dyDescent="0.3">
      <c r="A113" s="423" t="s">
        <v>23</v>
      </c>
      <c r="B113" s="199" t="str">
        <f>VLOOKUP(A113,'SALE PARTY MASTR '!$B$5:$G$280,2,FALSE)</f>
        <v>Varroc Polymers Pvt.ltd.</v>
      </c>
      <c r="C113" s="397" t="s">
        <v>1086</v>
      </c>
      <c r="D113" s="398">
        <v>43140</v>
      </c>
      <c r="E113" s="320">
        <f t="shared" si="9"/>
        <v>27745.919999999998</v>
      </c>
      <c r="F113" s="321" t="str">
        <f>VLOOKUP(A113,'SALE PARTY MASTR '!$B$5:$I$105,3,FALSE)</f>
        <v>27-Maharashatra</v>
      </c>
      <c r="G113" s="321" t="str">
        <f>VLOOKUP(A113,'SALE PARTY MASTR '!$B$5:$I$105,4,FALSE)</f>
        <v>N</v>
      </c>
      <c r="H113" s="321" t="str">
        <f>VLOOKUP(A113,'SALE PARTY MASTR '!$B$5:$I$105,5,FALSE)</f>
        <v>Regular</v>
      </c>
      <c r="I113" s="321">
        <f>VLOOKUP(A113,'SALE PARTY MASTR '!$B$5:$I$105,6,FALSE)</f>
        <v>0</v>
      </c>
      <c r="J113" s="262">
        <f>VLOOKUP(S113,'SALE HSN MASTER '!$A$6:$E$20,5,FALSE)</f>
        <v>28</v>
      </c>
      <c r="K113" s="400">
        <v>21676.5</v>
      </c>
      <c r="L113" s="184"/>
      <c r="M113" s="322">
        <f t="shared" si="10"/>
        <v>0</v>
      </c>
      <c r="N113" s="322">
        <f t="shared" si="7"/>
        <v>3034.7100000000005</v>
      </c>
      <c r="O113" s="322">
        <f t="shared" si="8"/>
        <v>3034.7100000000005</v>
      </c>
      <c r="P113" s="199">
        <f>VLOOKUP(A113,'SALE PARTY MASTR '!$B$5:$I$105,7,FALSE)</f>
        <v>2</v>
      </c>
      <c r="Q113" s="199" t="str">
        <f>VLOOKUP(A113,'SALE PARTY MASTR '!$B$5:$I$105,8,FALSE)</f>
        <v>Local Sale</v>
      </c>
      <c r="R113" s="199" t="s">
        <v>897</v>
      </c>
      <c r="S113" s="401">
        <v>87081090</v>
      </c>
      <c r="T113" s="201" t="str">
        <f>VLOOKUP(S113,'SALE HSN MASTER '!$A$6:$D$20,2,FALSE)</f>
        <v>Parts &amp; Accessories Of Motor Vehicles Other</v>
      </c>
      <c r="U113" s="201" t="str">
        <f>VLOOKUP(S113,'SALE HSN MASTER '!$A$6:$D$20,3,FALSE)</f>
        <v>NOS-NUMBERS</v>
      </c>
      <c r="V113" s="201" t="str">
        <f>VLOOKUP(S113,'SALE HSN MASTER '!$A$6:$D$20,4,FALSE)</f>
        <v>Goods</v>
      </c>
      <c r="W113" s="401">
        <v>300</v>
      </c>
    </row>
    <row r="114" spans="1:23" ht="14.4" x14ac:dyDescent="0.3">
      <c r="A114" s="423" t="s">
        <v>23</v>
      </c>
      <c r="B114" s="199" t="str">
        <f>VLOOKUP(A114,'SALE PARTY MASTR '!$B$5:$G$280,2,FALSE)</f>
        <v>Varroc Polymers Pvt.ltd.</v>
      </c>
      <c r="C114" s="397" t="s">
        <v>1087</v>
      </c>
      <c r="D114" s="398">
        <v>43140</v>
      </c>
      <c r="E114" s="320">
        <f t="shared" si="9"/>
        <v>28510.720000000001</v>
      </c>
      <c r="F114" s="321" t="str">
        <f>VLOOKUP(A114,'SALE PARTY MASTR '!$B$5:$I$105,3,FALSE)</f>
        <v>27-Maharashatra</v>
      </c>
      <c r="G114" s="321" t="str">
        <f>VLOOKUP(A114,'SALE PARTY MASTR '!$B$5:$I$105,4,FALSE)</f>
        <v>N</v>
      </c>
      <c r="H114" s="321" t="str">
        <f>VLOOKUP(A114,'SALE PARTY MASTR '!$B$5:$I$105,5,FALSE)</f>
        <v>Regular</v>
      </c>
      <c r="I114" s="321">
        <f>VLOOKUP(A114,'SALE PARTY MASTR '!$B$5:$I$105,6,FALSE)</f>
        <v>0</v>
      </c>
      <c r="J114" s="262">
        <f>VLOOKUP(S114,'SALE HSN MASTER '!$A$6:$E$20,5,FALSE)</f>
        <v>28</v>
      </c>
      <c r="K114" s="400">
        <v>22274</v>
      </c>
      <c r="L114" s="184"/>
      <c r="M114" s="322">
        <f t="shared" si="10"/>
        <v>0</v>
      </c>
      <c r="N114" s="322">
        <f t="shared" si="7"/>
        <v>3118.36</v>
      </c>
      <c r="O114" s="322">
        <f t="shared" si="8"/>
        <v>3118.36</v>
      </c>
      <c r="P114" s="199">
        <f>VLOOKUP(A114,'SALE PARTY MASTR '!$B$5:$I$105,7,FALSE)</f>
        <v>2</v>
      </c>
      <c r="Q114" s="199" t="str">
        <f>VLOOKUP(A114,'SALE PARTY MASTR '!$B$5:$I$105,8,FALSE)</f>
        <v>Local Sale</v>
      </c>
      <c r="R114" s="199" t="s">
        <v>897</v>
      </c>
      <c r="S114" s="401">
        <v>87141090</v>
      </c>
      <c r="T114" s="201" t="str">
        <f>VLOOKUP(S114,'SALE HSN MASTER '!$A$6:$D$20,2,FALSE)</f>
        <v>Parts &amp; Accessories Of Motor Vehicles Other</v>
      </c>
      <c r="U114" s="201" t="str">
        <f>VLOOKUP(S114,'SALE HSN MASTER '!$A$6:$D$20,3,FALSE)</f>
        <v>NOS-NUMBERS</v>
      </c>
      <c r="V114" s="201" t="str">
        <f>VLOOKUP(S114,'SALE HSN MASTER '!$A$6:$D$20,4,FALSE)</f>
        <v>Goods</v>
      </c>
      <c r="W114" s="401">
        <v>296</v>
      </c>
    </row>
    <row r="115" spans="1:23" ht="14.4" x14ac:dyDescent="0.3">
      <c r="A115" s="423" t="s">
        <v>30</v>
      </c>
      <c r="B115" s="199" t="str">
        <f>VLOOKUP(A115,'SALE PARTY MASTR '!$B$5:$G$280,2,FALSE)</f>
        <v>Alpha Foam Ltd</v>
      </c>
      <c r="C115" s="397" t="s">
        <v>1088</v>
      </c>
      <c r="D115" s="398">
        <v>43140</v>
      </c>
      <c r="E115" s="320">
        <f t="shared" si="9"/>
        <v>1939.92</v>
      </c>
      <c r="F115" s="321" t="str">
        <f>VLOOKUP(A115,'SALE PARTY MASTR '!$B$5:$I$105,3,FALSE)</f>
        <v>27-Maharashatra</v>
      </c>
      <c r="G115" s="321" t="str">
        <f>VLOOKUP(A115,'SALE PARTY MASTR '!$B$5:$I$105,4,FALSE)</f>
        <v>N</v>
      </c>
      <c r="H115" s="321" t="str">
        <f>VLOOKUP(A115,'SALE PARTY MASTR '!$B$5:$I$105,5,FALSE)</f>
        <v>Regular</v>
      </c>
      <c r="I115" s="321">
        <f>VLOOKUP(A115,'SALE PARTY MASTR '!$B$5:$I$105,6,FALSE)</f>
        <v>0</v>
      </c>
      <c r="J115" s="262">
        <f>VLOOKUP(S115,'SALE HSN MASTER '!$A$6:$E$20,5,FALSE)</f>
        <v>18</v>
      </c>
      <c r="K115" s="400">
        <v>1644</v>
      </c>
      <c r="L115" s="184"/>
      <c r="M115" s="322">
        <f t="shared" si="10"/>
        <v>0</v>
      </c>
      <c r="N115" s="322">
        <f t="shared" si="7"/>
        <v>147.96</v>
      </c>
      <c r="O115" s="322">
        <f t="shared" si="8"/>
        <v>147.96</v>
      </c>
      <c r="P115" s="199">
        <f>VLOOKUP(A115,'SALE PARTY MASTR '!$B$5:$I$105,7,FALSE)</f>
        <v>2</v>
      </c>
      <c r="Q115" s="199" t="str">
        <f>VLOOKUP(A115,'SALE PARTY MASTR '!$B$5:$I$105,8,FALSE)</f>
        <v>Local Sale</v>
      </c>
      <c r="R115" s="199" t="s">
        <v>894</v>
      </c>
      <c r="S115" s="401">
        <v>998898</v>
      </c>
      <c r="T115" s="201" t="str">
        <f>VLOOKUP(S115,'SALE HSN MASTER '!$A$6:$D$20,2,FALSE)</f>
        <v>Parts &amp; Accessories Of Motor Vehicles Other</v>
      </c>
      <c r="U115" s="201" t="str">
        <f>VLOOKUP(S115,'SALE HSN MASTER '!$A$6:$D$20,3,FALSE)</f>
        <v>NOS-NUMBERS</v>
      </c>
      <c r="V115" s="201" t="str">
        <f>VLOOKUP(S115,'SALE HSN MASTER '!$A$6:$D$20,4,FALSE)</f>
        <v>Service</v>
      </c>
      <c r="W115" s="401">
        <v>200</v>
      </c>
    </row>
    <row r="116" spans="1:23" ht="14.4" x14ac:dyDescent="0.3">
      <c r="A116" s="423" t="s">
        <v>23</v>
      </c>
      <c r="B116" s="199" t="str">
        <f>VLOOKUP(A116,'SALE PARTY MASTR '!$B$5:$G$280,2,FALSE)</f>
        <v>Varroc Polymers Pvt.ltd.</v>
      </c>
      <c r="C116" s="397" t="s">
        <v>1089</v>
      </c>
      <c r="D116" s="398">
        <v>43140</v>
      </c>
      <c r="E116" s="320">
        <f t="shared" si="9"/>
        <v>27745.919999999998</v>
      </c>
      <c r="F116" s="321" t="str">
        <f>VLOOKUP(A116,'SALE PARTY MASTR '!$B$5:$I$105,3,FALSE)</f>
        <v>27-Maharashatra</v>
      </c>
      <c r="G116" s="321" t="str">
        <f>VLOOKUP(A116,'SALE PARTY MASTR '!$B$5:$I$105,4,FALSE)</f>
        <v>N</v>
      </c>
      <c r="H116" s="321" t="str">
        <f>VLOOKUP(A116,'SALE PARTY MASTR '!$B$5:$I$105,5,FALSE)</f>
        <v>Regular</v>
      </c>
      <c r="I116" s="321">
        <f>VLOOKUP(A116,'SALE PARTY MASTR '!$B$5:$I$105,6,FALSE)</f>
        <v>0</v>
      </c>
      <c r="J116" s="262">
        <f>VLOOKUP(S116,'SALE HSN MASTER '!$A$6:$E$20,5,FALSE)</f>
        <v>28</v>
      </c>
      <c r="K116" s="400">
        <v>21676.5</v>
      </c>
      <c r="L116" s="184"/>
      <c r="M116" s="322">
        <f t="shared" si="10"/>
        <v>0</v>
      </c>
      <c r="N116" s="322">
        <f t="shared" si="7"/>
        <v>3034.7100000000005</v>
      </c>
      <c r="O116" s="322">
        <f t="shared" si="8"/>
        <v>3034.7100000000005</v>
      </c>
      <c r="P116" s="199">
        <f>VLOOKUP(A116,'SALE PARTY MASTR '!$B$5:$I$105,7,FALSE)</f>
        <v>2</v>
      </c>
      <c r="Q116" s="199" t="str">
        <f>VLOOKUP(A116,'SALE PARTY MASTR '!$B$5:$I$105,8,FALSE)</f>
        <v>Local Sale</v>
      </c>
      <c r="R116" s="199" t="s">
        <v>897</v>
      </c>
      <c r="S116" s="401">
        <v>87081090</v>
      </c>
      <c r="T116" s="201" t="str">
        <f>VLOOKUP(S116,'SALE HSN MASTER '!$A$6:$D$20,2,FALSE)</f>
        <v>Parts &amp; Accessories Of Motor Vehicles Other</v>
      </c>
      <c r="U116" s="201" t="str">
        <f>VLOOKUP(S116,'SALE HSN MASTER '!$A$6:$D$20,3,FALSE)</f>
        <v>NOS-NUMBERS</v>
      </c>
      <c r="V116" s="201" t="str">
        <f>VLOOKUP(S116,'SALE HSN MASTER '!$A$6:$D$20,4,FALSE)</f>
        <v>Goods</v>
      </c>
      <c r="W116" s="401">
        <v>300</v>
      </c>
    </row>
    <row r="117" spans="1:23" ht="14.4" x14ac:dyDescent="0.3">
      <c r="A117" s="423" t="s">
        <v>23</v>
      </c>
      <c r="B117" s="199" t="str">
        <f>VLOOKUP(A117,'SALE PARTY MASTR '!$B$5:$G$280,2,FALSE)</f>
        <v>Varroc Polymers Pvt.ltd.</v>
      </c>
      <c r="C117" s="397" t="s">
        <v>1090</v>
      </c>
      <c r="D117" s="398">
        <v>43140</v>
      </c>
      <c r="E117" s="320">
        <f t="shared" si="9"/>
        <v>38844.287999999993</v>
      </c>
      <c r="F117" s="321" t="str">
        <f>VLOOKUP(A117,'SALE PARTY MASTR '!$B$5:$I$105,3,FALSE)</f>
        <v>27-Maharashatra</v>
      </c>
      <c r="G117" s="321" t="str">
        <f>VLOOKUP(A117,'SALE PARTY MASTR '!$B$5:$I$105,4,FALSE)</f>
        <v>N</v>
      </c>
      <c r="H117" s="321" t="str">
        <f>VLOOKUP(A117,'SALE PARTY MASTR '!$B$5:$I$105,5,FALSE)</f>
        <v>Regular</v>
      </c>
      <c r="I117" s="321">
        <f>VLOOKUP(A117,'SALE PARTY MASTR '!$B$5:$I$105,6,FALSE)</f>
        <v>0</v>
      </c>
      <c r="J117" s="262">
        <f>VLOOKUP(S117,'SALE HSN MASTER '!$A$6:$E$20,5,FALSE)</f>
        <v>28</v>
      </c>
      <c r="K117" s="400">
        <v>30347.1</v>
      </c>
      <c r="L117" s="184"/>
      <c r="M117" s="322">
        <f t="shared" si="10"/>
        <v>0</v>
      </c>
      <c r="N117" s="322">
        <f t="shared" si="7"/>
        <v>4248.5940000000001</v>
      </c>
      <c r="O117" s="322">
        <f t="shared" si="8"/>
        <v>4248.5940000000001</v>
      </c>
      <c r="P117" s="199">
        <f>VLOOKUP(A117,'SALE PARTY MASTR '!$B$5:$I$105,7,FALSE)</f>
        <v>2</v>
      </c>
      <c r="Q117" s="199" t="str">
        <f>VLOOKUP(A117,'SALE PARTY MASTR '!$B$5:$I$105,8,FALSE)</f>
        <v>Local Sale</v>
      </c>
      <c r="R117" s="199" t="s">
        <v>897</v>
      </c>
      <c r="S117" s="401">
        <v>87081090</v>
      </c>
      <c r="T117" s="201" t="str">
        <f>VLOOKUP(S117,'SALE HSN MASTER '!$A$6:$D$20,2,FALSE)</f>
        <v>Parts &amp; Accessories Of Motor Vehicles Other</v>
      </c>
      <c r="U117" s="201" t="str">
        <f>VLOOKUP(S117,'SALE HSN MASTER '!$A$6:$D$20,3,FALSE)</f>
        <v>NOS-NUMBERS</v>
      </c>
      <c r="V117" s="201" t="str">
        <f>VLOOKUP(S117,'SALE HSN MASTER '!$A$6:$D$20,4,FALSE)</f>
        <v>Goods</v>
      </c>
      <c r="W117" s="401">
        <v>420</v>
      </c>
    </row>
    <row r="118" spans="1:23" ht="14.4" x14ac:dyDescent="0.3">
      <c r="A118" s="423" t="s">
        <v>23</v>
      </c>
      <c r="B118" s="199" t="str">
        <f>VLOOKUP(A118,'SALE PARTY MASTR '!$B$5:$G$280,2,FALSE)</f>
        <v>Varroc Polymers Pvt.ltd.</v>
      </c>
      <c r="C118" s="397" t="s">
        <v>1091</v>
      </c>
      <c r="D118" s="398">
        <v>43141</v>
      </c>
      <c r="E118" s="320">
        <f t="shared" si="9"/>
        <v>23306.572799999998</v>
      </c>
      <c r="F118" s="321" t="str">
        <f>VLOOKUP(A118,'SALE PARTY MASTR '!$B$5:$I$105,3,FALSE)</f>
        <v>27-Maharashatra</v>
      </c>
      <c r="G118" s="321" t="str">
        <f>VLOOKUP(A118,'SALE PARTY MASTR '!$B$5:$I$105,4,FALSE)</f>
        <v>N</v>
      </c>
      <c r="H118" s="321" t="str">
        <f>VLOOKUP(A118,'SALE PARTY MASTR '!$B$5:$I$105,5,FALSE)</f>
        <v>Regular</v>
      </c>
      <c r="I118" s="321">
        <f>VLOOKUP(A118,'SALE PARTY MASTR '!$B$5:$I$105,6,FALSE)</f>
        <v>0</v>
      </c>
      <c r="J118" s="262">
        <f>VLOOKUP(S118,'SALE HSN MASTER '!$A$6:$E$20,5,FALSE)</f>
        <v>28</v>
      </c>
      <c r="K118" s="400">
        <v>18208.259999999998</v>
      </c>
      <c r="L118" s="184"/>
      <c r="M118" s="322">
        <f t="shared" si="10"/>
        <v>0</v>
      </c>
      <c r="N118" s="322">
        <f t="shared" si="7"/>
        <v>2549.1563999999998</v>
      </c>
      <c r="O118" s="322">
        <f t="shared" si="8"/>
        <v>2549.1563999999998</v>
      </c>
      <c r="P118" s="199">
        <f>VLOOKUP(A118,'SALE PARTY MASTR '!$B$5:$I$105,7,FALSE)</f>
        <v>2</v>
      </c>
      <c r="Q118" s="199" t="str">
        <f>VLOOKUP(A118,'SALE PARTY MASTR '!$B$5:$I$105,8,FALSE)</f>
        <v>Local Sale</v>
      </c>
      <c r="R118" s="199" t="s">
        <v>897</v>
      </c>
      <c r="S118" s="401">
        <v>87081090</v>
      </c>
      <c r="T118" s="201" t="str">
        <f>VLOOKUP(S118,'SALE HSN MASTER '!$A$6:$D$20,2,FALSE)</f>
        <v>Parts &amp; Accessories Of Motor Vehicles Other</v>
      </c>
      <c r="U118" s="201" t="str">
        <f>VLOOKUP(S118,'SALE HSN MASTER '!$A$6:$D$20,3,FALSE)</f>
        <v>NOS-NUMBERS</v>
      </c>
      <c r="V118" s="201" t="str">
        <f>VLOOKUP(S118,'SALE HSN MASTER '!$A$6:$D$20,4,FALSE)</f>
        <v>Goods</v>
      </c>
      <c r="W118" s="401">
        <v>252</v>
      </c>
    </row>
    <row r="119" spans="1:23" ht="14.4" x14ac:dyDescent="0.3">
      <c r="A119" s="423" t="s">
        <v>23</v>
      </c>
      <c r="B119" s="199" t="str">
        <f>VLOOKUP(A119,'SALE PARTY MASTR '!$B$5:$G$280,2,FALSE)</f>
        <v>Varroc Polymers Pvt.ltd.</v>
      </c>
      <c r="C119" s="397" t="s">
        <v>1092</v>
      </c>
      <c r="D119" s="398">
        <v>43141</v>
      </c>
      <c r="E119" s="320">
        <f t="shared" si="9"/>
        <v>21190.400000000001</v>
      </c>
      <c r="F119" s="321" t="str">
        <f>VLOOKUP(A119,'SALE PARTY MASTR '!$B$5:$I$105,3,FALSE)</f>
        <v>27-Maharashatra</v>
      </c>
      <c r="G119" s="321" t="str">
        <f>VLOOKUP(A119,'SALE PARTY MASTR '!$B$5:$I$105,4,FALSE)</f>
        <v>N</v>
      </c>
      <c r="H119" s="321" t="str">
        <f>VLOOKUP(A119,'SALE PARTY MASTR '!$B$5:$I$105,5,FALSE)</f>
        <v>Regular</v>
      </c>
      <c r="I119" s="321">
        <f>VLOOKUP(A119,'SALE PARTY MASTR '!$B$5:$I$105,6,FALSE)</f>
        <v>0</v>
      </c>
      <c r="J119" s="262">
        <f>VLOOKUP(S119,'SALE HSN MASTER '!$A$6:$E$20,5,FALSE)</f>
        <v>28</v>
      </c>
      <c r="K119" s="400">
        <v>16555</v>
      </c>
      <c r="L119" s="184"/>
      <c r="M119" s="322">
        <f t="shared" si="10"/>
        <v>0</v>
      </c>
      <c r="N119" s="322">
        <f t="shared" si="7"/>
        <v>2317.7000000000003</v>
      </c>
      <c r="O119" s="322">
        <f t="shared" si="8"/>
        <v>2317.7000000000003</v>
      </c>
      <c r="P119" s="199">
        <f>VLOOKUP(A119,'SALE PARTY MASTR '!$B$5:$I$105,7,FALSE)</f>
        <v>2</v>
      </c>
      <c r="Q119" s="199" t="str">
        <f>VLOOKUP(A119,'SALE PARTY MASTR '!$B$5:$I$105,8,FALSE)</f>
        <v>Local Sale</v>
      </c>
      <c r="R119" s="199" t="s">
        <v>897</v>
      </c>
      <c r="S119" s="401">
        <v>87141090</v>
      </c>
      <c r="T119" s="201" t="str">
        <f>VLOOKUP(S119,'SALE HSN MASTER '!$A$6:$D$20,2,FALSE)</f>
        <v>Parts &amp; Accessories Of Motor Vehicles Other</v>
      </c>
      <c r="U119" s="201" t="str">
        <f>VLOOKUP(S119,'SALE HSN MASTER '!$A$6:$D$20,3,FALSE)</f>
        <v>NOS-NUMBERS</v>
      </c>
      <c r="V119" s="201" t="str">
        <f>VLOOKUP(S119,'SALE HSN MASTER '!$A$6:$D$20,4,FALSE)</f>
        <v>Goods</v>
      </c>
      <c r="W119" s="401">
        <v>220</v>
      </c>
    </row>
    <row r="120" spans="1:23" ht="14.4" x14ac:dyDescent="0.3">
      <c r="A120" s="423" t="s">
        <v>36</v>
      </c>
      <c r="B120" s="199" t="str">
        <f>VLOOKUP(A120,'SALE PARTY MASTR '!$B$5:$G$280,2,FALSE)</f>
        <v>Bamboo India</v>
      </c>
      <c r="C120" s="397" t="s">
        <v>1093</v>
      </c>
      <c r="D120" s="398">
        <v>43141</v>
      </c>
      <c r="E120" s="320">
        <f t="shared" si="9"/>
        <v>5398.5</v>
      </c>
      <c r="F120" s="321" t="str">
        <f>VLOOKUP(A120,'SALE PARTY MASTR '!$B$5:$I$105,3,FALSE)</f>
        <v>27-Maharashatra</v>
      </c>
      <c r="G120" s="321" t="str">
        <f>VLOOKUP(A120,'SALE PARTY MASTR '!$B$5:$I$105,4,FALSE)</f>
        <v>N</v>
      </c>
      <c r="H120" s="321" t="str">
        <f>VLOOKUP(A120,'SALE PARTY MASTR '!$B$5:$I$105,5,FALSE)</f>
        <v>Regular</v>
      </c>
      <c r="I120" s="321">
        <f>VLOOKUP(A120,'SALE PARTY MASTR '!$B$5:$I$105,6,FALSE)</f>
        <v>0</v>
      </c>
      <c r="J120" s="262">
        <f>VLOOKUP(S120,'SALE HSN MASTER '!$A$6:$E$20,5,FALSE)</f>
        <v>18</v>
      </c>
      <c r="K120" s="400">
        <v>4575</v>
      </c>
      <c r="L120" s="184"/>
      <c r="M120" s="322">
        <f t="shared" si="10"/>
        <v>0</v>
      </c>
      <c r="N120" s="322">
        <f t="shared" si="7"/>
        <v>411.75</v>
      </c>
      <c r="O120" s="322">
        <f t="shared" si="8"/>
        <v>411.75</v>
      </c>
      <c r="P120" s="199">
        <f>VLOOKUP(A120,'SALE PARTY MASTR '!$B$5:$I$105,7,FALSE)</f>
        <v>2</v>
      </c>
      <c r="Q120" s="199" t="str">
        <f>VLOOKUP(A120,'SALE PARTY MASTR '!$B$5:$I$105,8,FALSE)</f>
        <v>Local Sale</v>
      </c>
      <c r="R120" s="199" t="s">
        <v>894</v>
      </c>
      <c r="S120" s="401">
        <v>998898</v>
      </c>
      <c r="T120" s="201" t="str">
        <f>VLOOKUP(S120,'SALE HSN MASTER '!$A$6:$D$20,2,FALSE)</f>
        <v>Parts &amp; Accessories Of Motor Vehicles Other</v>
      </c>
      <c r="U120" s="201" t="str">
        <f>VLOOKUP(S120,'SALE HSN MASTER '!$A$6:$D$20,3,FALSE)</f>
        <v>NOS-NUMBERS</v>
      </c>
      <c r="V120" s="201" t="str">
        <f>VLOOKUP(S120,'SALE HSN MASTER '!$A$6:$D$20,4,FALSE)</f>
        <v>Service</v>
      </c>
      <c r="W120" s="401">
        <v>305</v>
      </c>
    </row>
    <row r="121" spans="1:23" ht="14.4" x14ac:dyDescent="0.3">
      <c r="A121" s="423" t="s">
        <v>33</v>
      </c>
      <c r="B121" s="199" t="str">
        <f>VLOOKUP(A121,'SALE PARTY MASTR '!$B$5:$G$280,2,FALSE)</f>
        <v>Tata Ficosa Automotves Ltd</v>
      </c>
      <c r="C121" s="397" t="s">
        <v>1094</v>
      </c>
      <c r="D121" s="398">
        <v>43141</v>
      </c>
      <c r="E121" s="320">
        <f t="shared" si="9"/>
        <v>17734.101999999999</v>
      </c>
      <c r="F121" s="321" t="str">
        <f>VLOOKUP(A121,'SALE PARTY MASTR '!$B$5:$I$105,3,FALSE)</f>
        <v>27-Maharashatra</v>
      </c>
      <c r="G121" s="321" t="str">
        <f>VLOOKUP(A121,'SALE PARTY MASTR '!$B$5:$I$105,4,FALSE)</f>
        <v>N</v>
      </c>
      <c r="H121" s="321" t="str">
        <f>VLOOKUP(A121,'SALE PARTY MASTR '!$B$5:$I$105,5,FALSE)</f>
        <v>Regular</v>
      </c>
      <c r="I121" s="321">
        <f>VLOOKUP(A121,'SALE PARTY MASTR '!$B$5:$I$105,6,FALSE)</f>
        <v>0</v>
      </c>
      <c r="J121" s="262">
        <f>VLOOKUP(S121,'SALE HSN MASTER '!$A$6:$E$20,5,FALSE)</f>
        <v>18</v>
      </c>
      <c r="K121" s="400">
        <v>15028.9</v>
      </c>
      <c r="L121" s="184"/>
      <c r="M121" s="322">
        <f t="shared" si="10"/>
        <v>0</v>
      </c>
      <c r="N121" s="322">
        <f t="shared" si="7"/>
        <v>1352.6009999999999</v>
      </c>
      <c r="O121" s="322">
        <f t="shared" si="8"/>
        <v>1352.6009999999999</v>
      </c>
      <c r="P121" s="199">
        <f>VLOOKUP(A121,'SALE PARTY MASTR '!$B$5:$I$105,7,FALSE)</f>
        <v>2</v>
      </c>
      <c r="Q121" s="199" t="str">
        <f>VLOOKUP(A121,'SALE PARTY MASTR '!$B$5:$I$105,8,FALSE)</f>
        <v>Local Sale</v>
      </c>
      <c r="R121" s="199" t="s">
        <v>894</v>
      </c>
      <c r="S121" s="401">
        <v>998898</v>
      </c>
      <c r="T121" s="201" t="str">
        <f>VLOOKUP(S121,'SALE HSN MASTER '!$A$6:$D$20,2,FALSE)</f>
        <v>Parts &amp; Accessories Of Motor Vehicles Other</v>
      </c>
      <c r="U121" s="201" t="str">
        <f>VLOOKUP(S121,'SALE HSN MASTER '!$A$6:$D$20,3,FALSE)</f>
        <v>NOS-NUMBERS</v>
      </c>
      <c r="V121" s="201" t="str">
        <f>VLOOKUP(S121,'SALE HSN MASTER '!$A$6:$D$20,4,FALSE)</f>
        <v>Service</v>
      </c>
      <c r="W121" s="401">
        <v>131</v>
      </c>
    </row>
    <row r="122" spans="1:23" ht="14.4" x14ac:dyDescent="0.3">
      <c r="A122" s="423" t="s">
        <v>31</v>
      </c>
      <c r="B122" s="199" t="str">
        <f>VLOOKUP(A122,'SALE PARTY MASTR '!$B$5:$G$280,2,FALSE)</f>
        <v>Mittal Precision Auto Comps Pvt Ltd,</v>
      </c>
      <c r="C122" s="397" t="s">
        <v>1095</v>
      </c>
      <c r="D122" s="398">
        <v>43141</v>
      </c>
      <c r="E122" s="320">
        <f t="shared" si="9"/>
        <v>6811.243199999999</v>
      </c>
      <c r="F122" s="321" t="str">
        <f>VLOOKUP(A122,'SALE PARTY MASTR '!$B$5:$I$105,3,FALSE)</f>
        <v>27-Maharashatra</v>
      </c>
      <c r="G122" s="321" t="str">
        <f>VLOOKUP(A122,'SALE PARTY MASTR '!$B$5:$I$105,4,FALSE)</f>
        <v>N</v>
      </c>
      <c r="H122" s="321" t="str">
        <f>VLOOKUP(A122,'SALE PARTY MASTR '!$B$5:$I$105,5,FALSE)</f>
        <v>Regular</v>
      </c>
      <c r="I122" s="321">
        <f>VLOOKUP(A122,'SALE PARTY MASTR '!$B$5:$I$105,6,FALSE)</f>
        <v>0</v>
      </c>
      <c r="J122" s="262">
        <f>VLOOKUP(S122,'SALE HSN MASTER '!$A$6:$E$20,5,FALSE)</f>
        <v>18</v>
      </c>
      <c r="K122" s="400">
        <v>5772.24</v>
      </c>
      <c r="L122" s="184"/>
      <c r="M122" s="322">
        <f t="shared" si="10"/>
        <v>0</v>
      </c>
      <c r="N122" s="322">
        <f t="shared" si="7"/>
        <v>519.50159999999994</v>
      </c>
      <c r="O122" s="322">
        <f t="shared" si="8"/>
        <v>519.50159999999994</v>
      </c>
      <c r="P122" s="199">
        <f>VLOOKUP(A122,'SALE PARTY MASTR '!$B$5:$I$105,7,FALSE)</f>
        <v>2</v>
      </c>
      <c r="Q122" s="199" t="str">
        <f>VLOOKUP(A122,'SALE PARTY MASTR '!$B$5:$I$105,8,FALSE)</f>
        <v>Local Sale</v>
      </c>
      <c r="R122" s="199" t="s">
        <v>894</v>
      </c>
      <c r="S122" s="401">
        <v>998898</v>
      </c>
      <c r="T122" s="201" t="str">
        <f>VLOOKUP(S122,'SALE HSN MASTER '!$A$6:$D$20,2,FALSE)</f>
        <v>Parts &amp; Accessories Of Motor Vehicles Other</v>
      </c>
      <c r="U122" s="201" t="str">
        <f>VLOOKUP(S122,'SALE HSN MASTER '!$A$6:$D$20,3,FALSE)</f>
        <v>NOS-NUMBERS</v>
      </c>
      <c r="V122" s="201" t="str">
        <f>VLOOKUP(S122,'SALE HSN MASTER '!$A$6:$D$20,4,FALSE)</f>
        <v>Service</v>
      </c>
      <c r="W122" s="401">
        <v>12</v>
      </c>
    </row>
    <row r="123" spans="1:23" ht="14.4" x14ac:dyDescent="0.3">
      <c r="A123" s="423" t="s">
        <v>31</v>
      </c>
      <c r="B123" s="199" t="str">
        <f>VLOOKUP(A123,'SALE PARTY MASTR '!$B$5:$G$280,2,FALSE)</f>
        <v>Mittal Precision Auto Comps Pvt Ltd,</v>
      </c>
      <c r="C123" s="397" t="s">
        <v>1096</v>
      </c>
      <c r="D123" s="398">
        <v>43141</v>
      </c>
      <c r="E123" s="320">
        <f t="shared" si="9"/>
        <v>6811.243199999999</v>
      </c>
      <c r="F123" s="321" t="str">
        <f>VLOOKUP(A123,'SALE PARTY MASTR '!$B$5:$I$105,3,FALSE)</f>
        <v>27-Maharashatra</v>
      </c>
      <c r="G123" s="321" t="str">
        <f>VLOOKUP(A123,'SALE PARTY MASTR '!$B$5:$I$105,4,FALSE)</f>
        <v>N</v>
      </c>
      <c r="H123" s="321" t="str">
        <f>VLOOKUP(A123,'SALE PARTY MASTR '!$B$5:$I$105,5,FALSE)</f>
        <v>Regular</v>
      </c>
      <c r="I123" s="321">
        <f>VLOOKUP(A123,'SALE PARTY MASTR '!$B$5:$I$105,6,FALSE)</f>
        <v>0</v>
      </c>
      <c r="J123" s="262">
        <f>VLOOKUP(S123,'SALE HSN MASTER '!$A$6:$E$20,5,FALSE)</f>
        <v>18</v>
      </c>
      <c r="K123" s="400">
        <v>5772.24</v>
      </c>
      <c r="L123" s="184"/>
      <c r="M123" s="322">
        <f t="shared" si="10"/>
        <v>0</v>
      </c>
      <c r="N123" s="322">
        <f t="shared" si="7"/>
        <v>519.50159999999994</v>
      </c>
      <c r="O123" s="322">
        <f t="shared" si="8"/>
        <v>519.50159999999994</v>
      </c>
      <c r="P123" s="199">
        <f>VLOOKUP(A123,'SALE PARTY MASTR '!$B$5:$I$105,7,FALSE)</f>
        <v>2</v>
      </c>
      <c r="Q123" s="199" t="str">
        <f>VLOOKUP(A123,'SALE PARTY MASTR '!$B$5:$I$105,8,FALSE)</f>
        <v>Local Sale</v>
      </c>
      <c r="R123" s="199" t="s">
        <v>894</v>
      </c>
      <c r="S123" s="401">
        <v>998898</v>
      </c>
      <c r="T123" s="201" t="str">
        <f>VLOOKUP(S123,'SALE HSN MASTER '!$A$6:$D$20,2,FALSE)</f>
        <v>Parts &amp; Accessories Of Motor Vehicles Other</v>
      </c>
      <c r="U123" s="201" t="str">
        <f>VLOOKUP(S123,'SALE HSN MASTER '!$A$6:$D$20,3,FALSE)</f>
        <v>NOS-NUMBERS</v>
      </c>
      <c r="V123" s="201" t="str">
        <f>VLOOKUP(S123,'SALE HSN MASTER '!$A$6:$D$20,4,FALSE)</f>
        <v>Service</v>
      </c>
      <c r="W123" s="401">
        <v>12</v>
      </c>
    </row>
    <row r="124" spans="1:23" ht="14.4" x14ac:dyDescent="0.3">
      <c r="A124" s="423" t="s">
        <v>862</v>
      </c>
      <c r="B124" s="199" t="str">
        <f>VLOOKUP(A124,'SALE PARTY MASTR '!$B$5:$G$280,2,FALSE)</f>
        <v>Varroc Engineering Pvt Ltd</v>
      </c>
      <c r="C124" s="397" t="s">
        <v>1097</v>
      </c>
      <c r="D124" s="398">
        <v>43141</v>
      </c>
      <c r="E124" s="320">
        <f t="shared" si="9"/>
        <v>38354.688000000002</v>
      </c>
      <c r="F124" s="321" t="str">
        <f>VLOOKUP(A124,'SALE PARTY MASTR '!$B$5:$I$105,3,FALSE)</f>
        <v>27-Maharashatra</v>
      </c>
      <c r="G124" s="321" t="str">
        <f>VLOOKUP(A124,'SALE PARTY MASTR '!$B$5:$I$105,4,FALSE)</f>
        <v>N</v>
      </c>
      <c r="H124" s="321" t="str">
        <f>VLOOKUP(A124,'SALE PARTY MASTR '!$B$5:$I$105,5,FALSE)</f>
        <v>Regular</v>
      </c>
      <c r="I124" s="321">
        <f>VLOOKUP(A124,'SALE PARTY MASTR '!$B$5:$I$105,6,FALSE)</f>
        <v>0</v>
      </c>
      <c r="J124" s="262">
        <f>VLOOKUP(S124,'SALE HSN MASTER '!$A$6:$E$20,5,FALSE)</f>
        <v>28</v>
      </c>
      <c r="K124" s="400">
        <v>29964.6</v>
      </c>
      <c r="L124" s="184"/>
      <c r="M124" s="322">
        <f t="shared" si="10"/>
        <v>0</v>
      </c>
      <c r="N124" s="322">
        <f t="shared" si="7"/>
        <v>4195.0439999999999</v>
      </c>
      <c r="O124" s="322">
        <f t="shared" si="8"/>
        <v>4195.0439999999999</v>
      </c>
      <c r="P124" s="199">
        <f>VLOOKUP(A124,'SALE PARTY MASTR '!$B$5:$I$105,7,FALSE)</f>
        <v>2</v>
      </c>
      <c r="Q124" s="199" t="str">
        <f>VLOOKUP(A124,'SALE PARTY MASTR '!$B$5:$I$105,8,FALSE)</f>
        <v>Local Sale</v>
      </c>
      <c r="R124" s="199" t="s">
        <v>897</v>
      </c>
      <c r="S124" s="401">
        <v>85119000</v>
      </c>
      <c r="T124" s="201" t="str">
        <f>VLOOKUP(S124,'SALE HSN MASTER '!$A$6:$D$20,2,FALSE)</f>
        <v>Parts &amp; Accessories Of Motor Vehicles Other</v>
      </c>
      <c r="U124" s="201" t="str">
        <f>VLOOKUP(S124,'SALE HSN MASTER '!$A$6:$D$20,3,FALSE)</f>
        <v>NOS-NUMBERS</v>
      </c>
      <c r="V124" s="201" t="str">
        <f>VLOOKUP(S124,'SALE HSN MASTER '!$A$6:$D$20,4,FALSE)</f>
        <v>Goods</v>
      </c>
      <c r="W124" s="401">
        <v>540</v>
      </c>
    </row>
    <row r="125" spans="1:23" ht="14.4" x14ac:dyDescent="0.3">
      <c r="A125" s="423" t="s">
        <v>862</v>
      </c>
      <c r="B125" s="199" t="str">
        <f>VLOOKUP(A125,'SALE PARTY MASTR '!$B$5:$G$280,2,FALSE)</f>
        <v>Varroc Engineering Pvt Ltd</v>
      </c>
      <c r="C125" s="397" t="s">
        <v>1098</v>
      </c>
      <c r="D125" s="398">
        <v>43141</v>
      </c>
      <c r="E125" s="320">
        <f t="shared" si="9"/>
        <v>30468.096000000001</v>
      </c>
      <c r="F125" s="321" t="str">
        <f>VLOOKUP(A125,'SALE PARTY MASTR '!$B$5:$I$105,3,FALSE)</f>
        <v>27-Maharashatra</v>
      </c>
      <c r="G125" s="321" t="str">
        <f>VLOOKUP(A125,'SALE PARTY MASTR '!$B$5:$I$105,4,FALSE)</f>
        <v>N</v>
      </c>
      <c r="H125" s="321" t="str">
        <f>VLOOKUP(A125,'SALE PARTY MASTR '!$B$5:$I$105,5,FALSE)</f>
        <v>Regular</v>
      </c>
      <c r="I125" s="321">
        <f>VLOOKUP(A125,'SALE PARTY MASTR '!$B$5:$I$105,6,FALSE)</f>
        <v>0</v>
      </c>
      <c r="J125" s="262">
        <f>VLOOKUP(S125,'SALE HSN MASTER '!$A$6:$E$20,5,FALSE)</f>
        <v>28</v>
      </c>
      <c r="K125" s="400">
        <v>23803.200000000001</v>
      </c>
      <c r="L125" s="184"/>
      <c r="M125" s="322">
        <f t="shared" si="10"/>
        <v>0</v>
      </c>
      <c r="N125" s="322">
        <f t="shared" si="7"/>
        <v>3332.4480000000003</v>
      </c>
      <c r="O125" s="322">
        <f t="shared" si="8"/>
        <v>3332.4480000000003</v>
      </c>
      <c r="P125" s="199">
        <f>VLOOKUP(A125,'SALE PARTY MASTR '!$B$5:$I$105,7,FALSE)</f>
        <v>2</v>
      </c>
      <c r="Q125" s="199" t="str">
        <f>VLOOKUP(A125,'SALE PARTY MASTR '!$B$5:$I$105,8,FALSE)</f>
        <v>Local Sale</v>
      </c>
      <c r="R125" s="199" t="s">
        <v>897</v>
      </c>
      <c r="S125" s="401">
        <v>87142090</v>
      </c>
      <c r="T125" s="201" t="str">
        <f>VLOOKUP(S125,'SALE HSN MASTER '!$A$6:$D$20,2,FALSE)</f>
        <v>Parts &amp; Accessories Of Motor Vehicles Other</v>
      </c>
      <c r="U125" s="201" t="str">
        <f>VLOOKUP(S125,'SALE HSN MASTER '!$A$6:$D$20,3,FALSE)</f>
        <v>NOS-NUMBERS</v>
      </c>
      <c r="V125" s="201" t="str">
        <f>VLOOKUP(S125,'SALE HSN MASTER '!$A$6:$D$20,4,FALSE)</f>
        <v>Goods</v>
      </c>
      <c r="W125" s="401">
        <v>540</v>
      </c>
    </row>
    <row r="126" spans="1:23" ht="14.4" x14ac:dyDescent="0.3">
      <c r="A126" s="423" t="s">
        <v>23</v>
      </c>
      <c r="B126" s="199" t="str">
        <f>VLOOKUP(A126,'SALE PARTY MASTR '!$B$5:$G$280,2,FALSE)</f>
        <v>Varroc Polymers Pvt.ltd.</v>
      </c>
      <c r="C126" s="397" t="s">
        <v>1099</v>
      </c>
      <c r="D126" s="398">
        <v>43141</v>
      </c>
      <c r="E126" s="320">
        <f t="shared" si="9"/>
        <v>13536</v>
      </c>
      <c r="F126" s="321" t="str">
        <f>VLOOKUP(A126,'SALE PARTY MASTR '!$B$5:$I$105,3,FALSE)</f>
        <v>27-Maharashatra</v>
      </c>
      <c r="G126" s="321" t="str">
        <f>VLOOKUP(A126,'SALE PARTY MASTR '!$B$5:$I$105,4,FALSE)</f>
        <v>N</v>
      </c>
      <c r="H126" s="321" t="str">
        <f>VLOOKUP(A126,'SALE PARTY MASTR '!$B$5:$I$105,5,FALSE)</f>
        <v>Regular</v>
      </c>
      <c r="I126" s="321">
        <f>VLOOKUP(A126,'SALE PARTY MASTR '!$B$5:$I$105,6,FALSE)</f>
        <v>0</v>
      </c>
      <c r="J126" s="262">
        <f>VLOOKUP(S126,'SALE HSN MASTER '!$A$6:$E$20,5,FALSE)</f>
        <v>28</v>
      </c>
      <c r="K126" s="400">
        <v>10575</v>
      </c>
      <c r="L126" s="184"/>
      <c r="M126" s="322">
        <f t="shared" si="10"/>
        <v>0</v>
      </c>
      <c r="N126" s="322">
        <f t="shared" si="7"/>
        <v>1480.5000000000002</v>
      </c>
      <c r="O126" s="322">
        <f t="shared" si="8"/>
        <v>1480.5000000000002</v>
      </c>
      <c r="P126" s="199">
        <f>VLOOKUP(A126,'SALE PARTY MASTR '!$B$5:$I$105,7,FALSE)</f>
        <v>2</v>
      </c>
      <c r="Q126" s="199" t="str">
        <f>VLOOKUP(A126,'SALE PARTY MASTR '!$B$5:$I$105,8,FALSE)</f>
        <v>Local Sale</v>
      </c>
      <c r="R126" s="199" t="s">
        <v>897</v>
      </c>
      <c r="S126" s="401">
        <v>87141090</v>
      </c>
      <c r="T126" s="201" t="str">
        <f>VLOOKUP(S126,'SALE HSN MASTER '!$A$6:$D$20,2,FALSE)</f>
        <v>Parts &amp; Accessories Of Motor Vehicles Other</v>
      </c>
      <c r="U126" s="201" t="str">
        <f>VLOOKUP(S126,'SALE HSN MASTER '!$A$6:$D$20,3,FALSE)</f>
        <v>NOS-NUMBERS</v>
      </c>
      <c r="V126" s="201" t="str">
        <f>VLOOKUP(S126,'SALE HSN MASTER '!$A$6:$D$20,4,FALSE)</f>
        <v>Goods</v>
      </c>
      <c r="W126" s="401">
        <v>300</v>
      </c>
    </row>
    <row r="127" spans="1:23" ht="14.4" x14ac:dyDescent="0.3">
      <c r="A127" s="423" t="s">
        <v>32</v>
      </c>
      <c r="B127" s="199" t="str">
        <f>VLOOKUP(A127,'SALE PARTY MASTR '!$B$5:$G$280,2,FALSE)</f>
        <v>Pricol Ltd (Formerly Pricol Pune Ltd)</v>
      </c>
      <c r="C127" s="397" t="s">
        <v>1100</v>
      </c>
      <c r="D127" s="398">
        <v>43141</v>
      </c>
      <c r="E127" s="320">
        <f t="shared" si="9"/>
        <v>36119.040000000001</v>
      </c>
      <c r="F127" s="321" t="str">
        <f>VLOOKUP(A127,'SALE PARTY MASTR '!$B$5:$I$105,3,FALSE)</f>
        <v>27-Maharashatra</v>
      </c>
      <c r="G127" s="321" t="str">
        <f>VLOOKUP(A127,'SALE PARTY MASTR '!$B$5:$I$105,4,FALSE)</f>
        <v>N</v>
      </c>
      <c r="H127" s="321" t="str">
        <f>VLOOKUP(A127,'SALE PARTY MASTR '!$B$5:$I$105,5,FALSE)</f>
        <v>Regular</v>
      </c>
      <c r="I127" s="321">
        <f>VLOOKUP(A127,'SALE PARTY MASTR '!$B$5:$I$105,6,FALSE)</f>
        <v>0</v>
      </c>
      <c r="J127" s="262">
        <f>VLOOKUP(S127,'SALE HSN MASTER '!$A$6:$E$20,5,FALSE)</f>
        <v>28</v>
      </c>
      <c r="K127" s="400">
        <v>28218</v>
      </c>
      <c r="L127" s="184"/>
      <c r="M127" s="322">
        <f t="shared" si="10"/>
        <v>0</v>
      </c>
      <c r="N127" s="322">
        <f t="shared" si="7"/>
        <v>3950.5200000000004</v>
      </c>
      <c r="O127" s="322">
        <f t="shared" si="8"/>
        <v>3950.5200000000004</v>
      </c>
      <c r="P127" s="199">
        <f>VLOOKUP(A127,'SALE PARTY MASTR '!$B$5:$I$105,7,FALSE)</f>
        <v>2</v>
      </c>
      <c r="Q127" s="199" t="str">
        <f>VLOOKUP(A127,'SALE PARTY MASTR '!$B$5:$I$105,8,FALSE)</f>
        <v>Local Sale</v>
      </c>
      <c r="R127" s="199" t="s">
        <v>897</v>
      </c>
      <c r="S127" s="401">
        <v>87141090</v>
      </c>
      <c r="T127" s="201" t="str">
        <f>VLOOKUP(S127,'SALE HSN MASTER '!$A$6:$D$20,2,FALSE)</f>
        <v>Parts &amp; Accessories Of Motor Vehicles Other</v>
      </c>
      <c r="U127" s="201" t="str">
        <f>VLOOKUP(S127,'SALE HSN MASTER '!$A$6:$D$20,3,FALSE)</f>
        <v>NOS-NUMBERS</v>
      </c>
      <c r="V127" s="201" t="str">
        <f>VLOOKUP(S127,'SALE HSN MASTER '!$A$6:$D$20,4,FALSE)</f>
        <v>Goods</v>
      </c>
      <c r="W127" s="401">
        <v>600</v>
      </c>
    </row>
    <row r="128" spans="1:23" ht="14.4" x14ac:dyDescent="0.3">
      <c r="A128" s="423" t="s">
        <v>32</v>
      </c>
      <c r="B128" s="199" t="str">
        <f>VLOOKUP(A128,'SALE PARTY MASTR '!$B$5:$G$280,2,FALSE)</f>
        <v>Pricol Ltd (Formerly Pricol Pune Ltd)</v>
      </c>
      <c r="C128" s="397" t="s">
        <v>1101</v>
      </c>
      <c r="D128" s="398">
        <v>43141</v>
      </c>
      <c r="E128" s="320">
        <f t="shared" si="9"/>
        <v>34730.495999999999</v>
      </c>
      <c r="F128" s="321" t="str">
        <f>VLOOKUP(A128,'SALE PARTY MASTR '!$B$5:$I$105,3,FALSE)</f>
        <v>27-Maharashatra</v>
      </c>
      <c r="G128" s="321" t="str">
        <f>VLOOKUP(A128,'SALE PARTY MASTR '!$B$5:$I$105,4,FALSE)</f>
        <v>N</v>
      </c>
      <c r="H128" s="321" t="str">
        <f>VLOOKUP(A128,'SALE PARTY MASTR '!$B$5:$I$105,5,FALSE)</f>
        <v>Regular</v>
      </c>
      <c r="I128" s="321">
        <f>VLOOKUP(A128,'SALE PARTY MASTR '!$B$5:$I$105,6,FALSE)</f>
        <v>0</v>
      </c>
      <c r="J128" s="262">
        <f>VLOOKUP(S128,'SALE HSN MASTER '!$A$6:$E$20,5,FALSE)</f>
        <v>28</v>
      </c>
      <c r="K128" s="400">
        <v>27133.200000000001</v>
      </c>
      <c r="L128" s="184"/>
      <c r="M128" s="322">
        <f t="shared" si="10"/>
        <v>0</v>
      </c>
      <c r="N128" s="322">
        <f t="shared" si="7"/>
        <v>3798.6480000000006</v>
      </c>
      <c r="O128" s="322">
        <f t="shared" si="8"/>
        <v>3798.6480000000006</v>
      </c>
      <c r="P128" s="199">
        <f>VLOOKUP(A128,'SALE PARTY MASTR '!$B$5:$I$105,7,FALSE)</f>
        <v>2</v>
      </c>
      <c r="Q128" s="199" t="str">
        <f>VLOOKUP(A128,'SALE PARTY MASTR '!$B$5:$I$105,8,FALSE)</f>
        <v>Local Sale</v>
      </c>
      <c r="R128" s="199" t="s">
        <v>897</v>
      </c>
      <c r="S128" s="401">
        <v>87141090</v>
      </c>
      <c r="T128" s="201" t="str">
        <f>VLOOKUP(S128,'SALE HSN MASTER '!$A$6:$D$20,2,FALSE)</f>
        <v>Parts &amp; Accessories Of Motor Vehicles Other</v>
      </c>
      <c r="U128" s="201" t="str">
        <f>VLOOKUP(S128,'SALE HSN MASTER '!$A$6:$D$20,3,FALSE)</f>
        <v>NOS-NUMBERS</v>
      </c>
      <c r="V128" s="201" t="str">
        <f>VLOOKUP(S128,'SALE HSN MASTER '!$A$6:$D$20,4,FALSE)</f>
        <v>Goods</v>
      </c>
      <c r="W128" s="401">
        <v>360</v>
      </c>
    </row>
    <row r="129" spans="1:23" ht="14.4" x14ac:dyDescent="0.3">
      <c r="A129" s="423" t="s">
        <v>24</v>
      </c>
      <c r="B129" s="199" t="str">
        <f>VLOOKUP(A129,'SALE PARTY MASTR '!$B$5:$G$280,2,FALSE)</f>
        <v>Tata Autocomp Systems LTD.(X1)</v>
      </c>
      <c r="C129" s="397" t="s">
        <v>1102</v>
      </c>
      <c r="D129" s="398">
        <v>43141</v>
      </c>
      <c r="E129" s="320">
        <f t="shared" si="9"/>
        <v>36645.171200000004</v>
      </c>
      <c r="F129" s="321" t="str">
        <f>VLOOKUP(A129,'SALE PARTY MASTR '!$B$5:$I$105,3,FALSE)</f>
        <v>27-Maharashatra</v>
      </c>
      <c r="G129" s="321" t="str">
        <f>VLOOKUP(A129,'SALE PARTY MASTR '!$B$5:$I$105,4,FALSE)</f>
        <v>N</v>
      </c>
      <c r="H129" s="321" t="str">
        <f>VLOOKUP(A129,'SALE PARTY MASTR '!$B$5:$I$105,5,FALSE)</f>
        <v>Regular</v>
      </c>
      <c r="I129" s="321">
        <f>VLOOKUP(A129,'SALE PARTY MASTR '!$B$5:$I$105,6,FALSE)</f>
        <v>0</v>
      </c>
      <c r="J129" s="262">
        <f>VLOOKUP(S129,'SALE HSN MASTER '!$A$6:$E$20,5,FALSE)</f>
        <v>28</v>
      </c>
      <c r="K129" s="400">
        <v>28629.040000000001</v>
      </c>
      <c r="L129" s="184"/>
      <c r="M129" s="322">
        <f t="shared" si="10"/>
        <v>0</v>
      </c>
      <c r="N129" s="322">
        <f t="shared" si="7"/>
        <v>4008.0656000000004</v>
      </c>
      <c r="O129" s="322">
        <f t="shared" si="8"/>
        <v>4008.0656000000004</v>
      </c>
      <c r="P129" s="199">
        <f>VLOOKUP(A129,'SALE PARTY MASTR '!$B$5:$I$105,7,FALSE)</f>
        <v>2</v>
      </c>
      <c r="Q129" s="199" t="str">
        <f>VLOOKUP(A129,'SALE PARTY MASTR '!$B$5:$I$105,8,FALSE)</f>
        <v>Local Sale</v>
      </c>
      <c r="R129" s="199" t="s">
        <v>897</v>
      </c>
      <c r="S129" s="401">
        <v>87089900</v>
      </c>
      <c r="T129" s="201" t="str">
        <f>VLOOKUP(S129,'SALE HSN MASTER '!$A$6:$D$20,2,FALSE)</f>
        <v>Parts &amp; Accessories Of Motor Vehicles Other</v>
      </c>
      <c r="U129" s="201" t="str">
        <f>VLOOKUP(S129,'SALE HSN MASTER '!$A$6:$D$20,3,FALSE)</f>
        <v>NOS-NUMBERS</v>
      </c>
      <c r="V129" s="201" t="str">
        <f>VLOOKUP(S129,'SALE HSN MASTER '!$A$6:$D$20,4,FALSE)</f>
        <v>Goods</v>
      </c>
      <c r="W129" s="401">
        <v>72</v>
      </c>
    </row>
    <row r="130" spans="1:23" ht="14.4" x14ac:dyDescent="0.3">
      <c r="A130" s="423" t="s">
        <v>23</v>
      </c>
      <c r="B130" s="199" t="str">
        <f>VLOOKUP(A130,'SALE PARTY MASTR '!$B$5:$G$280,2,FALSE)</f>
        <v>Varroc Polymers Pvt.ltd.</v>
      </c>
      <c r="C130" s="397" t="s">
        <v>1103</v>
      </c>
      <c r="D130" s="398">
        <v>43141</v>
      </c>
      <c r="E130" s="320">
        <f t="shared" si="9"/>
        <v>26636.083199999997</v>
      </c>
      <c r="F130" s="321" t="str">
        <f>VLOOKUP(A130,'SALE PARTY MASTR '!$B$5:$I$105,3,FALSE)</f>
        <v>27-Maharashatra</v>
      </c>
      <c r="G130" s="321" t="str">
        <f>VLOOKUP(A130,'SALE PARTY MASTR '!$B$5:$I$105,4,FALSE)</f>
        <v>N</v>
      </c>
      <c r="H130" s="321" t="str">
        <f>VLOOKUP(A130,'SALE PARTY MASTR '!$B$5:$I$105,5,FALSE)</f>
        <v>Regular</v>
      </c>
      <c r="I130" s="321">
        <f>VLOOKUP(A130,'SALE PARTY MASTR '!$B$5:$I$105,6,FALSE)</f>
        <v>0</v>
      </c>
      <c r="J130" s="262">
        <f>VLOOKUP(S130,'SALE HSN MASTER '!$A$6:$E$20,5,FALSE)</f>
        <v>28</v>
      </c>
      <c r="K130" s="400">
        <v>20809.439999999999</v>
      </c>
      <c r="L130" s="184"/>
      <c r="M130" s="322">
        <f t="shared" si="10"/>
        <v>0</v>
      </c>
      <c r="N130" s="322">
        <f t="shared" si="7"/>
        <v>2913.3216000000002</v>
      </c>
      <c r="O130" s="322">
        <f t="shared" si="8"/>
        <v>2913.3216000000002</v>
      </c>
      <c r="P130" s="199">
        <f>VLOOKUP(A130,'SALE PARTY MASTR '!$B$5:$I$105,7,FALSE)</f>
        <v>2</v>
      </c>
      <c r="Q130" s="199" t="str">
        <f>VLOOKUP(A130,'SALE PARTY MASTR '!$B$5:$I$105,8,FALSE)</f>
        <v>Local Sale</v>
      </c>
      <c r="R130" s="199" t="s">
        <v>897</v>
      </c>
      <c r="S130" s="401">
        <v>87081090</v>
      </c>
      <c r="T130" s="201" t="str">
        <f>VLOOKUP(S130,'SALE HSN MASTER '!$A$6:$D$20,2,FALSE)</f>
        <v>Parts &amp; Accessories Of Motor Vehicles Other</v>
      </c>
      <c r="U130" s="201" t="str">
        <f>VLOOKUP(S130,'SALE HSN MASTER '!$A$6:$D$20,3,FALSE)</f>
        <v>NOS-NUMBERS</v>
      </c>
      <c r="V130" s="201" t="str">
        <f>VLOOKUP(S130,'SALE HSN MASTER '!$A$6:$D$20,4,FALSE)</f>
        <v>Goods</v>
      </c>
      <c r="W130" s="401">
        <v>288</v>
      </c>
    </row>
    <row r="131" spans="1:23" ht="14.4" x14ac:dyDescent="0.3">
      <c r="A131" s="423" t="s">
        <v>23</v>
      </c>
      <c r="B131" s="199" t="str">
        <f>VLOOKUP(A131,'SALE PARTY MASTR '!$B$5:$G$280,2,FALSE)</f>
        <v>Varroc Polymers Pvt.ltd.</v>
      </c>
      <c r="C131" s="397" t="s">
        <v>1104</v>
      </c>
      <c r="D131" s="398">
        <v>43141</v>
      </c>
      <c r="E131" s="320">
        <f t="shared" si="9"/>
        <v>21522.816000000003</v>
      </c>
      <c r="F131" s="321" t="str">
        <f>VLOOKUP(A131,'SALE PARTY MASTR '!$B$5:$I$105,3,FALSE)</f>
        <v>27-Maharashatra</v>
      </c>
      <c r="G131" s="321" t="str">
        <f>VLOOKUP(A131,'SALE PARTY MASTR '!$B$5:$I$105,4,FALSE)</f>
        <v>N</v>
      </c>
      <c r="H131" s="321" t="str">
        <f>VLOOKUP(A131,'SALE PARTY MASTR '!$B$5:$I$105,5,FALSE)</f>
        <v>Regular</v>
      </c>
      <c r="I131" s="321">
        <f>VLOOKUP(A131,'SALE PARTY MASTR '!$B$5:$I$105,6,FALSE)</f>
        <v>0</v>
      </c>
      <c r="J131" s="262">
        <f>VLOOKUP(S131,'SALE HSN MASTER '!$A$6:$E$20,5,FALSE)</f>
        <v>28</v>
      </c>
      <c r="K131" s="400">
        <v>16814.7</v>
      </c>
      <c r="L131" s="184"/>
      <c r="M131" s="322">
        <f t="shared" si="10"/>
        <v>0</v>
      </c>
      <c r="N131" s="322">
        <f t="shared" si="7"/>
        <v>2354.0580000000004</v>
      </c>
      <c r="O131" s="322">
        <f t="shared" si="8"/>
        <v>2354.0580000000004</v>
      </c>
      <c r="P131" s="199">
        <f>VLOOKUP(A131,'SALE PARTY MASTR '!$B$5:$I$105,7,FALSE)</f>
        <v>2</v>
      </c>
      <c r="Q131" s="199" t="str">
        <f>VLOOKUP(A131,'SALE PARTY MASTR '!$B$5:$I$105,8,FALSE)</f>
        <v>Local Sale</v>
      </c>
      <c r="R131" s="199" t="s">
        <v>897</v>
      </c>
      <c r="S131" s="401">
        <v>87081090</v>
      </c>
      <c r="T131" s="201" t="str">
        <f>VLOOKUP(S131,'SALE HSN MASTER '!$A$6:$D$20,2,FALSE)</f>
        <v>Parts &amp; Accessories Of Motor Vehicles Other</v>
      </c>
      <c r="U131" s="201" t="str">
        <f>VLOOKUP(S131,'SALE HSN MASTER '!$A$6:$D$20,3,FALSE)</f>
        <v>NOS-NUMBERS</v>
      </c>
      <c r="V131" s="201" t="str">
        <f>VLOOKUP(S131,'SALE HSN MASTER '!$A$6:$D$20,4,FALSE)</f>
        <v>Goods</v>
      </c>
      <c r="W131" s="401">
        <v>204</v>
      </c>
    </row>
    <row r="132" spans="1:23" ht="14.4" x14ac:dyDescent="0.3">
      <c r="A132" s="423" t="s">
        <v>23</v>
      </c>
      <c r="B132" s="199" t="str">
        <f>VLOOKUP(A132,'SALE PARTY MASTR '!$B$5:$G$280,2,FALSE)</f>
        <v>Varroc Polymers Pvt.ltd.</v>
      </c>
      <c r="C132" s="397" t="s">
        <v>1105</v>
      </c>
      <c r="D132" s="398">
        <v>43141</v>
      </c>
      <c r="E132" s="320">
        <f t="shared" si="9"/>
        <v>37734.451200000003</v>
      </c>
      <c r="F132" s="321" t="str">
        <f>VLOOKUP(A132,'SALE PARTY MASTR '!$B$5:$I$105,3,FALSE)</f>
        <v>27-Maharashatra</v>
      </c>
      <c r="G132" s="321" t="str">
        <f>VLOOKUP(A132,'SALE PARTY MASTR '!$B$5:$I$105,4,FALSE)</f>
        <v>N</v>
      </c>
      <c r="H132" s="321" t="str">
        <f>VLOOKUP(A132,'SALE PARTY MASTR '!$B$5:$I$105,5,FALSE)</f>
        <v>Regular</v>
      </c>
      <c r="I132" s="321">
        <f>VLOOKUP(A132,'SALE PARTY MASTR '!$B$5:$I$105,6,FALSE)</f>
        <v>0</v>
      </c>
      <c r="J132" s="262">
        <f>VLOOKUP(S132,'SALE HSN MASTER '!$A$6:$E$20,5,FALSE)</f>
        <v>28</v>
      </c>
      <c r="K132" s="400">
        <v>29480.04</v>
      </c>
      <c r="L132" s="184"/>
      <c r="M132" s="322">
        <f t="shared" si="10"/>
        <v>0</v>
      </c>
      <c r="N132" s="322">
        <f t="shared" si="7"/>
        <v>4127.2056000000002</v>
      </c>
      <c r="O132" s="322">
        <f t="shared" si="8"/>
        <v>4127.2056000000002</v>
      </c>
      <c r="P132" s="199">
        <f>VLOOKUP(A132,'SALE PARTY MASTR '!$B$5:$I$105,7,FALSE)</f>
        <v>2</v>
      </c>
      <c r="Q132" s="199" t="str">
        <f>VLOOKUP(A132,'SALE PARTY MASTR '!$B$5:$I$105,8,FALSE)</f>
        <v>Local Sale</v>
      </c>
      <c r="R132" s="199" t="s">
        <v>897</v>
      </c>
      <c r="S132" s="401">
        <v>87081090</v>
      </c>
      <c r="T132" s="201" t="str">
        <f>VLOOKUP(S132,'SALE HSN MASTER '!$A$6:$D$20,2,FALSE)</f>
        <v>Parts &amp; Accessories Of Motor Vehicles Other</v>
      </c>
      <c r="U132" s="201" t="str">
        <f>VLOOKUP(S132,'SALE HSN MASTER '!$A$6:$D$20,3,FALSE)</f>
        <v>NOS-NUMBERS</v>
      </c>
      <c r="V132" s="201" t="str">
        <f>VLOOKUP(S132,'SALE HSN MASTER '!$A$6:$D$20,4,FALSE)</f>
        <v>Goods</v>
      </c>
      <c r="W132" s="401">
        <v>408</v>
      </c>
    </row>
    <row r="133" spans="1:23" ht="14.4" x14ac:dyDescent="0.3">
      <c r="A133" s="423" t="s">
        <v>23</v>
      </c>
      <c r="B133" s="199" t="str">
        <f>VLOOKUP(A133,'SALE PARTY MASTR '!$B$5:$G$280,2,FALSE)</f>
        <v>Varroc Polymers Pvt.ltd.</v>
      </c>
      <c r="C133" s="397" t="s">
        <v>1106</v>
      </c>
      <c r="D133" s="398">
        <v>43141</v>
      </c>
      <c r="E133" s="320">
        <f t="shared" si="9"/>
        <v>9745.9199999999983</v>
      </c>
      <c r="F133" s="321" t="str">
        <f>VLOOKUP(A133,'SALE PARTY MASTR '!$B$5:$I$105,3,FALSE)</f>
        <v>27-Maharashatra</v>
      </c>
      <c r="G133" s="321" t="str">
        <f>VLOOKUP(A133,'SALE PARTY MASTR '!$B$5:$I$105,4,FALSE)</f>
        <v>N</v>
      </c>
      <c r="H133" s="321" t="str">
        <f>VLOOKUP(A133,'SALE PARTY MASTR '!$B$5:$I$105,5,FALSE)</f>
        <v>Regular</v>
      </c>
      <c r="I133" s="321">
        <f>VLOOKUP(A133,'SALE PARTY MASTR '!$B$5:$I$105,6,FALSE)</f>
        <v>0</v>
      </c>
      <c r="J133" s="262">
        <f>VLOOKUP(S133,'SALE HSN MASTER '!$A$6:$E$20,5,FALSE)</f>
        <v>28</v>
      </c>
      <c r="K133" s="400">
        <v>7614</v>
      </c>
      <c r="L133" s="184"/>
      <c r="M133" s="322">
        <f t="shared" si="10"/>
        <v>0</v>
      </c>
      <c r="N133" s="322">
        <f t="shared" si="7"/>
        <v>1065.96</v>
      </c>
      <c r="O133" s="322">
        <f t="shared" si="8"/>
        <v>1065.96</v>
      </c>
      <c r="P133" s="199">
        <f>VLOOKUP(A133,'SALE PARTY MASTR '!$B$5:$I$105,7,FALSE)</f>
        <v>2</v>
      </c>
      <c r="Q133" s="199" t="str">
        <f>VLOOKUP(A133,'SALE PARTY MASTR '!$B$5:$I$105,8,FALSE)</f>
        <v>Local Sale</v>
      </c>
      <c r="R133" s="199" t="s">
        <v>897</v>
      </c>
      <c r="S133" s="401">
        <v>87141090</v>
      </c>
      <c r="T133" s="201" t="str">
        <f>VLOOKUP(S133,'SALE HSN MASTER '!$A$6:$D$20,2,FALSE)</f>
        <v>Parts &amp; Accessories Of Motor Vehicles Other</v>
      </c>
      <c r="U133" s="201" t="str">
        <f>VLOOKUP(S133,'SALE HSN MASTER '!$A$6:$D$20,3,FALSE)</f>
        <v>NOS-NUMBERS</v>
      </c>
      <c r="V133" s="201" t="str">
        <f>VLOOKUP(S133,'SALE HSN MASTER '!$A$6:$D$20,4,FALSE)</f>
        <v>Goods</v>
      </c>
      <c r="W133" s="401">
        <v>216</v>
      </c>
    </row>
    <row r="134" spans="1:23" ht="14.4" x14ac:dyDescent="0.3">
      <c r="A134" s="423" t="s">
        <v>23</v>
      </c>
      <c r="B134" s="199" t="str">
        <f>VLOOKUP(A134,'SALE PARTY MASTR '!$B$5:$G$280,2,FALSE)</f>
        <v>Varroc Polymers Pvt.ltd.</v>
      </c>
      <c r="C134" s="397" t="s">
        <v>1107</v>
      </c>
      <c r="D134" s="398">
        <v>43141</v>
      </c>
      <c r="E134" s="320">
        <f t="shared" si="9"/>
        <v>37734.451200000003</v>
      </c>
      <c r="F134" s="321" t="str">
        <f>VLOOKUP(A134,'SALE PARTY MASTR '!$B$5:$I$105,3,FALSE)</f>
        <v>27-Maharashatra</v>
      </c>
      <c r="G134" s="321" t="str">
        <f>VLOOKUP(A134,'SALE PARTY MASTR '!$B$5:$I$105,4,FALSE)</f>
        <v>N</v>
      </c>
      <c r="H134" s="321" t="str">
        <f>VLOOKUP(A134,'SALE PARTY MASTR '!$B$5:$I$105,5,FALSE)</f>
        <v>Regular</v>
      </c>
      <c r="I134" s="321">
        <f>VLOOKUP(A134,'SALE PARTY MASTR '!$B$5:$I$105,6,FALSE)</f>
        <v>0</v>
      </c>
      <c r="J134" s="262">
        <f>VLOOKUP(S134,'SALE HSN MASTER '!$A$6:$E$20,5,FALSE)</f>
        <v>28</v>
      </c>
      <c r="K134" s="400">
        <v>29480.04</v>
      </c>
      <c r="L134" s="184"/>
      <c r="M134" s="322">
        <f t="shared" si="10"/>
        <v>0</v>
      </c>
      <c r="N134" s="322">
        <f t="shared" si="7"/>
        <v>4127.2056000000002</v>
      </c>
      <c r="O134" s="322">
        <f t="shared" si="8"/>
        <v>4127.2056000000002</v>
      </c>
      <c r="P134" s="199">
        <f>VLOOKUP(A134,'SALE PARTY MASTR '!$B$5:$I$105,7,FALSE)</f>
        <v>2</v>
      </c>
      <c r="Q134" s="199" t="str">
        <f>VLOOKUP(A134,'SALE PARTY MASTR '!$B$5:$I$105,8,FALSE)</f>
        <v>Local Sale</v>
      </c>
      <c r="R134" s="199" t="s">
        <v>897</v>
      </c>
      <c r="S134" s="401">
        <v>87081090</v>
      </c>
      <c r="T134" s="201" t="str">
        <f>VLOOKUP(S134,'SALE HSN MASTER '!$A$6:$D$20,2,FALSE)</f>
        <v>Parts &amp; Accessories Of Motor Vehicles Other</v>
      </c>
      <c r="U134" s="201" t="str">
        <f>VLOOKUP(S134,'SALE HSN MASTER '!$A$6:$D$20,3,FALSE)</f>
        <v>NOS-NUMBERS</v>
      </c>
      <c r="V134" s="201" t="str">
        <f>VLOOKUP(S134,'SALE HSN MASTER '!$A$6:$D$20,4,FALSE)</f>
        <v>Goods</v>
      </c>
      <c r="W134" s="401">
        <v>408</v>
      </c>
    </row>
    <row r="135" spans="1:23" ht="14.4" x14ac:dyDescent="0.3">
      <c r="A135" s="423" t="s">
        <v>22</v>
      </c>
      <c r="B135" s="199" t="str">
        <f>VLOOKUP(A135,'SALE PARTY MASTR '!$B$5:$G$280,2,FALSE)</f>
        <v>Japtech Industries</v>
      </c>
      <c r="C135" s="397" t="s">
        <v>1108</v>
      </c>
      <c r="D135" s="398">
        <v>43142</v>
      </c>
      <c r="E135" s="320">
        <f t="shared" si="9"/>
        <v>10058.556</v>
      </c>
      <c r="F135" s="321" t="str">
        <f>VLOOKUP(A135,'SALE PARTY MASTR '!$B$5:$I$105,3,FALSE)</f>
        <v>27-Maharashatra</v>
      </c>
      <c r="G135" s="321" t="str">
        <f>VLOOKUP(A135,'SALE PARTY MASTR '!$B$5:$I$105,4,FALSE)</f>
        <v>N</v>
      </c>
      <c r="H135" s="321" t="str">
        <f>VLOOKUP(A135,'SALE PARTY MASTR '!$B$5:$I$105,5,FALSE)</f>
        <v>Regular</v>
      </c>
      <c r="I135" s="321">
        <f>VLOOKUP(A135,'SALE PARTY MASTR '!$B$5:$I$105,6,FALSE)</f>
        <v>0</v>
      </c>
      <c r="J135" s="262">
        <f>VLOOKUP(S135,'SALE HSN MASTER '!$A$6:$E$20,5,FALSE)</f>
        <v>18</v>
      </c>
      <c r="K135" s="400">
        <v>8524.2000000000007</v>
      </c>
      <c r="L135" s="184"/>
      <c r="M135" s="322">
        <f t="shared" si="10"/>
        <v>0</v>
      </c>
      <c r="N135" s="322">
        <f t="shared" si="7"/>
        <v>767.178</v>
      </c>
      <c r="O135" s="322">
        <f t="shared" si="8"/>
        <v>767.178</v>
      </c>
      <c r="P135" s="199">
        <f>VLOOKUP(A135,'SALE PARTY MASTR '!$B$5:$I$105,7,FALSE)</f>
        <v>2</v>
      </c>
      <c r="Q135" s="199" t="str">
        <f>VLOOKUP(A135,'SALE PARTY MASTR '!$B$5:$I$105,8,FALSE)</f>
        <v>Local Sale</v>
      </c>
      <c r="R135" s="199" t="s">
        <v>894</v>
      </c>
      <c r="S135" s="401">
        <v>998898</v>
      </c>
      <c r="T135" s="201" t="str">
        <f>VLOOKUP(S135,'SALE HSN MASTER '!$A$6:$D$20,2,FALSE)</f>
        <v>Parts &amp; Accessories Of Motor Vehicles Other</v>
      </c>
      <c r="U135" s="201" t="str">
        <f>VLOOKUP(S135,'SALE HSN MASTER '!$A$6:$D$20,3,FALSE)</f>
        <v>NOS-NUMBERS</v>
      </c>
      <c r="V135" s="201" t="str">
        <f>VLOOKUP(S135,'SALE HSN MASTER '!$A$6:$D$20,4,FALSE)</f>
        <v>Service</v>
      </c>
      <c r="W135" s="401">
        <v>30</v>
      </c>
    </row>
    <row r="136" spans="1:23" ht="14.4" x14ac:dyDescent="0.3">
      <c r="A136" s="423" t="s">
        <v>23</v>
      </c>
      <c r="B136" s="199" t="str">
        <f>VLOOKUP(A136,'SALE PARTY MASTR '!$B$5:$G$280,2,FALSE)</f>
        <v>Varroc Polymers Pvt.ltd.</v>
      </c>
      <c r="C136" s="397" t="s">
        <v>1109</v>
      </c>
      <c r="D136" s="398">
        <v>43142</v>
      </c>
      <c r="E136" s="320">
        <f t="shared" si="9"/>
        <v>34404.940800000004</v>
      </c>
      <c r="F136" s="321" t="str">
        <f>VLOOKUP(A136,'SALE PARTY MASTR '!$B$5:$I$105,3,FALSE)</f>
        <v>27-Maharashatra</v>
      </c>
      <c r="G136" s="321" t="str">
        <f>VLOOKUP(A136,'SALE PARTY MASTR '!$B$5:$I$105,4,FALSE)</f>
        <v>N</v>
      </c>
      <c r="H136" s="321" t="str">
        <f>VLOOKUP(A136,'SALE PARTY MASTR '!$B$5:$I$105,5,FALSE)</f>
        <v>Regular</v>
      </c>
      <c r="I136" s="321">
        <f>VLOOKUP(A136,'SALE PARTY MASTR '!$B$5:$I$105,6,FALSE)</f>
        <v>0</v>
      </c>
      <c r="J136" s="262">
        <f>VLOOKUP(S136,'SALE HSN MASTER '!$A$6:$E$20,5,FALSE)</f>
        <v>28</v>
      </c>
      <c r="K136" s="400">
        <v>26878.86</v>
      </c>
      <c r="L136" s="184"/>
      <c r="M136" s="322">
        <f t="shared" si="10"/>
        <v>0</v>
      </c>
      <c r="N136" s="322">
        <f t="shared" si="7"/>
        <v>3763.0404000000003</v>
      </c>
      <c r="O136" s="322">
        <f t="shared" si="8"/>
        <v>3763.0404000000003</v>
      </c>
      <c r="P136" s="199">
        <f>VLOOKUP(A136,'SALE PARTY MASTR '!$B$5:$I$105,7,FALSE)</f>
        <v>2</v>
      </c>
      <c r="Q136" s="199" t="str">
        <f>VLOOKUP(A136,'SALE PARTY MASTR '!$B$5:$I$105,8,FALSE)</f>
        <v>Local Sale</v>
      </c>
      <c r="R136" s="199" t="s">
        <v>897</v>
      </c>
      <c r="S136" s="401">
        <v>87081090</v>
      </c>
      <c r="T136" s="201" t="str">
        <f>VLOOKUP(S136,'SALE HSN MASTER '!$A$6:$D$20,2,FALSE)</f>
        <v>Parts &amp; Accessories Of Motor Vehicles Other</v>
      </c>
      <c r="U136" s="201" t="str">
        <f>VLOOKUP(S136,'SALE HSN MASTER '!$A$6:$D$20,3,FALSE)</f>
        <v>NOS-NUMBERS</v>
      </c>
      <c r="V136" s="201" t="str">
        <f>VLOOKUP(S136,'SALE HSN MASTER '!$A$6:$D$20,4,FALSE)</f>
        <v>Goods</v>
      </c>
      <c r="W136" s="401">
        <v>372</v>
      </c>
    </row>
    <row r="137" spans="1:23" ht="14.4" x14ac:dyDescent="0.3">
      <c r="A137" s="423" t="s">
        <v>24</v>
      </c>
      <c r="B137" s="199" t="str">
        <f>VLOOKUP(A137,'SALE PARTY MASTR '!$B$5:$G$280,2,FALSE)</f>
        <v>Tata Autocomp Systems LTD.(X1)</v>
      </c>
      <c r="C137" s="397" t="s">
        <v>1110</v>
      </c>
      <c r="D137" s="398">
        <v>43142</v>
      </c>
      <c r="E137" s="320">
        <f t="shared" si="9"/>
        <v>41813.504000000001</v>
      </c>
      <c r="F137" s="321" t="str">
        <f>VLOOKUP(A137,'SALE PARTY MASTR '!$B$5:$I$105,3,FALSE)</f>
        <v>27-Maharashatra</v>
      </c>
      <c r="G137" s="321" t="str">
        <f>VLOOKUP(A137,'SALE PARTY MASTR '!$B$5:$I$105,4,FALSE)</f>
        <v>N</v>
      </c>
      <c r="H137" s="321" t="str">
        <f>VLOOKUP(A137,'SALE PARTY MASTR '!$B$5:$I$105,5,FALSE)</f>
        <v>Regular</v>
      </c>
      <c r="I137" s="321">
        <f>VLOOKUP(A137,'SALE PARTY MASTR '!$B$5:$I$105,6,FALSE)</f>
        <v>0</v>
      </c>
      <c r="J137" s="262">
        <f>VLOOKUP(S137,'SALE HSN MASTER '!$A$6:$E$20,5,FALSE)</f>
        <v>28</v>
      </c>
      <c r="K137" s="400">
        <v>32666.799999999999</v>
      </c>
      <c r="L137" s="184"/>
      <c r="M137" s="322">
        <f t="shared" si="10"/>
        <v>0</v>
      </c>
      <c r="N137" s="322">
        <f t="shared" ref="N137:N200" si="11">+IF(P137=1,0,IF(Q137="Local Sale",IF(J137=18,K137*0.09,IF(J137=12,K137*0.06,IF(J137=5,K137*0.025,IF(J137=28,K137*0.14,IF(J137=3,K137*0.015,0))))),0))</f>
        <v>4573.3520000000008</v>
      </c>
      <c r="O137" s="322">
        <f t="shared" ref="O137:O200" si="12">+IF(P137=1,0,IF(Q137="Local Sale",IF(J137=18,K137*0.09,IF(J137=12,K137*0.06,IF(J137=5,K137*0.025,IF(J137=28,K137*0.14,IF(J137=3,K137*0.015,0))))),0))</f>
        <v>4573.3520000000008</v>
      </c>
      <c r="P137" s="199">
        <f>VLOOKUP(A137,'SALE PARTY MASTR '!$B$5:$I$105,7,FALSE)</f>
        <v>2</v>
      </c>
      <c r="Q137" s="199" t="str">
        <f>VLOOKUP(A137,'SALE PARTY MASTR '!$B$5:$I$105,8,FALSE)</f>
        <v>Local Sale</v>
      </c>
      <c r="R137" s="199" t="s">
        <v>897</v>
      </c>
      <c r="S137" s="401">
        <v>87089900</v>
      </c>
      <c r="T137" s="201" t="str">
        <f>VLOOKUP(S137,'SALE HSN MASTER '!$A$6:$D$20,2,FALSE)</f>
        <v>Parts &amp; Accessories Of Motor Vehicles Other</v>
      </c>
      <c r="U137" s="201" t="str">
        <f>VLOOKUP(S137,'SALE HSN MASTER '!$A$6:$D$20,3,FALSE)</f>
        <v>NOS-NUMBERS</v>
      </c>
      <c r="V137" s="201" t="str">
        <f>VLOOKUP(S137,'SALE HSN MASTER '!$A$6:$D$20,4,FALSE)</f>
        <v>Goods</v>
      </c>
      <c r="W137" s="401">
        <v>80</v>
      </c>
    </row>
    <row r="138" spans="1:23" ht="14.4" x14ac:dyDescent="0.3">
      <c r="A138" s="423" t="s">
        <v>28</v>
      </c>
      <c r="B138" s="199" t="str">
        <f>VLOOKUP(A138,'SALE PARTY MASTR '!$B$5:$G$280,2,FALSE)</f>
        <v>Lumax Auto Technologies Ltd.</v>
      </c>
      <c r="C138" s="397" t="s">
        <v>1111</v>
      </c>
      <c r="D138" s="398">
        <v>43142</v>
      </c>
      <c r="E138" s="320">
        <f t="shared" si="9"/>
        <v>41137.632000000005</v>
      </c>
      <c r="F138" s="321" t="str">
        <f>VLOOKUP(A138,'SALE PARTY MASTR '!$B$5:$I$105,3,FALSE)</f>
        <v>27-Maharashatra</v>
      </c>
      <c r="G138" s="321" t="str">
        <f>VLOOKUP(A138,'SALE PARTY MASTR '!$B$5:$I$105,4,FALSE)</f>
        <v>N</v>
      </c>
      <c r="H138" s="321" t="str">
        <f>VLOOKUP(A138,'SALE PARTY MASTR '!$B$5:$I$105,5,FALSE)</f>
        <v>Regular</v>
      </c>
      <c r="I138" s="321">
        <f>VLOOKUP(A138,'SALE PARTY MASTR '!$B$5:$I$105,6,FALSE)</f>
        <v>0</v>
      </c>
      <c r="J138" s="262">
        <f>VLOOKUP(S138,'SALE HSN MASTER '!$A$6:$E$20,5,FALSE)</f>
        <v>18</v>
      </c>
      <c r="K138" s="400">
        <v>34862.400000000001</v>
      </c>
      <c r="L138" s="184"/>
      <c r="M138" s="322">
        <f t="shared" si="10"/>
        <v>0</v>
      </c>
      <c r="N138" s="322">
        <f t="shared" si="11"/>
        <v>3137.616</v>
      </c>
      <c r="O138" s="322">
        <f t="shared" si="12"/>
        <v>3137.616</v>
      </c>
      <c r="P138" s="199">
        <f>VLOOKUP(A138,'SALE PARTY MASTR '!$B$5:$I$105,7,FALSE)</f>
        <v>2</v>
      </c>
      <c r="Q138" s="199" t="str">
        <f>VLOOKUP(A138,'SALE PARTY MASTR '!$B$5:$I$105,8,FALSE)</f>
        <v>Local Sale</v>
      </c>
      <c r="R138" s="199" t="s">
        <v>894</v>
      </c>
      <c r="S138" s="401">
        <v>85129000</v>
      </c>
      <c r="T138" s="201" t="str">
        <f>VLOOKUP(S138,'SALE HSN MASTER '!$A$6:$D$20,2,FALSE)</f>
        <v>Parts &amp; Accessories Of Motor Vehicles Other</v>
      </c>
      <c r="U138" s="201" t="str">
        <f>VLOOKUP(S138,'SALE HSN MASTER '!$A$6:$D$20,3,FALSE)</f>
        <v>NOS-NUMBERS</v>
      </c>
      <c r="V138" s="201" t="str">
        <f>VLOOKUP(S138,'SALE HSN MASTER '!$A$6:$D$20,4,FALSE)</f>
        <v>Goods</v>
      </c>
      <c r="W138" s="401">
        <v>540</v>
      </c>
    </row>
    <row r="139" spans="1:23" ht="14.4" x14ac:dyDescent="0.3">
      <c r="A139" s="423" t="s">
        <v>28</v>
      </c>
      <c r="B139" s="199" t="str">
        <f>VLOOKUP(A139,'SALE PARTY MASTR '!$B$5:$G$280,2,FALSE)</f>
        <v>Lumax Auto Technologies Ltd.</v>
      </c>
      <c r="C139" s="397" t="s">
        <v>1112</v>
      </c>
      <c r="D139" s="398">
        <v>43142</v>
      </c>
      <c r="E139" s="320">
        <f t="shared" si="9"/>
        <v>41796.921600000009</v>
      </c>
      <c r="F139" s="321" t="str">
        <f>VLOOKUP(A139,'SALE PARTY MASTR '!$B$5:$I$105,3,FALSE)</f>
        <v>27-Maharashatra</v>
      </c>
      <c r="G139" s="321" t="str">
        <f>VLOOKUP(A139,'SALE PARTY MASTR '!$B$5:$I$105,4,FALSE)</f>
        <v>N</v>
      </c>
      <c r="H139" s="321" t="str">
        <f>VLOOKUP(A139,'SALE PARTY MASTR '!$B$5:$I$105,5,FALSE)</f>
        <v>Regular</v>
      </c>
      <c r="I139" s="321">
        <f>VLOOKUP(A139,'SALE PARTY MASTR '!$B$5:$I$105,6,FALSE)</f>
        <v>0</v>
      </c>
      <c r="J139" s="262">
        <f>VLOOKUP(S139,'SALE HSN MASTER '!$A$6:$E$20,5,FALSE)</f>
        <v>18</v>
      </c>
      <c r="K139" s="400">
        <v>35421.120000000003</v>
      </c>
      <c r="L139" s="184"/>
      <c r="M139" s="322">
        <f t="shared" si="10"/>
        <v>0</v>
      </c>
      <c r="N139" s="322">
        <f t="shared" si="11"/>
        <v>3187.9008000000003</v>
      </c>
      <c r="O139" s="322">
        <f t="shared" si="12"/>
        <v>3187.9008000000003</v>
      </c>
      <c r="P139" s="199">
        <f>VLOOKUP(A139,'SALE PARTY MASTR '!$B$5:$I$105,7,FALSE)</f>
        <v>2</v>
      </c>
      <c r="Q139" s="199" t="str">
        <f>VLOOKUP(A139,'SALE PARTY MASTR '!$B$5:$I$105,8,FALSE)</f>
        <v>Local Sale</v>
      </c>
      <c r="R139" s="199" t="s">
        <v>894</v>
      </c>
      <c r="S139" s="401">
        <v>85129000</v>
      </c>
      <c r="T139" s="201" t="str">
        <f>VLOOKUP(S139,'SALE HSN MASTER '!$A$6:$D$20,2,FALSE)</f>
        <v>Parts &amp; Accessories Of Motor Vehicles Other</v>
      </c>
      <c r="U139" s="201" t="str">
        <f>VLOOKUP(S139,'SALE HSN MASTER '!$A$6:$D$20,3,FALSE)</f>
        <v>NOS-NUMBERS</v>
      </c>
      <c r="V139" s="201" t="str">
        <f>VLOOKUP(S139,'SALE HSN MASTER '!$A$6:$D$20,4,FALSE)</f>
        <v>Goods</v>
      </c>
      <c r="W139" s="401">
        <v>288</v>
      </c>
    </row>
    <row r="140" spans="1:23" ht="14.4" x14ac:dyDescent="0.3">
      <c r="A140" s="423" t="s">
        <v>24</v>
      </c>
      <c r="B140" s="199" t="str">
        <f>VLOOKUP(A140,'SALE PARTY MASTR '!$B$5:$G$280,2,FALSE)</f>
        <v>Tata Autocomp Systems LTD.(X1)</v>
      </c>
      <c r="C140" s="397" t="s">
        <v>1113</v>
      </c>
      <c r="D140" s="398">
        <v>43142</v>
      </c>
      <c r="E140" s="320">
        <f t="shared" si="9"/>
        <v>50631.679999999993</v>
      </c>
      <c r="F140" s="321" t="str">
        <f>VLOOKUP(A140,'SALE PARTY MASTR '!$B$5:$I$105,3,FALSE)</f>
        <v>27-Maharashatra</v>
      </c>
      <c r="G140" s="321" t="str">
        <f>VLOOKUP(A140,'SALE PARTY MASTR '!$B$5:$I$105,4,FALSE)</f>
        <v>N</v>
      </c>
      <c r="H140" s="321" t="str">
        <f>VLOOKUP(A140,'SALE PARTY MASTR '!$B$5:$I$105,5,FALSE)</f>
        <v>Regular</v>
      </c>
      <c r="I140" s="321">
        <f>VLOOKUP(A140,'SALE PARTY MASTR '!$B$5:$I$105,6,FALSE)</f>
        <v>0</v>
      </c>
      <c r="J140" s="262">
        <f>VLOOKUP(S140,'SALE HSN MASTER '!$A$6:$E$20,5,FALSE)</f>
        <v>28</v>
      </c>
      <c r="K140" s="400">
        <v>39556</v>
      </c>
      <c r="L140" s="184"/>
      <c r="M140" s="322">
        <f t="shared" si="10"/>
        <v>0</v>
      </c>
      <c r="N140" s="322">
        <f t="shared" si="11"/>
        <v>5537.84</v>
      </c>
      <c r="O140" s="322">
        <f t="shared" si="12"/>
        <v>5537.84</v>
      </c>
      <c r="P140" s="199">
        <f>VLOOKUP(A140,'SALE PARTY MASTR '!$B$5:$I$105,7,FALSE)</f>
        <v>2</v>
      </c>
      <c r="Q140" s="199" t="str">
        <f>VLOOKUP(A140,'SALE PARTY MASTR '!$B$5:$I$105,8,FALSE)</f>
        <v>Local Sale</v>
      </c>
      <c r="R140" s="199" t="s">
        <v>897</v>
      </c>
      <c r="S140" s="401">
        <v>87089900</v>
      </c>
      <c r="T140" s="201" t="str">
        <f>VLOOKUP(S140,'SALE HSN MASTER '!$A$6:$D$20,2,FALSE)</f>
        <v>Parts &amp; Accessories Of Motor Vehicles Other</v>
      </c>
      <c r="U140" s="201" t="str">
        <f>VLOOKUP(S140,'SALE HSN MASTER '!$A$6:$D$20,3,FALSE)</f>
        <v>NOS-NUMBERS</v>
      </c>
      <c r="V140" s="201" t="str">
        <f>VLOOKUP(S140,'SALE HSN MASTER '!$A$6:$D$20,4,FALSE)</f>
        <v>Goods</v>
      </c>
      <c r="W140" s="401">
        <v>55</v>
      </c>
    </row>
    <row r="141" spans="1:23" ht="14.4" x14ac:dyDescent="0.3">
      <c r="A141" s="423" t="s">
        <v>31</v>
      </c>
      <c r="B141" s="199" t="str">
        <f>VLOOKUP(A141,'SALE PARTY MASTR '!$B$5:$G$280,2,FALSE)</f>
        <v>Mittal Precision Auto Comps Pvt Ltd,</v>
      </c>
      <c r="C141" s="397" t="s">
        <v>1114</v>
      </c>
      <c r="D141" s="398">
        <v>43143</v>
      </c>
      <c r="E141" s="320">
        <f t="shared" si="9"/>
        <v>6811.243199999999</v>
      </c>
      <c r="F141" s="321" t="str">
        <f>VLOOKUP(A141,'SALE PARTY MASTR '!$B$5:$I$105,3,FALSE)</f>
        <v>27-Maharashatra</v>
      </c>
      <c r="G141" s="321" t="str">
        <f>VLOOKUP(A141,'SALE PARTY MASTR '!$B$5:$I$105,4,FALSE)</f>
        <v>N</v>
      </c>
      <c r="H141" s="321" t="str">
        <f>VLOOKUP(A141,'SALE PARTY MASTR '!$B$5:$I$105,5,FALSE)</f>
        <v>Regular</v>
      </c>
      <c r="I141" s="321">
        <f>VLOOKUP(A141,'SALE PARTY MASTR '!$B$5:$I$105,6,FALSE)</f>
        <v>0</v>
      </c>
      <c r="J141" s="262">
        <f>VLOOKUP(S141,'SALE HSN MASTER '!$A$6:$E$20,5,FALSE)</f>
        <v>18</v>
      </c>
      <c r="K141" s="400">
        <v>5772.24</v>
      </c>
      <c r="L141" s="184"/>
      <c r="M141" s="322">
        <f t="shared" si="10"/>
        <v>0</v>
      </c>
      <c r="N141" s="322">
        <f t="shared" si="11"/>
        <v>519.50159999999994</v>
      </c>
      <c r="O141" s="322">
        <f t="shared" si="12"/>
        <v>519.50159999999994</v>
      </c>
      <c r="P141" s="199">
        <f>VLOOKUP(A141,'SALE PARTY MASTR '!$B$5:$I$105,7,FALSE)</f>
        <v>2</v>
      </c>
      <c r="Q141" s="199" t="str">
        <f>VLOOKUP(A141,'SALE PARTY MASTR '!$B$5:$I$105,8,FALSE)</f>
        <v>Local Sale</v>
      </c>
      <c r="R141" s="199" t="s">
        <v>894</v>
      </c>
      <c r="S141" s="401">
        <v>998898</v>
      </c>
      <c r="T141" s="201" t="str">
        <f>VLOOKUP(S141,'SALE HSN MASTER '!$A$6:$D$20,2,FALSE)</f>
        <v>Parts &amp; Accessories Of Motor Vehicles Other</v>
      </c>
      <c r="U141" s="201" t="str">
        <f>VLOOKUP(S141,'SALE HSN MASTER '!$A$6:$D$20,3,FALSE)</f>
        <v>NOS-NUMBERS</v>
      </c>
      <c r="V141" s="201" t="str">
        <f>VLOOKUP(S141,'SALE HSN MASTER '!$A$6:$D$20,4,FALSE)</f>
        <v>Service</v>
      </c>
      <c r="W141" s="401">
        <v>12</v>
      </c>
    </row>
    <row r="142" spans="1:23" ht="14.4" x14ac:dyDescent="0.3">
      <c r="A142" s="423" t="s">
        <v>23</v>
      </c>
      <c r="B142" s="199" t="str">
        <f>VLOOKUP(A142,'SALE PARTY MASTR '!$B$5:$G$280,2,FALSE)</f>
        <v>Varroc Polymers Pvt.ltd.</v>
      </c>
      <c r="C142" s="397" t="s">
        <v>1115</v>
      </c>
      <c r="D142" s="398">
        <v>43143</v>
      </c>
      <c r="E142" s="320">
        <f t="shared" si="9"/>
        <v>44393.472000000002</v>
      </c>
      <c r="F142" s="321" t="str">
        <f>VLOOKUP(A142,'SALE PARTY MASTR '!$B$5:$I$105,3,FALSE)</f>
        <v>27-Maharashatra</v>
      </c>
      <c r="G142" s="321" t="str">
        <f>VLOOKUP(A142,'SALE PARTY MASTR '!$B$5:$I$105,4,FALSE)</f>
        <v>N</v>
      </c>
      <c r="H142" s="321" t="str">
        <f>VLOOKUP(A142,'SALE PARTY MASTR '!$B$5:$I$105,5,FALSE)</f>
        <v>Regular</v>
      </c>
      <c r="I142" s="321">
        <f>VLOOKUP(A142,'SALE PARTY MASTR '!$B$5:$I$105,6,FALSE)</f>
        <v>0</v>
      </c>
      <c r="J142" s="262">
        <f>VLOOKUP(S142,'SALE HSN MASTER '!$A$6:$E$20,5,FALSE)</f>
        <v>28</v>
      </c>
      <c r="K142" s="400">
        <v>34682.400000000001</v>
      </c>
      <c r="L142" s="184"/>
      <c r="M142" s="322">
        <f t="shared" si="10"/>
        <v>0</v>
      </c>
      <c r="N142" s="322">
        <f t="shared" si="11"/>
        <v>4855.536000000001</v>
      </c>
      <c r="O142" s="322">
        <f t="shared" si="12"/>
        <v>4855.536000000001</v>
      </c>
      <c r="P142" s="199">
        <f>VLOOKUP(A142,'SALE PARTY MASTR '!$B$5:$I$105,7,FALSE)</f>
        <v>2</v>
      </c>
      <c r="Q142" s="199" t="str">
        <f>VLOOKUP(A142,'SALE PARTY MASTR '!$B$5:$I$105,8,FALSE)</f>
        <v>Local Sale</v>
      </c>
      <c r="R142" s="199" t="s">
        <v>897</v>
      </c>
      <c r="S142" s="401">
        <v>87081090</v>
      </c>
      <c r="T142" s="201" t="str">
        <f>VLOOKUP(S142,'SALE HSN MASTER '!$A$6:$D$20,2,FALSE)</f>
        <v>Parts &amp; Accessories Of Motor Vehicles Other</v>
      </c>
      <c r="U142" s="201" t="str">
        <f>VLOOKUP(S142,'SALE HSN MASTER '!$A$6:$D$20,3,FALSE)</f>
        <v>NOS-NUMBERS</v>
      </c>
      <c r="V142" s="201" t="str">
        <f>VLOOKUP(S142,'SALE HSN MASTER '!$A$6:$D$20,4,FALSE)</f>
        <v>Goods</v>
      </c>
      <c r="W142" s="401">
        <v>480</v>
      </c>
    </row>
    <row r="143" spans="1:23" ht="14.4" x14ac:dyDescent="0.3">
      <c r="A143" s="423" t="s">
        <v>31</v>
      </c>
      <c r="B143" s="199" t="str">
        <f>VLOOKUP(A143,'SALE PARTY MASTR '!$B$5:$G$280,2,FALSE)</f>
        <v>Mittal Precision Auto Comps Pvt Ltd,</v>
      </c>
      <c r="C143" s="397" t="s">
        <v>1116</v>
      </c>
      <c r="D143" s="398">
        <v>43143</v>
      </c>
      <c r="E143" s="320">
        <f t="shared" si="9"/>
        <v>6811.243199999999</v>
      </c>
      <c r="F143" s="321" t="str">
        <f>VLOOKUP(A143,'SALE PARTY MASTR '!$B$5:$I$105,3,FALSE)</f>
        <v>27-Maharashatra</v>
      </c>
      <c r="G143" s="321" t="str">
        <f>VLOOKUP(A143,'SALE PARTY MASTR '!$B$5:$I$105,4,FALSE)</f>
        <v>N</v>
      </c>
      <c r="H143" s="321" t="str">
        <f>VLOOKUP(A143,'SALE PARTY MASTR '!$B$5:$I$105,5,FALSE)</f>
        <v>Regular</v>
      </c>
      <c r="I143" s="321">
        <f>VLOOKUP(A143,'SALE PARTY MASTR '!$B$5:$I$105,6,FALSE)</f>
        <v>0</v>
      </c>
      <c r="J143" s="262">
        <f>VLOOKUP(S143,'SALE HSN MASTER '!$A$6:$E$20,5,FALSE)</f>
        <v>18</v>
      </c>
      <c r="K143" s="400">
        <v>5772.24</v>
      </c>
      <c r="L143" s="184"/>
      <c r="M143" s="322">
        <f t="shared" si="10"/>
        <v>0</v>
      </c>
      <c r="N143" s="322">
        <f t="shared" si="11"/>
        <v>519.50159999999994</v>
      </c>
      <c r="O143" s="322">
        <f t="shared" si="12"/>
        <v>519.50159999999994</v>
      </c>
      <c r="P143" s="199">
        <f>VLOOKUP(A143,'SALE PARTY MASTR '!$B$5:$I$105,7,FALSE)</f>
        <v>2</v>
      </c>
      <c r="Q143" s="199" t="str">
        <f>VLOOKUP(A143,'SALE PARTY MASTR '!$B$5:$I$105,8,FALSE)</f>
        <v>Local Sale</v>
      </c>
      <c r="R143" s="199" t="s">
        <v>894</v>
      </c>
      <c r="S143" s="401">
        <v>998898</v>
      </c>
      <c r="T143" s="201" t="str">
        <f>VLOOKUP(S143,'SALE HSN MASTER '!$A$6:$D$20,2,FALSE)</f>
        <v>Parts &amp; Accessories Of Motor Vehicles Other</v>
      </c>
      <c r="U143" s="201" t="str">
        <f>VLOOKUP(S143,'SALE HSN MASTER '!$A$6:$D$20,3,FALSE)</f>
        <v>NOS-NUMBERS</v>
      </c>
      <c r="V143" s="201" t="str">
        <f>VLOOKUP(S143,'SALE HSN MASTER '!$A$6:$D$20,4,FALSE)</f>
        <v>Service</v>
      </c>
      <c r="W143" s="401">
        <v>12</v>
      </c>
    </row>
    <row r="144" spans="1:23" ht="14.4" x14ac:dyDescent="0.3">
      <c r="A144" s="423" t="s">
        <v>862</v>
      </c>
      <c r="B144" s="199" t="str">
        <f>VLOOKUP(A144,'SALE PARTY MASTR '!$B$5:$G$280,2,FALSE)</f>
        <v>Varroc Engineering Pvt Ltd</v>
      </c>
      <c r="C144" s="397" t="s">
        <v>1117</v>
      </c>
      <c r="D144" s="398">
        <v>43143</v>
      </c>
      <c r="E144" s="320">
        <f t="shared" si="9"/>
        <v>29831.424000000003</v>
      </c>
      <c r="F144" s="321" t="str">
        <f>VLOOKUP(A144,'SALE PARTY MASTR '!$B$5:$I$105,3,FALSE)</f>
        <v>27-Maharashatra</v>
      </c>
      <c r="G144" s="321" t="str">
        <f>VLOOKUP(A144,'SALE PARTY MASTR '!$B$5:$I$105,4,FALSE)</f>
        <v>N</v>
      </c>
      <c r="H144" s="321" t="str">
        <f>VLOOKUP(A144,'SALE PARTY MASTR '!$B$5:$I$105,5,FALSE)</f>
        <v>Regular</v>
      </c>
      <c r="I144" s="321">
        <f>VLOOKUP(A144,'SALE PARTY MASTR '!$B$5:$I$105,6,FALSE)</f>
        <v>0</v>
      </c>
      <c r="J144" s="262">
        <f>VLOOKUP(S144,'SALE HSN MASTER '!$A$6:$E$20,5,FALSE)</f>
        <v>28</v>
      </c>
      <c r="K144" s="400">
        <v>23305.8</v>
      </c>
      <c r="L144" s="184"/>
      <c r="M144" s="322">
        <f t="shared" si="10"/>
        <v>0</v>
      </c>
      <c r="N144" s="322">
        <f t="shared" si="11"/>
        <v>3262.8120000000004</v>
      </c>
      <c r="O144" s="322">
        <f t="shared" si="12"/>
        <v>3262.8120000000004</v>
      </c>
      <c r="P144" s="199">
        <f>VLOOKUP(A144,'SALE PARTY MASTR '!$B$5:$I$105,7,FALSE)</f>
        <v>2</v>
      </c>
      <c r="Q144" s="199" t="str">
        <f>VLOOKUP(A144,'SALE PARTY MASTR '!$B$5:$I$105,8,FALSE)</f>
        <v>Local Sale</v>
      </c>
      <c r="R144" s="199" t="s">
        <v>897</v>
      </c>
      <c r="S144" s="401">
        <v>85119000</v>
      </c>
      <c r="T144" s="201" t="str">
        <f>VLOOKUP(S144,'SALE HSN MASTER '!$A$6:$D$20,2,FALSE)</f>
        <v>Parts &amp; Accessories Of Motor Vehicles Other</v>
      </c>
      <c r="U144" s="201" t="str">
        <f>VLOOKUP(S144,'SALE HSN MASTER '!$A$6:$D$20,3,FALSE)</f>
        <v>NOS-NUMBERS</v>
      </c>
      <c r="V144" s="201" t="str">
        <f>VLOOKUP(S144,'SALE HSN MASTER '!$A$6:$D$20,4,FALSE)</f>
        <v>Goods</v>
      </c>
      <c r="W144" s="401">
        <v>420</v>
      </c>
    </row>
    <row r="145" spans="1:23" ht="14.4" x14ac:dyDescent="0.3">
      <c r="A145" s="423" t="s">
        <v>862</v>
      </c>
      <c r="B145" s="199" t="str">
        <f>VLOOKUP(A145,'SALE PARTY MASTR '!$B$5:$G$280,2,FALSE)</f>
        <v>Varroc Engineering Pvt Ltd</v>
      </c>
      <c r="C145" s="397" t="s">
        <v>1118</v>
      </c>
      <c r="D145" s="398">
        <v>43143</v>
      </c>
      <c r="E145" s="320">
        <f t="shared" si="9"/>
        <v>30468.096000000001</v>
      </c>
      <c r="F145" s="321" t="str">
        <f>VLOOKUP(A145,'SALE PARTY MASTR '!$B$5:$I$105,3,FALSE)</f>
        <v>27-Maharashatra</v>
      </c>
      <c r="G145" s="321" t="str">
        <f>VLOOKUP(A145,'SALE PARTY MASTR '!$B$5:$I$105,4,FALSE)</f>
        <v>N</v>
      </c>
      <c r="H145" s="321" t="str">
        <f>VLOOKUP(A145,'SALE PARTY MASTR '!$B$5:$I$105,5,FALSE)</f>
        <v>Regular</v>
      </c>
      <c r="I145" s="321">
        <f>VLOOKUP(A145,'SALE PARTY MASTR '!$B$5:$I$105,6,FALSE)</f>
        <v>0</v>
      </c>
      <c r="J145" s="262">
        <f>VLOOKUP(S145,'SALE HSN MASTER '!$A$6:$E$20,5,FALSE)</f>
        <v>28</v>
      </c>
      <c r="K145" s="400">
        <v>23803.200000000001</v>
      </c>
      <c r="L145" s="184"/>
      <c r="M145" s="322">
        <f t="shared" si="10"/>
        <v>0</v>
      </c>
      <c r="N145" s="322">
        <f t="shared" si="11"/>
        <v>3332.4480000000003</v>
      </c>
      <c r="O145" s="322">
        <f t="shared" si="12"/>
        <v>3332.4480000000003</v>
      </c>
      <c r="P145" s="199">
        <f>VLOOKUP(A145,'SALE PARTY MASTR '!$B$5:$I$105,7,FALSE)</f>
        <v>2</v>
      </c>
      <c r="Q145" s="199" t="str">
        <f>VLOOKUP(A145,'SALE PARTY MASTR '!$B$5:$I$105,8,FALSE)</f>
        <v>Local Sale</v>
      </c>
      <c r="R145" s="199" t="s">
        <v>897</v>
      </c>
      <c r="S145" s="401">
        <v>87142090</v>
      </c>
      <c r="T145" s="201" t="str">
        <f>VLOOKUP(S145,'SALE HSN MASTER '!$A$6:$D$20,2,FALSE)</f>
        <v>Parts &amp; Accessories Of Motor Vehicles Other</v>
      </c>
      <c r="U145" s="201" t="str">
        <f>VLOOKUP(S145,'SALE HSN MASTER '!$A$6:$D$20,3,FALSE)</f>
        <v>NOS-NUMBERS</v>
      </c>
      <c r="V145" s="201" t="str">
        <f>VLOOKUP(S145,'SALE HSN MASTER '!$A$6:$D$20,4,FALSE)</f>
        <v>Goods</v>
      </c>
      <c r="W145" s="401">
        <v>540</v>
      </c>
    </row>
    <row r="146" spans="1:23" ht="14.4" x14ac:dyDescent="0.3">
      <c r="A146" s="423" t="s">
        <v>23</v>
      </c>
      <c r="B146" s="199" t="str">
        <f>VLOOKUP(A146,'SALE PARTY MASTR '!$B$5:$G$280,2,FALSE)</f>
        <v>Varroc Polymers Pvt.ltd.</v>
      </c>
      <c r="C146" s="397" t="s">
        <v>1119</v>
      </c>
      <c r="D146" s="398">
        <v>43143</v>
      </c>
      <c r="E146" s="320">
        <f t="shared" si="9"/>
        <v>22788.863999999998</v>
      </c>
      <c r="F146" s="321" t="str">
        <f>VLOOKUP(A146,'SALE PARTY MASTR '!$B$5:$I$105,3,FALSE)</f>
        <v>27-Maharashatra</v>
      </c>
      <c r="G146" s="321" t="str">
        <f>VLOOKUP(A146,'SALE PARTY MASTR '!$B$5:$I$105,4,FALSE)</f>
        <v>N</v>
      </c>
      <c r="H146" s="321" t="str">
        <f>VLOOKUP(A146,'SALE PARTY MASTR '!$B$5:$I$105,5,FALSE)</f>
        <v>Regular</v>
      </c>
      <c r="I146" s="321">
        <f>VLOOKUP(A146,'SALE PARTY MASTR '!$B$5:$I$105,6,FALSE)</f>
        <v>0</v>
      </c>
      <c r="J146" s="262">
        <f>VLOOKUP(S146,'SALE HSN MASTER '!$A$6:$E$20,5,FALSE)</f>
        <v>28</v>
      </c>
      <c r="K146" s="400">
        <v>17803.8</v>
      </c>
      <c r="L146" s="184"/>
      <c r="M146" s="322">
        <f t="shared" si="10"/>
        <v>0</v>
      </c>
      <c r="N146" s="322">
        <f t="shared" si="11"/>
        <v>2492.5320000000002</v>
      </c>
      <c r="O146" s="322">
        <f t="shared" si="12"/>
        <v>2492.5320000000002</v>
      </c>
      <c r="P146" s="199">
        <f>VLOOKUP(A146,'SALE PARTY MASTR '!$B$5:$I$105,7,FALSE)</f>
        <v>2</v>
      </c>
      <c r="Q146" s="199" t="str">
        <f>VLOOKUP(A146,'SALE PARTY MASTR '!$B$5:$I$105,8,FALSE)</f>
        <v>Local Sale</v>
      </c>
      <c r="R146" s="199" t="s">
        <v>897</v>
      </c>
      <c r="S146" s="401">
        <v>87081090</v>
      </c>
      <c r="T146" s="201" t="str">
        <f>VLOOKUP(S146,'SALE HSN MASTER '!$A$6:$D$20,2,FALSE)</f>
        <v>Parts &amp; Accessories Of Motor Vehicles Other</v>
      </c>
      <c r="U146" s="201" t="str">
        <f>VLOOKUP(S146,'SALE HSN MASTER '!$A$6:$D$20,3,FALSE)</f>
        <v>NOS-NUMBERS</v>
      </c>
      <c r="V146" s="201" t="str">
        <f>VLOOKUP(S146,'SALE HSN MASTER '!$A$6:$D$20,4,FALSE)</f>
        <v>Goods</v>
      </c>
      <c r="W146" s="401">
        <v>216</v>
      </c>
    </row>
    <row r="147" spans="1:23" ht="14.4" x14ac:dyDescent="0.3">
      <c r="A147" s="423" t="s">
        <v>23</v>
      </c>
      <c r="B147" s="199" t="str">
        <f>VLOOKUP(A147,'SALE PARTY MASTR '!$B$5:$G$280,2,FALSE)</f>
        <v>Varroc Polymers Pvt.ltd.</v>
      </c>
      <c r="C147" s="397" t="s">
        <v>1120</v>
      </c>
      <c r="D147" s="398">
        <v>43143</v>
      </c>
      <c r="E147" s="320">
        <f t="shared" si="9"/>
        <v>16972.8</v>
      </c>
      <c r="F147" s="321" t="str">
        <f>VLOOKUP(A147,'SALE PARTY MASTR '!$B$5:$I$105,3,FALSE)</f>
        <v>27-Maharashatra</v>
      </c>
      <c r="G147" s="321" t="str">
        <f>VLOOKUP(A147,'SALE PARTY MASTR '!$B$5:$I$105,4,FALSE)</f>
        <v>N</v>
      </c>
      <c r="H147" s="321" t="str">
        <f>VLOOKUP(A147,'SALE PARTY MASTR '!$B$5:$I$105,5,FALSE)</f>
        <v>Regular</v>
      </c>
      <c r="I147" s="321">
        <f>VLOOKUP(A147,'SALE PARTY MASTR '!$B$5:$I$105,6,FALSE)</f>
        <v>0</v>
      </c>
      <c r="J147" s="262">
        <f>VLOOKUP(S147,'SALE HSN MASTER '!$A$6:$E$20,5,FALSE)</f>
        <v>28</v>
      </c>
      <c r="K147" s="400">
        <v>13260</v>
      </c>
      <c r="L147" s="184"/>
      <c r="M147" s="322">
        <f t="shared" si="10"/>
        <v>0</v>
      </c>
      <c r="N147" s="322">
        <f t="shared" si="11"/>
        <v>1856.4</v>
      </c>
      <c r="O147" s="322">
        <f t="shared" si="12"/>
        <v>1856.4</v>
      </c>
      <c r="P147" s="199">
        <f>VLOOKUP(A147,'SALE PARTY MASTR '!$B$5:$I$105,7,FALSE)</f>
        <v>2</v>
      </c>
      <c r="Q147" s="199" t="str">
        <f>VLOOKUP(A147,'SALE PARTY MASTR '!$B$5:$I$105,8,FALSE)</f>
        <v>Local Sale</v>
      </c>
      <c r="R147" s="199" t="s">
        <v>897</v>
      </c>
      <c r="S147" s="401">
        <v>87141090</v>
      </c>
      <c r="T147" s="201" t="str">
        <f>VLOOKUP(S147,'SALE HSN MASTER '!$A$6:$D$20,2,FALSE)</f>
        <v>Parts &amp; Accessories Of Motor Vehicles Other</v>
      </c>
      <c r="U147" s="201" t="str">
        <f>VLOOKUP(S147,'SALE HSN MASTER '!$A$6:$D$20,3,FALSE)</f>
        <v>NOS-NUMBERS</v>
      </c>
      <c r="V147" s="201" t="str">
        <f>VLOOKUP(S147,'SALE HSN MASTER '!$A$6:$D$20,4,FALSE)</f>
        <v>Goods</v>
      </c>
      <c r="W147" s="401">
        <v>240</v>
      </c>
    </row>
    <row r="148" spans="1:23" ht="14.4" x14ac:dyDescent="0.3">
      <c r="A148" s="423" t="s">
        <v>27</v>
      </c>
      <c r="B148" s="199" t="str">
        <f>VLOOKUP(A148,'SALE PARTY MASTR '!$B$5:$G$280,2,FALSE)</f>
        <v>Rinder India Pvt Ltd.</v>
      </c>
      <c r="C148" s="397" t="s">
        <v>1121</v>
      </c>
      <c r="D148" s="398">
        <v>43143</v>
      </c>
      <c r="E148" s="320">
        <f t="shared" si="9"/>
        <v>35400</v>
      </c>
      <c r="F148" s="321" t="str">
        <f>VLOOKUP(A148,'SALE PARTY MASTR '!$B$5:$I$105,3,FALSE)</f>
        <v>27-Maharashatra</v>
      </c>
      <c r="G148" s="321" t="str">
        <f>VLOOKUP(A148,'SALE PARTY MASTR '!$B$5:$I$105,4,FALSE)</f>
        <v>N</v>
      </c>
      <c r="H148" s="321" t="str">
        <f>VLOOKUP(A148,'SALE PARTY MASTR '!$B$5:$I$105,5,FALSE)</f>
        <v>Regular</v>
      </c>
      <c r="I148" s="321">
        <f>VLOOKUP(A148,'SALE PARTY MASTR '!$B$5:$I$105,6,FALSE)</f>
        <v>0</v>
      </c>
      <c r="J148" s="262">
        <f>VLOOKUP(S148,'SALE HSN MASTER '!$A$6:$E$20,5,FALSE)</f>
        <v>18</v>
      </c>
      <c r="K148" s="400">
        <v>30000</v>
      </c>
      <c r="L148" s="184"/>
      <c r="M148" s="322">
        <f t="shared" si="10"/>
        <v>0</v>
      </c>
      <c r="N148" s="322">
        <f t="shared" si="11"/>
        <v>2700</v>
      </c>
      <c r="O148" s="322">
        <f t="shared" si="12"/>
        <v>2700</v>
      </c>
      <c r="P148" s="199">
        <f>VLOOKUP(A148,'SALE PARTY MASTR '!$B$5:$I$105,7,FALSE)</f>
        <v>2</v>
      </c>
      <c r="Q148" s="199" t="str">
        <f>VLOOKUP(A148,'SALE PARTY MASTR '!$B$5:$I$105,8,FALSE)</f>
        <v>Local Sale</v>
      </c>
      <c r="R148" s="199" t="s">
        <v>894</v>
      </c>
      <c r="S148" s="401">
        <v>85129000</v>
      </c>
      <c r="T148" s="201" t="str">
        <f>VLOOKUP(S148,'SALE HSN MASTER '!$A$6:$D$20,2,FALSE)</f>
        <v>Parts &amp; Accessories Of Motor Vehicles Other</v>
      </c>
      <c r="U148" s="201" t="str">
        <f>VLOOKUP(S148,'SALE HSN MASTER '!$A$6:$D$20,3,FALSE)</f>
        <v>NOS-NUMBERS</v>
      </c>
      <c r="V148" s="201" t="str">
        <f>VLOOKUP(S148,'SALE HSN MASTER '!$A$6:$D$20,4,FALSE)</f>
        <v>Goods</v>
      </c>
      <c r="W148" s="401">
        <v>1200</v>
      </c>
    </row>
    <row r="149" spans="1:23" ht="14.4" x14ac:dyDescent="0.3">
      <c r="A149" s="423" t="s">
        <v>23</v>
      </c>
      <c r="B149" s="199" t="str">
        <f>VLOOKUP(A149,'SALE PARTY MASTR '!$B$5:$G$280,2,FALSE)</f>
        <v>Varroc Polymers Pvt.ltd.</v>
      </c>
      <c r="C149" s="397" t="s">
        <v>1122</v>
      </c>
      <c r="D149" s="398">
        <v>43143</v>
      </c>
      <c r="E149" s="320">
        <f t="shared" si="9"/>
        <v>37734.451200000003</v>
      </c>
      <c r="F149" s="321" t="str">
        <f>VLOOKUP(A149,'SALE PARTY MASTR '!$B$5:$I$105,3,FALSE)</f>
        <v>27-Maharashatra</v>
      </c>
      <c r="G149" s="321" t="str">
        <f>VLOOKUP(A149,'SALE PARTY MASTR '!$B$5:$I$105,4,FALSE)</f>
        <v>N</v>
      </c>
      <c r="H149" s="321" t="str">
        <f>VLOOKUP(A149,'SALE PARTY MASTR '!$B$5:$I$105,5,FALSE)</f>
        <v>Regular</v>
      </c>
      <c r="I149" s="321">
        <f>VLOOKUP(A149,'SALE PARTY MASTR '!$B$5:$I$105,6,FALSE)</f>
        <v>0</v>
      </c>
      <c r="J149" s="262">
        <f>VLOOKUP(S149,'SALE HSN MASTER '!$A$6:$E$20,5,FALSE)</f>
        <v>28</v>
      </c>
      <c r="K149" s="400">
        <v>29480.04</v>
      </c>
      <c r="L149" s="184"/>
      <c r="M149" s="322">
        <f t="shared" si="10"/>
        <v>0</v>
      </c>
      <c r="N149" s="322">
        <f t="shared" si="11"/>
        <v>4127.2056000000002</v>
      </c>
      <c r="O149" s="322">
        <f t="shared" si="12"/>
        <v>4127.2056000000002</v>
      </c>
      <c r="P149" s="199">
        <f>VLOOKUP(A149,'SALE PARTY MASTR '!$B$5:$I$105,7,FALSE)</f>
        <v>2</v>
      </c>
      <c r="Q149" s="199" t="str">
        <f>VLOOKUP(A149,'SALE PARTY MASTR '!$B$5:$I$105,8,FALSE)</f>
        <v>Local Sale</v>
      </c>
      <c r="R149" s="199" t="s">
        <v>897</v>
      </c>
      <c r="S149" s="401">
        <v>87081090</v>
      </c>
      <c r="T149" s="201" t="str">
        <f>VLOOKUP(S149,'SALE HSN MASTER '!$A$6:$D$20,2,FALSE)</f>
        <v>Parts &amp; Accessories Of Motor Vehicles Other</v>
      </c>
      <c r="U149" s="201" t="str">
        <f>VLOOKUP(S149,'SALE HSN MASTER '!$A$6:$D$20,3,FALSE)</f>
        <v>NOS-NUMBERS</v>
      </c>
      <c r="V149" s="201" t="str">
        <f>VLOOKUP(S149,'SALE HSN MASTER '!$A$6:$D$20,4,FALSE)</f>
        <v>Goods</v>
      </c>
      <c r="W149" s="401">
        <v>408</v>
      </c>
    </row>
    <row r="150" spans="1:23" ht="14.4" x14ac:dyDescent="0.3">
      <c r="A150" s="423" t="s">
        <v>23</v>
      </c>
      <c r="B150" s="199" t="str">
        <f>VLOOKUP(A150,'SALE PARTY MASTR '!$B$5:$G$280,2,FALSE)</f>
        <v>Varroc Polymers Pvt.ltd.</v>
      </c>
      <c r="C150" s="397" t="s">
        <v>1123</v>
      </c>
      <c r="D150" s="398">
        <v>43143</v>
      </c>
      <c r="E150" s="320">
        <f t="shared" si="9"/>
        <v>3790.08</v>
      </c>
      <c r="F150" s="321" t="str">
        <f>VLOOKUP(A150,'SALE PARTY MASTR '!$B$5:$I$105,3,FALSE)</f>
        <v>27-Maharashatra</v>
      </c>
      <c r="G150" s="321" t="str">
        <f>VLOOKUP(A150,'SALE PARTY MASTR '!$B$5:$I$105,4,FALSE)</f>
        <v>N</v>
      </c>
      <c r="H150" s="321" t="str">
        <f>VLOOKUP(A150,'SALE PARTY MASTR '!$B$5:$I$105,5,FALSE)</f>
        <v>Regular</v>
      </c>
      <c r="I150" s="321">
        <f>VLOOKUP(A150,'SALE PARTY MASTR '!$B$5:$I$105,6,FALSE)</f>
        <v>0</v>
      </c>
      <c r="J150" s="262">
        <f>VLOOKUP(S150,'SALE HSN MASTER '!$A$6:$E$20,5,FALSE)</f>
        <v>28</v>
      </c>
      <c r="K150" s="400">
        <v>2961</v>
      </c>
      <c r="L150" s="184"/>
      <c r="M150" s="322">
        <f t="shared" si="10"/>
        <v>0</v>
      </c>
      <c r="N150" s="322">
        <f t="shared" si="11"/>
        <v>414.54</v>
      </c>
      <c r="O150" s="322">
        <f t="shared" si="12"/>
        <v>414.54</v>
      </c>
      <c r="P150" s="199">
        <f>VLOOKUP(A150,'SALE PARTY MASTR '!$B$5:$I$105,7,FALSE)</f>
        <v>2</v>
      </c>
      <c r="Q150" s="199" t="str">
        <f>VLOOKUP(A150,'SALE PARTY MASTR '!$B$5:$I$105,8,FALSE)</f>
        <v>Local Sale</v>
      </c>
      <c r="R150" s="199" t="s">
        <v>897</v>
      </c>
      <c r="S150" s="401">
        <v>87141090</v>
      </c>
      <c r="T150" s="201" t="str">
        <f>VLOOKUP(S150,'SALE HSN MASTER '!$A$6:$D$20,2,FALSE)</f>
        <v>Parts &amp; Accessories Of Motor Vehicles Other</v>
      </c>
      <c r="U150" s="201" t="str">
        <f>VLOOKUP(S150,'SALE HSN MASTER '!$A$6:$D$20,3,FALSE)</f>
        <v>NOS-NUMBERS</v>
      </c>
      <c r="V150" s="201" t="str">
        <f>VLOOKUP(S150,'SALE HSN MASTER '!$A$6:$D$20,4,FALSE)</f>
        <v>Goods</v>
      </c>
      <c r="W150" s="401">
        <v>84</v>
      </c>
    </row>
    <row r="151" spans="1:23" ht="14.4" x14ac:dyDescent="0.3">
      <c r="A151" s="423" t="s">
        <v>32</v>
      </c>
      <c r="B151" s="199" t="str">
        <f>VLOOKUP(A151,'SALE PARTY MASTR '!$B$5:$G$280,2,FALSE)</f>
        <v>Pricol Ltd (Formerly Pricol Pune Ltd)</v>
      </c>
      <c r="C151" s="397" t="s">
        <v>1124</v>
      </c>
      <c r="D151" s="398">
        <v>43143</v>
      </c>
      <c r="E151" s="320">
        <f t="shared" si="9"/>
        <v>38589.440000000002</v>
      </c>
      <c r="F151" s="321" t="str">
        <f>VLOOKUP(A151,'SALE PARTY MASTR '!$B$5:$I$105,3,FALSE)</f>
        <v>27-Maharashatra</v>
      </c>
      <c r="G151" s="321" t="str">
        <f>VLOOKUP(A151,'SALE PARTY MASTR '!$B$5:$I$105,4,FALSE)</f>
        <v>N</v>
      </c>
      <c r="H151" s="321" t="str">
        <f>VLOOKUP(A151,'SALE PARTY MASTR '!$B$5:$I$105,5,FALSE)</f>
        <v>Regular</v>
      </c>
      <c r="I151" s="321">
        <f>VLOOKUP(A151,'SALE PARTY MASTR '!$B$5:$I$105,6,FALSE)</f>
        <v>0</v>
      </c>
      <c r="J151" s="262">
        <f>VLOOKUP(S151,'SALE HSN MASTER '!$A$6:$E$20,5,FALSE)</f>
        <v>28</v>
      </c>
      <c r="K151" s="400">
        <v>30148</v>
      </c>
      <c r="L151" s="184"/>
      <c r="M151" s="322">
        <f t="shared" si="10"/>
        <v>0</v>
      </c>
      <c r="N151" s="322">
        <f t="shared" si="11"/>
        <v>4220.72</v>
      </c>
      <c r="O151" s="322">
        <f t="shared" si="12"/>
        <v>4220.72</v>
      </c>
      <c r="P151" s="199">
        <f>VLOOKUP(A151,'SALE PARTY MASTR '!$B$5:$I$105,7,FALSE)</f>
        <v>2</v>
      </c>
      <c r="Q151" s="199" t="str">
        <f>VLOOKUP(A151,'SALE PARTY MASTR '!$B$5:$I$105,8,FALSE)</f>
        <v>Local Sale</v>
      </c>
      <c r="R151" s="199" t="s">
        <v>897</v>
      </c>
      <c r="S151" s="401">
        <v>87141090</v>
      </c>
      <c r="T151" s="201" t="str">
        <f>VLOOKUP(S151,'SALE HSN MASTER '!$A$6:$D$20,2,FALSE)</f>
        <v>Parts &amp; Accessories Of Motor Vehicles Other</v>
      </c>
      <c r="U151" s="201" t="str">
        <f>VLOOKUP(S151,'SALE HSN MASTER '!$A$6:$D$20,3,FALSE)</f>
        <v>NOS-NUMBERS</v>
      </c>
      <c r="V151" s="201" t="str">
        <f>VLOOKUP(S151,'SALE HSN MASTER '!$A$6:$D$20,4,FALSE)</f>
        <v>Goods</v>
      </c>
      <c r="W151" s="401">
        <v>400</v>
      </c>
    </row>
    <row r="152" spans="1:23" ht="14.4" x14ac:dyDescent="0.3">
      <c r="A152" s="423" t="s">
        <v>32</v>
      </c>
      <c r="B152" s="199" t="str">
        <f>VLOOKUP(A152,'SALE PARTY MASTR '!$B$5:$G$280,2,FALSE)</f>
        <v>Pricol Ltd (Formerly Pricol Pune Ltd)</v>
      </c>
      <c r="C152" s="397" t="s">
        <v>1125</v>
      </c>
      <c r="D152" s="398">
        <v>43143</v>
      </c>
      <c r="E152" s="320">
        <f t="shared" si="9"/>
        <v>24380.352000000006</v>
      </c>
      <c r="F152" s="321" t="str">
        <f>VLOOKUP(A152,'SALE PARTY MASTR '!$B$5:$I$105,3,FALSE)</f>
        <v>27-Maharashatra</v>
      </c>
      <c r="G152" s="321" t="str">
        <f>VLOOKUP(A152,'SALE PARTY MASTR '!$B$5:$I$105,4,FALSE)</f>
        <v>N</v>
      </c>
      <c r="H152" s="321" t="str">
        <f>VLOOKUP(A152,'SALE PARTY MASTR '!$B$5:$I$105,5,FALSE)</f>
        <v>Regular</v>
      </c>
      <c r="I152" s="321">
        <f>VLOOKUP(A152,'SALE PARTY MASTR '!$B$5:$I$105,6,FALSE)</f>
        <v>0</v>
      </c>
      <c r="J152" s="262">
        <f>VLOOKUP(S152,'SALE HSN MASTER '!$A$6:$E$20,5,FALSE)</f>
        <v>28</v>
      </c>
      <c r="K152" s="400">
        <v>19047.150000000001</v>
      </c>
      <c r="L152" s="184"/>
      <c r="M152" s="322">
        <f t="shared" si="10"/>
        <v>0</v>
      </c>
      <c r="N152" s="322">
        <f t="shared" si="11"/>
        <v>2666.6010000000006</v>
      </c>
      <c r="O152" s="322">
        <f t="shared" si="12"/>
        <v>2666.6010000000006</v>
      </c>
      <c r="P152" s="199">
        <f>VLOOKUP(A152,'SALE PARTY MASTR '!$B$5:$I$105,7,FALSE)</f>
        <v>2</v>
      </c>
      <c r="Q152" s="199" t="str">
        <f>VLOOKUP(A152,'SALE PARTY MASTR '!$B$5:$I$105,8,FALSE)</f>
        <v>Local Sale</v>
      </c>
      <c r="R152" s="199" t="s">
        <v>897</v>
      </c>
      <c r="S152" s="401">
        <v>87141090</v>
      </c>
      <c r="T152" s="201" t="str">
        <f>VLOOKUP(S152,'SALE HSN MASTER '!$A$6:$D$20,2,FALSE)</f>
        <v>Parts &amp; Accessories Of Motor Vehicles Other</v>
      </c>
      <c r="U152" s="201" t="str">
        <f>VLOOKUP(S152,'SALE HSN MASTER '!$A$6:$D$20,3,FALSE)</f>
        <v>NOS-NUMBERS</v>
      </c>
      <c r="V152" s="201" t="str">
        <f>VLOOKUP(S152,'SALE HSN MASTER '!$A$6:$D$20,4,FALSE)</f>
        <v>Goods</v>
      </c>
      <c r="W152" s="401">
        <v>405</v>
      </c>
    </row>
    <row r="153" spans="1:23" ht="14.4" x14ac:dyDescent="0.3">
      <c r="A153" s="423" t="s">
        <v>23</v>
      </c>
      <c r="B153" s="199" t="str">
        <f>VLOOKUP(A153,'SALE PARTY MASTR '!$B$5:$G$280,2,FALSE)</f>
        <v>Varroc Polymers Pvt.ltd.</v>
      </c>
      <c r="C153" s="397" t="s">
        <v>1126</v>
      </c>
      <c r="D153" s="398">
        <v>43143</v>
      </c>
      <c r="E153" s="320">
        <f t="shared" si="9"/>
        <v>37734.451200000003</v>
      </c>
      <c r="F153" s="321" t="str">
        <f>VLOOKUP(A153,'SALE PARTY MASTR '!$B$5:$I$105,3,FALSE)</f>
        <v>27-Maharashatra</v>
      </c>
      <c r="G153" s="321" t="str">
        <f>VLOOKUP(A153,'SALE PARTY MASTR '!$B$5:$I$105,4,FALSE)</f>
        <v>N</v>
      </c>
      <c r="H153" s="321" t="str">
        <f>VLOOKUP(A153,'SALE PARTY MASTR '!$B$5:$I$105,5,FALSE)</f>
        <v>Regular</v>
      </c>
      <c r="I153" s="321">
        <f>VLOOKUP(A153,'SALE PARTY MASTR '!$B$5:$I$105,6,FALSE)</f>
        <v>0</v>
      </c>
      <c r="J153" s="262">
        <f>VLOOKUP(S153,'SALE HSN MASTER '!$A$6:$E$20,5,FALSE)</f>
        <v>28</v>
      </c>
      <c r="K153" s="400">
        <v>29480.04</v>
      </c>
      <c r="L153" s="184"/>
      <c r="M153" s="322">
        <f t="shared" si="10"/>
        <v>0</v>
      </c>
      <c r="N153" s="322">
        <f t="shared" si="11"/>
        <v>4127.2056000000002</v>
      </c>
      <c r="O153" s="322">
        <f t="shared" si="12"/>
        <v>4127.2056000000002</v>
      </c>
      <c r="P153" s="199">
        <f>VLOOKUP(A153,'SALE PARTY MASTR '!$B$5:$I$105,7,FALSE)</f>
        <v>2</v>
      </c>
      <c r="Q153" s="199" t="str">
        <f>VLOOKUP(A153,'SALE PARTY MASTR '!$B$5:$I$105,8,FALSE)</f>
        <v>Local Sale</v>
      </c>
      <c r="R153" s="199" t="s">
        <v>897</v>
      </c>
      <c r="S153" s="401">
        <v>87081090</v>
      </c>
      <c r="T153" s="201" t="str">
        <f>VLOOKUP(S153,'SALE HSN MASTER '!$A$6:$D$20,2,FALSE)</f>
        <v>Parts &amp; Accessories Of Motor Vehicles Other</v>
      </c>
      <c r="U153" s="201" t="str">
        <f>VLOOKUP(S153,'SALE HSN MASTER '!$A$6:$D$20,3,FALSE)</f>
        <v>NOS-NUMBERS</v>
      </c>
      <c r="V153" s="201" t="str">
        <f>VLOOKUP(S153,'SALE HSN MASTER '!$A$6:$D$20,4,FALSE)</f>
        <v>Goods</v>
      </c>
      <c r="W153" s="401">
        <v>408</v>
      </c>
    </row>
    <row r="154" spans="1:23" ht="14.4" x14ac:dyDescent="0.3">
      <c r="A154" s="423" t="s">
        <v>23</v>
      </c>
      <c r="B154" s="199" t="str">
        <f>VLOOKUP(A154,'SALE PARTY MASTR '!$B$5:$G$280,2,FALSE)</f>
        <v>Varroc Polymers Pvt.ltd.</v>
      </c>
      <c r="C154" s="397" t="s">
        <v>1127</v>
      </c>
      <c r="D154" s="398">
        <v>43143</v>
      </c>
      <c r="E154" s="320">
        <f t="shared" si="9"/>
        <v>10402.560000000001</v>
      </c>
      <c r="F154" s="321" t="str">
        <f>VLOOKUP(A154,'SALE PARTY MASTR '!$B$5:$I$105,3,FALSE)</f>
        <v>27-Maharashatra</v>
      </c>
      <c r="G154" s="321" t="str">
        <f>VLOOKUP(A154,'SALE PARTY MASTR '!$B$5:$I$105,4,FALSE)</f>
        <v>N</v>
      </c>
      <c r="H154" s="321" t="str">
        <f>VLOOKUP(A154,'SALE PARTY MASTR '!$B$5:$I$105,5,FALSE)</f>
        <v>Regular</v>
      </c>
      <c r="I154" s="321">
        <f>VLOOKUP(A154,'SALE PARTY MASTR '!$B$5:$I$105,6,FALSE)</f>
        <v>0</v>
      </c>
      <c r="J154" s="262">
        <f>VLOOKUP(S154,'SALE HSN MASTER '!$A$6:$E$20,5,FALSE)</f>
        <v>28</v>
      </c>
      <c r="K154" s="400">
        <v>8127</v>
      </c>
      <c r="L154" s="184"/>
      <c r="M154" s="322">
        <f t="shared" si="10"/>
        <v>0</v>
      </c>
      <c r="N154" s="322">
        <f t="shared" si="11"/>
        <v>1137.7800000000002</v>
      </c>
      <c r="O154" s="322">
        <f t="shared" si="12"/>
        <v>1137.7800000000002</v>
      </c>
      <c r="P154" s="199">
        <f>VLOOKUP(A154,'SALE PARTY MASTR '!$B$5:$I$105,7,FALSE)</f>
        <v>2</v>
      </c>
      <c r="Q154" s="199" t="str">
        <f>VLOOKUP(A154,'SALE PARTY MASTR '!$B$5:$I$105,8,FALSE)</f>
        <v>Local Sale</v>
      </c>
      <c r="R154" s="199" t="s">
        <v>897</v>
      </c>
      <c r="S154" s="401">
        <v>87141090</v>
      </c>
      <c r="T154" s="201" t="str">
        <f>VLOOKUP(S154,'SALE HSN MASTER '!$A$6:$D$20,2,FALSE)</f>
        <v>Parts &amp; Accessories Of Motor Vehicles Other</v>
      </c>
      <c r="U154" s="201" t="str">
        <f>VLOOKUP(S154,'SALE HSN MASTER '!$A$6:$D$20,3,FALSE)</f>
        <v>NOS-NUMBERS</v>
      </c>
      <c r="V154" s="201" t="str">
        <f>VLOOKUP(S154,'SALE HSN MASTER '!$A$6:$D$20,4,FALSE)</f>
        <v>Goods</v>
      </c>
      <c r="W154" s="401">
        <v>108</v>
      </c>
    </row>
    <row r="155" spans="1:23" ht="14.4" x14ac:dyDescent="0.3">
      <c r="A155" s="423" t="s">
        <v>23</v>
      </c>
      <c r="B155" s="199" t="str">
        <f>VLOOKUP(A155,'SALE PARTY MASTR '!$B$5:$G$280,2,FALSE)</f>
        <v>Varroc Polymers Pvt.ltd.</v>
      </c>
      <c r="C155" s="397" t="s">
        <v>1128</v>
      </c>
      <c r="D155" s="398">
        <v>43144</v>
      </c>
      <c r="E155" s="320">
        <f t="shared" ref="E155:E218" si="13">+K155+M155+N155+O155</f>
        <v>37364.505600000004</v>
      </c>
      <c r="F155" s="321" t="str">
        <f>VLOOKUP(A155,'SALE PARTY MASTR '!$B$5:$I$105,3,FALSE)</f>
        <v>27-Maharashatra</v>
      </c>
      <c r="G155" s="321" t="str">
        <f>VLOOKUP(A155,'SALE PARTY MASTR '!$B$5:$I$105,4,FALSE)</f>
        <v>N</v>
      </c>
      <c r="H155" s="321" t="str">
        <f>VLOOKUP(A155,'SALE PARTY MASTR '!$B$5:$I$105,5,FALSE)</f>
        <v>Regular</v>
      </c>
      <c r="I155" s="321">
        <f>VLOOKUP(A155,'SALE PARTY MASTR '!$B$5:$I$105,6,FALSE)</f>
        <v>0</v>
      </c>
      <c r="J155" s="262">
        <f>VLOOKUP(S155,'SALE HSN MASTER '!$A$6:$E$20,5,FALSE)</f>
        <v>28</v>
      </c>
      <c r="K155" s="400">
        <v>29191.02</v>
      </c>
      <c r="L155" s="184"/>
      <c r="M155" s="322">
        <f t="shared" ref="M155:M218" si="14">+IF(P155=1,0,IF(N155=0,J155*K155/100,0))</f>
        <v>0</v>
      </c>
      <c r="N155" s="322">
        <f t="shared" si="11"/>
        <v>4086.7428000000004</v>
      </c>
      <c r="O155" s="322">
        <f t="shared" si="12"/>
        <v>4086.7428000000004</v>
      </c>
      <c r="P155" s="199">
        <f>VLOOKUP(A155,'SALE PARTY MASTR '!$B$5:$I$105,7,FALSE)</f>
        <v>2</v>
      </c>
      <c r="Q155" s="199" t="str">
        <f>VLOOKUP(A155,'SALE PARTY MASTR '!$B$5:$I$105,8,FALSE)</f>
        <v>Local Sale</v>
      </c>
      <c r="R155" s="199" t="s">
        <v>897</v>
      </c>
      <c r="S155" s="401">
        <v>87081090</v>
      </c>
      <c r="T155" s="201" t="str">
        <f>VLOOKUP(S155,'SALE HSN MASTER '!$A$6:$D$20,2,FALSE)</f>
        <v>Parts &amp; Accessories Of Motor Vehicles Other</v>
      </c>
      <c r="U155" s="201" t="str">
        <f>VLOOKUP(S155,'SALE HSN MASTER '!$A$6:$D$20,3,FALSE)</f>
        <v>NOS-NUMBERS</v>
      </c>
      <c r="V155" s="201" t="str">
        <f>VLOOKUP(S155,'SALE HSN MASTER '!$A$6:$D$20,4,FALSE)</f>
        <v>Goods</v>
      </c>
      <c r="W155" s="401">
        <v>404</v>
      </c>
    </row>
    <row r="156" spans="1:23" ht="14.4" x14ac:dyDescent="0.3">
      <c r="A156" s="423" t="s">
        <v>22</v>
      </c>
      <c r="B156" s="199" t="str">
        <f>VLOOKUP(A156,'SALE PARTY MASTR '!$B$5:$G$280,2,FALSE)</f>
        <v>Japtech Industries</v>
      </c>
      <c r="C156" s="397" t="s">
        <v>1129</v>
      </c>
      <c r="D156" s="398">
        <v>43144</v>
      </c>
      <c r="E156" s="320">
        <f t="shared" si="13"/>
        <v>5029.2780000000002</v>
      </c>
      <c r="F156" s="321" t="str">
        <f>VLOOKUP(A156,'SALE PARTY MASTR '!$B$5:$I$105,3,FALSE)</f>
        <v>27-Maharashatra</v>
      </c>
      <c r="G156" s="321" t="str">
        <f>VLOOKUP(A156,'SALE PARTY MASTR '!$B$5:$I$105,4,FALSE)</f>
        <v>N</v>
      </c>
      <c r="H156" s="321" t="str">
        <f>VLOOKUP(A156,'SALE PARTY MASTR '!$B$5:$I$105,5,FALSE)</f>
        <v>Regular</v>
      </c>
      <c r="I156" s="321">
        <f>VLOOKUP(A156,'SALE PARTY MASTR '!$B$5:$I$105,6,FALSE)</f>
        <v>0</v>
      </c>
      <c r="J156" s="262">
        <f>VLOOKUP(S156,'SALE HSN MASTER '!$A$6:$E$20,5,FALSE)</f>
        <v>18</v>
      </c>
      <c r="K156" s="400">
        <v>4262.1000000000004</v>
      </c>
      <c r="L156" s="184"/>
      <c r="M156" s="322">
        <f t="shared" si="14"/>
        <v>0</v>
      </c>
      <c r="N156" s="322">
        <f t="shared" si="11"/>
        <v>383.589</v>
      </c>
      <c r="O156" s="322">
        <f t="shared" si="12"/>
        <v>383.589</v>
      </c>
      <c r="P156" s="199">
        <f>VLOOKUP(A156,'SALE PARTY MASTR '!$B$5:$I$105,7,FALSE)</f>
        <v>2</v>
      </c>
      <c r="Q156" s="199" t="str">
        <f>VLOOKUP(A156,'SALE PARTY MASTR '!$B$5:$I$105,8,FALSE)</f>
        <v>Local Sale</v>
      </c>
      <c r="R156" s="199" t="s">
        <v>894</v>
      </c>
      <c r="S156" s="401">
        <v>998898</v>
      </c>
      <c r="T156" s="201" t="str">
        <f>VLOOKUP(S156,'SALE HSN MASTER '!$A$6:$D$20,2,FALSE)</f>
        <v>Parts &amp; Accessories Of Motor Vehicles Other</v>
      </c>
      <c r="U156" s="201" t="str">
        <f>VLOOKUP(S156,'SALE HSN MASTER '!$A$6:$D$20,3,FALSE)</f>
        <v>NOS-NUMBERS</v>
      </c>
      <c r="V156" s="201" t="str">
        <f>VLOOKUP(S156,'SALE HSN MASTER '!$A$6:$D$20,4,FALSE)</f>
        <v>Service</v>
      </c>
      <c r="W156" s="401">
        <v>15</v>
      </c>
    </row>
    <row r="157" spans="1:23" ht="14.4" x14ac:dyDescent="0.3">
      <c r="A157" s="423" t="s">
        <v>23</v>
      </c>
      <c r="B157" s="199" t="str">
        <f>VLOOKUP(A157,'SALE PARTY MASTR '!$B$5:$G$280,2,FALSE)</f>
        <v>Varroc Polymers Pvt.ltd.</v>
      </c>
      <c r="C157" s="397" t="s">
        <v>1130</v>
      </c>
      <c r="D157" s="398">
        <v>43144</v>
      </c>
      <c r="E157" s="320">
        <f t="shared" si="13"/>
        <v>38104.396800000002</v>
      </c>
      <c r="F157" s="321" t="str">
        <f>VLOOKUP(A157,'SALE PARTY MASTR '!$B$5:$I$105,3,FALSE)</f>
        <v>27-Maharashatra</v>
      </c>
      <c r="G157" s="321" t="str">
        <f>VLOOKUP(A157,'SALE PARTY MASTR '!$B$5:$I$105,4,FALSE)</f>
        <v>N</v>
      </c>
      <c r="H157" s="321" t="str">
        <f>VLOOKUP(A157,'SALE PARTY MASTR '!$B$5:$I$105,5,FALSE)</f>
        <v>Regular</v>
      </c>
      <c r="I157" s="321">
        <f>VLOOKUP(A157,'SALE PARTY MASTR '!$B$5:$I$105,6,FALSE)</f>
        <v>0</v>
      </c>
      <c r="J157" s="262">
        <f>VLOOKUP(S157,'SALE HSN MASTER '!$A$6:$E$20,5,FALSE)</f>
        <v>28</v>
      </c>
      <c r="K157" s="400">
        <v>29769.06</v>
      </c>
      <c r="L157" s="184"/>
      <c r="M157" s="322">
        <f t="shared" si="14"/>
        <v>0</v>
      </c>
      <c r="N157" s="322">
        <f t="shared" si="11"/>
        <v>4167.6684000000005</v>
      </c>
      <c r="O157" s="322">
        <f t="shared" si="12"/>
        <v>4167.6684000000005</v>
      </c>
      <c r="P157" s="199">
        <f>VLOOKUP(A157,'SALE PARTY MASTR '!$B$5:$I$105,7,FALSE)</f>
        <v>2</v>
      </c>
      <c r="Q157" s="199" t="str">
        <f>VLOOKUP(A157,'SALE PARTY MASTR '!$B$5:$I$105,8,FALSE)</f>
        <v>Local Sale</v>
      </c>
      <c r="R157" s="199" t="s">
        <v>897</v>
      </c>
      <c r="S157" s="401">
        <v>87081090</v>
      </c>
      <c r="T157" s="201" t="str">
        <f>VLOOKUP(S157,'SALE HSN MASTER '!$A$6:$D$20,2,FALSE)</f>
        <v>Parts &amp; Accessories Of Motor Vehicles Other</v>
      </c>
      <c r="U157" s="201" t="str">
        <f>VLOOKUP(S157,'SALE HSN MASTER '!$A$6:$D$20,3,FALSE)</f>
        <v>NOS-NUMBERS</v>
      </c>
      <c r="V157" s="201" t="str">
        <f>VLOOKUP(S157,'SALE HSN MASTER '!$A$6:$D$20,4,FALSE)</f>
        <v>Goods</v>
      </c>
      <c r="W157" s="401">
        <v>412</v>
      </c>
    </row>
    <row r="158" spans="1:23" ht="14.4" x14ac:dyDescent="0.3">
      <c r="A158" s="423" t="s">
        <v>31</v>
      </c>
      <c r="B158" s="199" t="str">
        <f>VLOOKUP(A158,'SALE PARTY MASTR '!$B$5:$G$280,2,FALSE)</f>
        <v>Mittal Precision Auto Comps Pvt Ltd,</v>
      </c>
      <c r="C158" s="397" t="s">
        <v>1131</v>
      </c>
      <c r="D158" s="398">
        <v>43144</v>
      </c>
      <c r="E158" s="320">
        <f t="shared" si="13"/>
        <v>6811.243199999999</v>
      </c>
      <c r="F158" s="321" t="str">
        <f>VLOOKUP(A158,'SALE PARTY MASTR '!$B$5:$I$105,3,FALSE)</f>
        <v>27-Maharashatra</v>
      </c>
      <c r="G158" s="321" t="str">
        <f>VLOOKUP(A158,'SALE PARTY MASTR '!$B$5:$I$105,4,FALSE)</f>
        <v>N</v>
      </c>
      <c r="H158" s="321" t="str">
        <f>VLOOKUP(A158,'SALE PARTY MASTR '!$B$5:$I$105,5,FALSE)</f>
        <v>Regular</v>
      </c>
      <c r="I158" s="321">
        <f>VLOOKUP(A158,'SALE PARTY MASTR '!$B$5:$I$105,6,FALSE)</f>
        <v>0</v>
      </c>
      <c r="J158" s="262">
        <f>VLOOKUP(S158,'SALE HSN MASTER '!$A$6:$E$20,5,FALSE)</f>
        <v>18</v>
      </c>
      <c r="K158" s="400">
        <v>5772.24</v>
      </c>
      <c r="L158" s="184"/>
      <c r="M158" s="322">
        <f t="shared" si="14"/>
        <v>0</v>
      </c>
      <c r="N158" s="322">
        <f t="shared" si="11"/>
        <v>519.50159999999994</v>
      </c>
      <c r="O158" s="322">
        <f t="shared" si="12"/>
        <v>519.50159999999994</v>
      </c>
      <c r="P158" s="199">
        <f>VLOOKUP(A158,'SALE PARTY MASTR '!$B$5:$I$105,7,FALSE)</f>
        <v>2</v>
      </c>
      <c r="Q158" s="199" t="str">
        <f>VLOOKUP(A158,'SALE PARTY MASTR '!$B$5:$I$105,8,FALSE)</f>
        <v>Local Sale</v>
      </c>
      <c r="R158" s="199" t="s">
        <v>894</v>
      </c>
      <c r="S158" s="401">
        <v>998898</v>
      </c>
      <c r="T158" s="201" t="str">
        <f>VLOOKUP(S158,'SALE HSN MASTER '!$A$6:$D$20,2,FALSE)</f>
        <v>Parts &amp; Accessories Of Motor Vehicles Other</v>
      </c>
      <c r="U158" s="201" t="str">
        <f>VLOOKUP(S158,'SALE HSN MASTER '!$A$6:$D$20,3,FALSE)</f>
        <v>NOS-NUMBERS</v>
      </c>
      <c r="V158" s="201" t="str">
        <f>VLOOKUP(S158,'SALE HSN MASTER '!$A$6:$D$20,4,FALSE)</f>
        <v>Service</v>
      </c>
      <c r="W158" s="401">
        <v>12</v>
      </c>
    </row>
    <row r="159" spans="1:23" ht="14.4" x14ac:dyDescent="0.3">
      <c r="A159" s="423" t="s">
        <v>24</v>
      </c>
      <c r="B159" s="199" t="str">
        <f>VLOOKUP(A159,'SALE PARTY MASTR '!$B$5:$G$280,2,FALSE)</f>
        <v>Tata Autocomp Systems LTD.(X1)</v>
      </c>
      <c r="C159" s="397" t="s">
        <v>1132</v>
      </c>
      <c r="D159" s="398">
        <v>43144</v>
      </c>
      <c r="E159" s="320">
        <f t="shared" si="13"/>
        <v>29992.934400000002</v>
      </c>
      <c r="F159" s="321" t="str">
        <f>VLOOKUP(A159,'SALE PARTY MASTR '!$B$5:$I$105,3,FALSE)</f>
        <v>27-Maharashatra</v>
      </c>
      <c r="G159" s="321" t="str">
        <f>VLOOKUP(A159,'SALE PARTY MASTR '!$B$5:$I$105,4,FALSE)</f>
        <v>N</v>
      </c>
      <c r="H159" s="321" t="str">
        <f>VLOOKUP(A159,'SALE PARTY MASTR '!$B$5:$I$105,5,FALSE)</f>
        <v>Regular</v>
      </c>
      <c r="I159" s="321">
        <f>VLOOKUP(A159,'SALE PARTY MASTR '!$B$5:$I$105,6,FALSE)</f>
        <v>0</v>
      </c>
      <c r="J159" s="262">
        <f>VLOOKUP(S159,'SALE HSN MASTER '!$A$6:$E$20,5,FALSE)</f>
        <v>28</v>
      </c>
      <c r="K159" s="400">
        <v>23431.98</v>
      </c>
      <c r="L159" s="184"/>
      <c r="M159" s="322">
        <f t="shared" si="14"/>
        <v>0</v>
      </c>
      <c r="N159" s="322">
        <f t="shared" si="11"/>
        <v>3280.4772000000003</v>
      </c>
      <c r="O159" s="322">
        <f t="shared" si="12"/>
        <v>3280.4772000000003</v>
      </c>
      <c r="P159" s="199">
        <f>VLOOKUP(A159,'SALE PARTY MASTR '!$B$5:$I$105,7,FALSE)</f>
        <v>2</v>
      </c>
      <c r="Q159" s="199" t="str">
        <f>VLOOKUP(A159,'SALE PARTY MASTR '!$B$5:$I$105,8,FALSE)</f>
        <v>Local Sale</v>
      </c>
      <c r="R159" s="199" t="s">
        <v>897</v>
      </c>
      <c r="S159" s="401">
        <v>87089900</v>
      </c>
      <c r="T159" s="201" t="str">
        <f>VLOOKUP(S159,'SALE HSN MASTER '!$A$6:$D$20,2,FALSE)</f>
        <v>Parts &amp; Accessories Of Motor Vehicles Other</v>
      </c>
      <c r="U159" s="201" t="str">
        <f>VLOOKUP(S159,'SALE HSN MASTER '!$A$6:$D$20,3,FALSE)</f>
        <v>NOS-NUMBERS</v>
      </c>
      <c r="V159" s="201" t="str">
        <f>VLOOKUP(S159,'SALE HSN MASTER '!$A$6:$D$20,4,FALSE)</f>
        <v>Goods</v>
      </c>
      <c r="W159" s="401">
        <v>39</v>
      </c>
    </row>
    <row r="160" spans="1:23" ht="14.4" x14ac:dyDescent="0.3">
      <c r="A160" s="423" t="s">
        <v>24</v>
      </c>
      <c r="B160" s="199" t="str">
        <f>VLOOKUP(A160,'SALE PARTY MASTR '!$B$5:$G$280,2,FALSE)</f>
        <v>Tata Autocomp Systems LTD.(X1)</v>
      </c>
      <c r="C160" s="397" t="s">
        <v>1133</v>
      </c>
      <c r="D160" s="398">
        <v>43144</v>
      </c>
      <c r="E160" s="320">
        <f t="shared" si="13"/>
        <v>23154.508800000003</v>
      </c>
      <c r="F160" s="321" t="str">
        <f>VLOOKUP(A160,'SALE PARTY MASTR '!$B$5:$I$105,3,FALSE)</f>
        <v>27-Maharashatra</v>
      </c>
      <c r="G160" s="321" t="str">
        <f>VLOOKUP(A160,'SALE PARTY MASTR '!$B$5:$I$105,4,FALSE)</f>
        <v>N</v>
      </c>
      <c r="H160" s="321" t="str">
        <f>VLOOKUP(A160,'SALE PARTY MASTR '!$B$5:$I$105,5,FALSE)</f>
        <v>Regular</v>
      </c>
      <c r="I160" s="321">
        <f>VLOOKUP(A160,'SALE PARTY MASTR '!$B$5:$I$105,6,FALSE)</f>
        <v>0</v>
      </c>
      <c r="J160" s="262">
        <f>VLOOKUP(S160,'SALE HSN MASTER '!$A$6:$E$20,5,FALSE)</f>
        <v>28</v>
      </c>
      <c r="K160" s="400">
        <v>18089.46</v>
      </c>
      <c r="L160" s="184"/>
      <c r="M160" s="322">
        <f t="shared" si="14"/>
        <v>0</v>
      </c>
      <c r="N160" s="322">
        <f t="shared" si="11"/>
        <v>2532.5244000000002</v>
      </c>
      <c r="O160" s="322">
        <f t="shared" si="12"/>
        <v>2532.5244000000002</v>
      </c>
      <c r="P160" s="199">
        <f>VLOOKUP(A160,'SALE PARTY MASTR '!$B$5:$I$105,7,FALSE)</f>
        <v>2</v>
      </c>
      <c r="Q160" s="199" t="str">
        <f>VLOOKUP(A160,'SALE PARTY MASTR '!$B$5:$I$105,8,FALSE)</f>
        <v>Local Sale</v>
      </c>
      <c r="R160" s="199" t="s">
        <v>897</v>
      </c>
      <c r="S160" s="401">
        <v>87089900</v>
      </c>
      <c r="T160" s="201" t="str">
        <f>VLOOKUP(S160,'SALE HSN MASTER '!$A$6:$D$20,2,FALSE)</f>
        <v>Parts &amp; Accessories Of Motor Vehicles Other</v>
      </c>
      <c r="U160" s="201" t="str">
        <f>VLOOKUP(S160,'SALE HSN MASTER '!$A$6:$D$20,3,FALSE)</f>
        <v>NOS-NUMBERS</v>
      </c>
      <c r="V160" s="201" t="str">
        <f>VLOOKUP(S160,'SALE HSN MASTER '!$A$6:$D$20,4,FALSE)</f>
        <v>Goods</v>
      </c>
      <c r="W160" s="401">
        <v>54</v>
      </c>
    </row>
    <row r="161" spans="1:23" ht="14.4" x14ac:dyDescent="0.3">
      <c r="A161" s="423" t="s">
        <v>31</v>
      </c>
      <c r="B161" s="199" t="str">
        <f>VLOOKUP(A161,'SALE PARTY MASTR '!$B$5:$G$280,2,FALSE)</f>
        <v>Mittal Precision Auto Comps Pvt Ltd,</v>
      </c>
      <c r="C161" s="397" t="s">
        <v>1134</v>
      </c>
      <c r="D161" s="398">
        <v>43144</v>
      </c>
      <c r="E161" s="320">
        <f t="shared" si="13"/>
        <v>7378.8468000000012</v>
      </c>
      <c r="F161" s="321" t="str">
        <f>VLOOKUP(A161,'SALE PARTY MASTR '!$B$5:$I$105,3,FALSE)</f>
        <v>27-Maharashatra</v>
      </c>
      <c r="G161" s="321" t="str">
        <f>VLOOKUP(A161,'SALE PARTY MASTR '!$B$5:$I$105,4,FALSE)</f>
        <v>N</v>
      </c>
      <c r="H161" s="321" t="str">
        <f>VLOOKUP(A161,'SALE PARTY MASTR '!$B$5:$I$105,5,FALSE)</f>
        <v>Regular</v>
      </c>
      <c r="I161" s="321">
        <f>VLOOKUP(A161,'SALE PARTY MASTR '!$B$5:$I$105,6,FALSE)</f>
        <v>0</v>
      </c>
      <c r="J161" s="262">
        <f>VLOOKUP(S161,'SALE HSN MASTER '!$A$6:$E$20,5,FALSE)</f>
        <v>18</v>
      </c>
      <c r="K161" s="400">
        <v>6253.26</v>
      </c>
      <c r="L161" s="184"/>
      <c r="M161" s="322">
        <f t="shared" si="14"/>
        <v>0</v>
      </c>
      <c r="N161" s="322">
        <f t="shared" si="11"/>
        <v>562.79340000000002</v>
      </c>
      <c r="O161" s="322">
        <f t="shared" si="12"/>
        <v>562.79340000000002</v>
      </c>
      <c r="P161" s="199">
        <f>VLOOKUP(A161,'SALE PARTY MASTR '!$B$5:$I$105,7,FALSE)</f>
        <v>2</v>
      </c>
      <c r="Q161" s="199" t="str">
        <f>VLOOKUP(A161,'SALE PARTY MASTR '!$B$5:$I$105,8,FALSE)</f>
        <v>Local Sale</v>
      </c>
      <c r="R161" s="199" t="s">
        <v>894</v>
      </c>
      <c r="S161" s="401">
        <v>998898</v>
      </c>
      <c r="T161" s="201" t="str">
        <f>VLOOKUP(S161,'SALE HSN MASTER '!$A$6:$D$20,2,FALSE)</f>
        <v>Parts &amp; Accessories Of Motor Vehicles Other</v>
      </c>
      <c r="U161" s="201" t="str">
        <f>VLOOKUP(S161,'SALE HSN MASTER '!$A$6:$D$20,3,FALSE)</f>
        <v>NOS-NUMBERS</v>
      </c>
      <c r="V161" s="201" t="str">
        <f>VLOOKUP(S161,'SALE HSN MASTER '!$A$6:$D$20,4,FALSE)</f>
        <v>Service</v>
      </c>
      <c r="W161" s="401">
        <v>13</v>
      </c>
    </row>
    <row r="162" spans="1:23" ht="14.4" x14ac:dyDescent="0.3">
      <c r="A162" s="423" t="s">
        <v>23</v>
      </c>
      <c r="B162" s="199" t="str">
        <f>VLOOKUP(A162,'SALE PARTY MASTR '!$B$5:$G$280,2,FALSE)</f>
        <v>Varroc Polymers Pvt.ltd.</v>
      </c>
      <c r="C162" s="397" t="s">
        <v>1135</v>
      </c>
      <c r="D162" s="398">
        <v>43144</v>
      </c>
      <c r="E162" s="320">
        <f t="shared" si="13"/>
        <v>18867.225600000002</v>
      </c>
      <c r="F162" s="321" t="str">
        <f>VLOOKUP(A162,'SALE PARTY MASTR '!$B$5:$I$105,3,FALSE)</f>
        <v>27-Maharashatra</v>
      </c>
      <c r="G162" s="321" t="str">
        <f>VLOOKUP(A162,'SALE PARTY MASTR '!$B$5:$I$105,4,FALSE)</f>
        <v>N</v>
      </c>
      <c r="H162" s="321" t="str">
        <f>VLOOKUP(A162,'SALE PARTY MASTR '!$B$5:$I$105,5,FALSE)</f>
        <v>Regular</v>
      </c>
      <c r="I162" s="321">
        <f>VLOOKUP(A162,'SALE PARTY MASTR '!$B$5:$I$105,6,FALSE)</f>
        <v>0</v>
      </c>
      <c r="J162" s="262">
        <f>VLOOKUP(S162,'SALE HSN MASTER '!$A$6:$E$20,5,FALSE)</f>
        <v>28</v>
      </c>
      <c r="K162" s="400">
        <v>14740.02</v>
      </c>
      <c r="L162" s="184"/>
      <c r="M162" s="322">
        <f t="shared" si="14"/>
        <v>0</v>
      </c>
      <c r="N162" s="322">
        <f t="shared" si="11"/>
        <v>2063.6028000000001</v>
      </c>
      <c r="O162" s="322">
        <f t="shared" si="12"/>
        <v>2063.6028000000001</v>
      </c>
      <c r="P162" s="199">
        <f>VLOOKUP(A162,'SALE PARTY MASTR '!$B$5:$I$105,7,FALSE)</f>
        <v>2</v>
      </c>
      <c r="Q162" s="199" t="str">
        <f>VLOOKUP(A162,'SALE PARTY MASTR '!$B$5:$I$105,8,FALSE)</f>
        <v>Local Sale</v>
      </c>
      <c r="R162" s="199" t="s">
        <v>897</v>
      </c>
      <c r="S162" s="401">
        <v>87081090</v>
      </c>
      <c r="T162" s="201" t="str">
        <f>VLOOKUP(S162,'SALE HSN MASTER '!$A$6:$D$20,2,FALSE)</f>
        <v>Parts &amp; Accessories Of Motor Vehicles Other</v>
      </c>
      <c r="U162" s="201" t="str">
        <f>VLOOKUP(S162,'SALE HSN MASTER '!$A$6:$D$20,3,FALSE)</f>
        <v>NOS-NUMBERS</v>
      </c>
      <c r="V162" s="201" t="str">
        <f>VLOOKUP(S162,'SALE HSN MASTER '!$A$6:$D$20,4,FALSE)</f>
        <v>Goods</v>
      </c>
      <c r="W162" s="401">
        <v>204</v>
      </c>
    </row>
    <row r="163" spans="1:23" ht="14.4" x14ac:dyDescent="0.3">
      <c r="A163" s="423" t="s">
        <v>23</v>
      </c>
      <c r="B163" s="199" t="str">
        <f>VLOOKUP(A163,'SALE PARTY MASTR '!$B$5:$G$280,2,FALSE)</f>
        <v>Varroc Polymers Pvt.ltd.</v>
      </c>
      <c r="C163" s="397" t="s">
        <v>1136</v>
      </c>
      <c r="D163" s="398">
        <v>43144</v>
      </c>
      <c r="E163" s="320">
        <f t="shared" si="13"/>
        <v>21522.816000000003</v>
      </c>
      <c r="F163" s="321" t="str">
        <f>VLOOKUP(A163,'SALE PARTY MASTR '!$B$5:$I$105,3,FALSE)</f>
        <v>27-Maharashatra</v>
      </c>
      <c r="G163" s="321" t="str">
        <f>VLOOKUP(A163,'SALE PARTY MASTR '!$B$5:$I$105,4,FALSE)</f>
        <v>N</v>
      </c>
      <c r="H163" s="321" t="str">
        <f>VLOOKUP(A163,'SALE PARTY MASTR '!$B$5:$I$105,5,FALSE)</f>
        <v>Regular</v>
      </c>
      <c r="I163" s="321">
        <f>VLOOKUP(A163,'SALE PARTY MASTR '!$B$5:$I$105,6,FALSE)</f>
        <v>0</v>
      </c>
      <c r="J163" s="262">
        <f>VLOOKUP(S163,'SALE HSN MASTER '!$A$6:$E$20,5,FALSE)</f>
        <v>28</v>
      </c>
      <c r="K163" s="400">
        <v>16814.7</v>
      </c>
      <c r="L163" s="184"/>
      <c r="M163" s="322">
        <f t="shared" si="14"/>
        <v>0</v>
      </c>
      <c r="N163" s="322">
        <f t="shared" si="11"/>
        <v>2354.0580000000004</v>
      </c>
      <c r="O163" s="322">
        <f t="shared" si="12"/>
        <v>2354.0580000000004</v>
      </c>
      <c r="P163" s="199">
        <f>VLOOKUP(A163,'SALE PARTY MASTR '!$B$5:$I$105,7,FALSE)</f>
        <v>2</v>
      </c>
      <c r="Q163" s="199" t="str">
        <f>VLOOKUP(A163,'SALE PARTY MASTR '!$B$5:$I$105,8,FALSE)</f>
        <v>Local Sale</v>
      </c>
      <c r="R163" s="199" t="s">
        <v>897</v>
      </c>
      <c r="S163" s="401">
        <v>87081090</v>
      </c>
      <c r="T163" s="201" t="str">
        <f>VLOOKUP(S163,'SALE HSN MASTER '!$A$6:$D$20,2,FALSE)</f>
        <v>Parts &amp; Accessories Of Motor Vehicles Other</v>
      </c>
      <c r="U163" s="201" t="str">
        <f>VLOOKUP(S163,'SALE HSN MASTER '!$A$6:$D$20,3,FALSE)</f>
        <v>NOS-NUMBERS</v>
      </c>
      <c r="V163" s="201" t="str">
        <f>VLOOKUP(S163,'SALE HSN MASTER '!$A$6:$D$20,4,FALSE)</f>
        <v>Goods</v>
      </c>
      <c r="W163" s="401">
        <v>204</v>
      </c>
    </row>
    <row r="164" spans="1:23" ht="14.4" x14ac:dyDescent="0.3">
      <c r="A164" s="423" t="s">
        <v>23</v>
      </c>
      <c r="B164" s="199" t="str">
        <f>VLOOKUP(A164,'SALE PARTY MASTR '!$B$5:$G$280,2,FALSE)</f>
        <v>Varroc Polymers Pvt.ltd.</v>
      </c>
      <c r="C164" s="397" t="s">
        <v>1137</v>
      </c>
      <c r="D164" s="398">
        <v>43144</v>
      </c>
      <c r="E164" s="320">
        <f t="shared" si="13"/>
        <v>21086.8992</v>
      </c>
      <c r="F164" s="321" t="str">
        <f>VLOOKUP(A164,'SALE PARTY MASTR '!$B$5:$I$105,3,FALSE)</f>
        <v>27-Maharashatra</v>
      </c>
      <c r="G164" s="321" t="str">
        <f>VLOOKUP(A164,'SALE PARTY MASTR '!$B$5:$I$105,4,FALSE)</f>
        <v>N</v>
      </c>
      <c r="H164" s="321" t="str">
        <f>VLOOKUP(A164,'SALE PARTY MASTR '!$B$5:$I$105,5,FALSE)</f>
        <v>Regular</v>
      </c>
      <c r="I164" s="321">
        <f>VLOOKUP(A164,'SALE PARTY MASTR '!$B$5:$I$105,6,FALSE)</f>
        <v>0</v>
      </c>
      <c r="J164" s="262">
        <f>VLOOKUP(S164,'SALE HSN MASTER '!$A$6:$E$20,5,FALSE)</f>
        <v>28</v>
      </c>
      <c r="K164" s="400">
        <v>16474.14</v>
      </c>
      <c r="L164" s="184"/>
      <c r="M164" s="322">
        <f t="shared" si="14"/>
        <v>0</v>
      </c>
      <c r="N164" s="322">
        <f t="shared" si="11"/>
        <v>2306.3796000000002</v>
      </c>
      <c r="O164" s="322">
        <f t="shared" si="12"/>
        <v>2306.3796000000002</v>
      </c>
      <c r="P164" s="199">
        <f>VLOOKUP(A164,'SALE PARTY MASTR '!$B$5:$I$105,7,FALSE)</f>
        <v>2</v>
      </c>
      <c r="Q164" s="199" t="str">
        <f>VLOOKUP(A164,'SALE PARTY MASTR '!$B$5:$I$105,8,FALSE)</f>
        <v>Local Sale</v>
      </c>
      <c r="R164" s="199" t="s">
        <v>897</v>
      </c>
      <c r="S164" s="401">
        <v>87081090</v>
      </c>
      <c r="T164" s="201" t="str">
        <f>VLOOKUP(S164,'SALE HSN MASTER '!$A$6:$D$20,2,FALSE)</f>
        <v>Parts &amp; Accessories Of Motor Vehicles Other</v>
      </c>
      <c r="U164" s="201" t="str">
        <f>VLOOKUP(S164,'SALE HSN MASTER '!$A$6:$D$20,3,FALSE)</f>
        <v>NOS-NUMBERS</v>
      </c>
      <c r="V164" s="201" t="str">
        <f>VLOOKUP(S164,'SALE HSN MASTER '!$A$6:$D$20,4,FALSE)</f>
        <v>Goods</v>
      </c>
      <c r="W164" s="401">
        <v>228</v>
      </c>
    </row>
    <row r="165" spans="1:23" ht="14.4" x14ac:dyDescent="0.3">
      <c r="A165" s="423" t="s">
        <v>23</v>
      </c>
      <c r="B165" s="199" t="str">
        <f>VLOOKUP(A165,'SALE PARTY MASTR '!$B$5:$G$280,2,FALSE)</f>
        <v>Varroc Polymers Pvt.ltd.</v>
      </c>
      <c r="C165" s="397" t="s">
        <v>1138</v>
      </c>
      <c r="D165" s="398">
        <v>43144</v>
      </c>
      <c r="E165" s="320">
        <f t="shared" si="13"/>
        <v>27697.919999999998</v>
      </c>
      <c r="F165" s="321" t="str">
        <f>VLOOKUP(A165,'SALE PARTY MASTR '!$B$5:$I$105,3,FALSE)</f>
        <v>27-Maharashatra</v>
      </c>
      <c r="G165" s="321" t="str">
        <f>VLOOKUP(A165,'SALE PARTY MASTR '!$B$5:$I$105,4,FALSE)</f>
        <v>N</v>
      </c>
      <c r="H165" s="321" t="str">
        <f>VLOOKUP(A165,'SALE PARTY MASTR '!$B$5:$I$105,5,FALSE)</f>
        <v>Regular</v>
      </c>
      <c r="I165" s="321">
        <f>VLOOKUP(A165,'SALE PARTY MASTR '!$B$5:$I$105,6,FALSE)</f>
        <v>0</v>
      </c>
      <c r="J165" s="262">
        <f>VLOOKUP(S165,'SALE HSN MASTER '!$A$6:$E$20,5,FALSE)</f>
        <v>28</v>
      </c>
      <c r="K165" s="400">
        <v>21639</v>
      </c>
      <c r="L165" s="184"/>
      <c r="M165" s="322">
        <f t="shared" si="14"/>
        <v>0</v>
      </c>
      <c r="N165" s="322">
        <f t="shared" si="11"/>
        <v>3029.4600000000005</v>
      </c>
      <c r="O165" s="322">
        <f t="shared" si="12"/>
        <v>3029.4600000000005</v>
      </c>
      <c r="P165" s="199">
        <f>VLOOKUP(A165,'SALE PARTY MASTR '!$B$5:$I$105,7,FALSE)</f>
        <v>2</v>
      </c>
      <c r="Q165" s="199" t="str">
        <f>VLOOKUP(A165,'SALE PARTY MASTR '!$B$5:$I$105,8,FALSE)</f>
        <v>Local Sale</v>
      </c>
      <c r="R165" s="199" t="s">
        <v>897</v>
      </c>
      <c r="S165" s="401">
        <v>87141090</v>
      </c>
      <c r="T165" s="201" t="str">
        <f>VLOOKUP(S165,'SALE HSN MASTER '!$A$6:$D$20,2,FALSE)</f>
        <v>Parts &amp; Accessories Of Motor Vehicles Other</v>
      </c>
      <c r="U165" s="201" t="str">
        <f>VLOOKUP(S165,'SALE HSN MASTER '!$A$6:$D$20,3,FALSE)</f>
        <v>NOS-NUMBERS</v>
      </c>
      <c r="V165" s="201" t="str">
        <f>VLOOKUP(S165,'SALE HSN MASTER '!$A$6:$D$20,4,FALSE)</f>
        <v>Goods</v>
      </c>
      <c r="W165" s="401">
        <v>396</v>
      </c>
    </row>
    <row r="166" spans="1:23" ht="14.4" x14ac:dyDescent="0.3">
      <c r="A166" s="423" t="s">
        <v>28</v>
      </c>
      <c r="B166" s="199" t="str">
        <f>VLOOKUP(A166,'SALE PARTY MASTR '!$B$5:$G$280,2,FALSE)</f>
        <v>Lumax Auto Technologies Ltd.</v>
      </c>
      <c r="C166" s="397" t="s">
        <v>1139</v>
      </c>
      <c r="D166" s="398">
        <v>43144</v>
      </c>
      <c r="E166" s="320">
        <f t="shared" si="13"/>
        <v>60083.074800000002</v>
      </c>
      <c r="F166" s="321" t="str">
        <f>VLOOKUP(A166,'SALE PARTY MASTR '!$B$5:$I$105,3,FALSE)</f>
        <v>27-Maharashatra</v>
      </c>
      <c r="G166" s="321" t="str">
        <f>VLOOKUP(A166,'SALE PARTY MASTR '!$B$5:$I$105,4,FALSE)</f>
        <v>N</v>
      </c>
      <c r="H166" s="321" t="str">
        <f>VLOOKUP(A166,'SALE PARTY MASTR '!$B$5:$I$105,5,FALSE)</f>
        <v>Regular</v>
      </c>
      <c r="I166" s="321">
        <f>VLOOKUP(A166,'SALE PARTY MASTR '!$B$5:$I$105,6,FALSE)</f>
        <v>0</v>
      </c>
      <c r="J166" s="262">
        <f>VLOOKUP(S166,'SALE HSN MASTER '!$A$6:$E$20,5,FALSE)</f>
        <v>18</v>
      </c>
      <c r="K166" s="400">
        <v>50917.86</v>
      </c>
      <c r="L166" s="184"/>
      <c r="M166" s="322">
        <f t="shared" si="14"/>
        <v>0</v>
      </c>
      <c r="N166" s="322">
        <f t="shared" si="11"/>
        <v>4582.6073999999999</v>
      </c>
      <c r="O166" s="322">
        <f t="shared" si="12"/>
        <v>4582.6073999999999</v>
      </c>
      <c r="P166" s="199">
        <f>VLOOKUP(A166,'SALE PARTY MASTR '!$B$5:$I$105,7,FALSE)</f>
        <v>2</v>
      </c>
      <c r="Q166" s="199" t="str">
        <f>VLOOKUP(A166,'SALE PARTY MASTR '!$B$5:$I$105,8,FALSE)</f>
        <v>Local Sale</v>
      </c>
      <c r="R166" s="199" t="s">
        <v>894</v>
      </c>
      <c r="S166" s="401">
        <v>85129000</v>
      </c>
      <c r="T166" s="201" t="str">
        <f>VLOOKUP(S166,'SALE HSN MASTER '!$A$6:$D$20,2,FALSE)</f>
        <v>Parts &amp; Accessories Of Motor Vehicles Other</v>
      </c>
      <c r="U166" s="201" t="str">
        <f>VLOOKUP(S166,'SALE HSN MASTER '!$A$6:$D$20,3,FALSE)</f>
        <v>NOS-NUMBERS</v>
      </c>
      <c r="V166" s="201" t="str">
        <f>VLOOKUP(S166,'SALE HSN MASTER '!$A$6:$D$20,4,FALSE)</f>
        <v>Goods</v>
      </c>
      <c r="W166" s="401">
        <v>414</v>
      </c>
    </row>
    <row r="167" spans="1:23" ht="14.4" x14ac:dyDescent="0.3">
      <c r="A167" s="423" t="s">
        <v>27</v>
      </c>
      <c r="B167" s="199" t="str">
        <f>VLOOKUP(A167,'SALE PARTY MASTR '!$B$5:$G$280,2,FALSE)</f>
        <v>Rinder India Pvt Ltd.</v>
      </c>
      <c r="C167" s="397" t="s">
        <v>1140</v>
      </c>
      <c r="D167" s="398">
        <v>43144</v>
      </c>
      <c r="E167" s="320">
        <f t="shared" si="13"/>
        <v>35400</v>
      </c>
      <c r="F167" s="321" t="str">
        <f>VLOOKUP(A167,'SALE PARTY MASTR '!$B$5:$I$105,3,FALSE)</f>
        <v>27-Maharashatra</v>
      </c>
      <c r="G167" s="321" t="str">
        <f>VLOOKUP(A167,'SALE PARTY MASTR '!$B$5:$I$105,4,FALSE)</f>
        <v>N</v>
      </c>
      <c r="H167" s="321" t="str">
        <f>VLOOKUP(A167,'SALE PARTY MASTR '!$B$5:$I$105,5,FALSE)</f>
        <v>Regular</v>
      </c>
      <c r="I167" s="321">
        <f>VLOOKUP(A167,'SALE PARTY MASTR '!$B$5:$I$105,6,FALSE)</f>
        <v>0</v>
      </c>
      <c r="J167" s="262">
        <f>VLOOKUP(S167,'SALE HSN MASTER '!$A$6:$E$20,5,FALSE)</f>
        <v>18</v>
      </c>
      <c r="K167" s="400">
        <v>30000</v>
      </c>
      <c r="L167" s="184"/>
      <c r="M167" s="322">
        <f t="shared" si="14"/>
        <v>0</v>
      </c>
      <c r="N167" s="322">
        <f t="shared" si="11"/>
        <v>2700</v>
      </c>
      <c r="O167" s="322">
        <f t="shared" si="12"/>
        <v>2700</v>
      </c>
      <c r="P167" s="199">
        <f>VLOOKUP(A167,'SALE PARTY MASTR '!$B$5:$I$105,7,FALSE)</f>
        <v>2</v>
      </c>
      <c r="Q167" s="199" t="str">
        <f>VLOOKUP(A167,'SALE PARTY MASTR '!$B$5:$I$105,8,FALSE)</f>
        <v>Local Sale</v>
      </c>
      <c r="R167" s="199" t="s">
        <v>894</v>
      </c>
      <c r="S167" s="401">
        <v>85129000</v>
      </c>
      <c r="T167" s="201" t="str">
        <f>VLOOKUP(S167,'SALE HSN MASTER '!$A$6:$D$20,2,FALSE)</f>
        <v>Parts &amp; Accessories Of Motor Vehicles Other</v>
      </c>
      <c r="U167" s="201" t="str">
        <f>VLOOKUP(S167,'SALE HSN MASTER '!$A$6:$D$20,3,FALSE)</f>
        <v>NOS-NUMBERS</v>
      </c>
      <c r="V167" s="201" t="str">
        <f>VLOOKUP(S167,'SALE HSN MASTER '!$A$6:$D$20,4,FALSE)</f>
        <v>Goods</v>
      </c>
      <c r="W167" s="401">
        <v>1200</v>
      </c>
    </row>
    <row r="168" spans="1:23" ht="14.4" x14ac:dyDescent="0.3">
      <c r="A168" s="423" t="s">
        <v>23</v>
      </c>
      <c r="B168" s="199" t="str">
        <f>VLOOKUP(A168,'SALE PARTY MASTR '!$B$5:$G$280,2,FALSE)</f>
        <v>Varroc Polymers Pvt.ltd.</v>
      </c>
      <c r="C168" s="397" t="s">
        <v>1141</v>
      </c>
      <c r="D168" s="398">
        <v>43144</v>
      </c>
      <c r="E168" s="320">
        <f t="shared" si="13"/>
        <v>37364.505600000004</v>
      </c>
      <c r="F168" s="321" t="str">
        <f>VLOOKUP(A168,'SALE PARTY MASTR '!$B$5:$I$105,3,FALSE)</f>
        <v>27-Maharashatra</v>
      </c>
      <c r="G168" s="321" t="str">
        <f>VLOOKUP(A168,'SALE PARTY MASTR '!$B$5:$I$105,4,FALSE)</f>
        <v>N</v>
      </c>
      <c r="H168" s="321" t="str">
        <f>VLOOKUP(A168,'SALE PARTY MASTR '!$B$5:$I$105,5,FALSE)</f>
        <v>Regular</v>
      </c>
      <c r="I168" s="321">
        <f>VLOOKUP(A168,'SALE PARTY MASTR '!$B$5:$I$105,6,FALSE)</f>
        <v>0</v>
      </c>
      <c r="J168" s="262">
        <f>VLOOKUP(S168,'SALE HSN MASTER '!$A$6:$E$20,5,FALSE)</f>
        <v>28</v>
      </c>
      <c r="K168" s="400">
        <v>29191.02</v>
      </c>
      <c r="L168" s="184"/>
      <c r="M168" s="322">
        <f t="shared" si="14"/>
        <v>0</v>
      </c>
      <c r="N168" s="322">
        <f t="shared" si="11"/>
        <v>4086.7428000000004</v>
      </c>
      <c r="O168" s="322">
        <f t="shared" si="12"/>
        <v>4086.7428000000004</v>
      </c>
      <c r="P168" s="199">
        <f>VLOOKUP(A168,'SALE PARTY MASTR '!$B$5:$I$105,7,FALSE)</f>
        <v>2</v>
      </c>
      <c r="Q168" s="199" t="str">
        <f>VLOOKUP(A168,'SALE PARTY MASTR '!$B$5:$I$105,8,FALSE)</f>
        <v>Local Sale</v>
      </c>
      <c r="R168" s="199" t="s">
        <v>897</v>
      </c>
      <c r="S168" s="401">
        <v>87081090</v>
      </c>
      <c r="T168" s="201" t="str">
        <f>VLOOKUP(S168,'SALE HSN MASTER '!$A$6:$D$20,2,FALSE)</f>
        <v>Parts &amp; Accessories Of Motor Vehicles Other</v>
      </c>
      <c r="U168" s="201" t="str">
        <f>VLOOKUP(S168,'SALE HSN MASTER '!$A$6:$D$20,3,FALSE)</f>
        <v>NOS-NUMBERS</v>
      </c>
      <c r="V168" s="201" t="str">
        <f>VLOOKUP(S168,'SALE HSN MASTER '!$A$6:$D$20,4,FALSE)</f>
        <v>Goods</v>
      </c>
      <c r="W168" s="401">
        <v>404</v>
      </c>
    </row>
    <row r="169" spans="1:23" ht="14.4" x14ac:dyDescent="0.3">
      <c r="A169" s="423" t="s">
        <v>23</v>
      </c>
      <c r="B169" s="199" t="str">
        <f>VLOOKUP(A169,'SALE PARTY MASTR '!$B$5:$G$280,2,FALSE)</f>
        <v>Varroc Polymers Pvt.ltd.</v>
      </c>
      <c r="C169" s="397" t="s">
        <v>1142</v>
      </c>
      <c r="D169" s="398">
        <v>43144</v>
      </c>
      <c r="E169" s="320">
        <f t="shared" si="13"/>
        <v>37364.505600000004</v>
      </c>
      <c r="F169" s="321" t="str">
        <f>VLOOKUP(A169,'SALE PARTY MASTR '!$B$5:$I$105,3,FALSE)</f>
        <v>27-Maharashatra</v>
      </c>
      <c r="G169" s="321" t="str">
        <f>VLOOKUP(A169,'SALE PARTY MASTR '!$B$5:$I$105,4,FALSE)</f>
        <v>N</v>
      </c>
      <c r="H169" s="321" t="str">
        <f>VLOOKUP(A169,'SALE PARTY MASTR '!$B$5:$I$105,5,FALSE)</f>
        <v>Regular</v>
      </c>
      <c r="I169" s="321">
        <f>VLOOKUP(A169,'SALE PARTY MASTR '!$B$5:$I$105,6,FALSE)</f>
        <v>0</v>
      </c>
      <c r="J169" s="262">
        <f>VLOOKUP(S169,'SALE HSN MASTER '!$A$6:$E$20,5,FALSE)</f>
        <v>28</v>
      </c>
      <c r="K169" s="400">
        <v>29191.02</v>
      </c>
      <c r="L169" s="184"/>
      <c r="M169" s="322">
        <f t="shared" si="14"/>
        <v>0</v>
      </c>
      <c r="N169" s="322">
        <f t="shared" si="11"/>
        <v>4086.7428000000004</v>
      </c>
      <c r="O169" s="322">
        <f t="shared" si="12"/>
        <v>4086.7428000000004</v>
      </c>
      <c r="P169" s="199">
        <f>VLOOKUP(A169,'SALE PARTY MASTR '!$B$5:$I$105,7,FALSE)</f>
        <v>2</v>
      </c>
      <c r="Q169" s="199" t="str">
        <f>VLOOKUP(A169,'SALE PARTY MASTR '!$B$5:$I$105,8,FALSE)</f>
        <v>Local Sale</v>
      </c>
      <c r="R169" s="199" t="s">
        <v>897</v>
      </c>
      <c r="S169" s="401">
        <v>87081090</v>
      </c>
      <c r="T169" s="201" t="str">
        <f>VLOOKUP(S169,'SALE HSN MASTER '!$A$6:$D$20,2,FALSE)</f>
        <v>Parts &amp; Accessories Of Motor Vehicles Other</v>
      </c>
      <c r="U169" s="201" t="str">
        <f>VLOOKUP(S169,'SALE HSN MASTER '!$A$6:$D$20,3,FALSE)</f>
        <v>NOS-NUMBERS</v>
      </c>
      <c r="V169" s="201" t="str">
        <f>VLOOKUP(S169,'SALE HSN MASTER '!$A$6:$D$20,4,FALSE)</f>
        <v>Goods</v>
      </c>
      <c r="W169" s="401">
        <v>404</v>
      </c>
    </row>
    <row r="170" spans="1:23" ht="14.4" x14ac:dyDescent="0.3">
      <c r="A170" s="423" t="s">
        <v>31</v>
      </c>
      <c r="B170" s="199" t="str">
        <f>VLOOKUP(A170,'SALE PARTY MASTR '!$B$5:$G$280,2,FALSE)</f>
        <v>Mittal Precision Auto Comps Pvt Ltd,</v>
      </c>
      <c r="C170" s="397" t="s">
        <v>1143</v>
      </c>
      <c r="D170" s="398">
        <v>43145</v>
      </c>
      <c r="E170" s="320">
        <f t="shared" si="13"/>
        <v>6811.243199999999</v>
      </c>
      <c r="F170" s="321" t="str">
        <f>VLOOKUP(A170,'SALE PARTY MASTR '!$B$5:$I$105,3,FALSE)</f>
        <v>27-Maharashatra</v>
      </c>
      <c r="G170" s="321" t="str">
        <f>VLOOKUP(A170,'SALE PARTY MASTR '!$B$5:$I$105,4,FALSE)</f>
        <v>N</v>
      </c>
      <c r="H170" s="321" t="str">
        <f>VLOOKUP(A170,'SALE PARTY MASTR '!$B$5:$I$105,5,FALSE)</f>
        <v>Regular</v>
      </c>
      <c r="I170" s="321">
        <f>VLOOKUP(A170,'SALE PARTY MASTR '!$B$5:$I$105,6,FALSE)</f>
        <v>0</v>
      </c>
      <c r="J170" s="262">
        <f>VLOOKUP(S170,'SALE HSN MASTER '!$A$6:$E$20,5,FALSE)</f>
        <v>18</v>
      </c>
      <c r="K170" s="400">
        <v>5772.24</v>
      </c>
      <c r="L170" s="184"/>
      <c r="M170" s="322">
        <f t="shared" si="14"/>
        <v>0</v>
      </c>
      <c r="N170" s="322">
        <f t="shared" si="11"/>
        <v>519.50159999999994</v>
      </c>
      <c r="O170" s="322">
        <f t="shared" si="12"/>
        <v>519.50159999999994</v>
      </c>
      <c r="P170" s="199">
        <f>VLOOKUP(A170,'SALE PARTY MASTR '!$B$5:$I$105,7,FALSE)</f>
        <v>2</v>
      </c>
      <c r="Q170" s="199" t="str">
        <f>VLOOKUP(A170,'SALE PARTY MASTR '!$B$5:$I$105,8,FALSE)</f>
        <v>Local Sale</v>
      </c>
      <c r="R170" s="199" t="s">
        <v>894</v>
      </c>
      <c r="S170" s="401">
        <v>998898</v>
      </c>
      <c r="T170" s="201" t="str">
        <f>VLOOKUP(S170,'SALE HSN MASTER '!$A$6:$D$20,2,FALSE)</f>
        <v>Parts &amp; Accessories Of Motor Vehicles Other</v>
      </c>
      <c r="U170" s="201" t="str">
        <f>VLOOKUP(S170,'SALE HSN MASTER '!$A$6:$D$20,3,FALSE)</f>
        <v>NOS-NUMBERS</v>
      </c>
      <c r="V170" s="201" t="str">
        <f>VLOOKUP(S170,'SALE HSN MASTER '!$A$6:$D$20,4,FALSE)</f>
        <v>Service</v>
      </c>
      <c r="W170" s="401">
        <v>12</v>
      </c>
    </row>
    <row r="171" spans="1:23" ht="14.4" x14ac:dyDescent="0.3">
      <c r="A171" s="423" t="s">
        <v>31</v>
      </c>
      <c r="B171" s="199" t="str">
        <f>VLOOKUP(A171,'SALE PARTY MASTR '!$B$5:$G$280,2,FALSE)</f>
        <v>Mittal Precision Auto Comps Pvt Ltd,</v>
      </c>
      <c r="C171" s="397" t="s">
        <v>1144</v>
      </c>
      <c r="D171" s="398">
        <v>43145</v>
      </c>
      <c r="E171" s="320">
        <f t="shared" si="13"/>
        <v>6811.243199999999</v>
      </c>
      <c r="F171" s="321" t="str">
        <f>VLOOKUP(A171,'SALE PARTY MASTR '!$B$5:$I$105,3,FALSE)</f>
        <v>27-Maharashatra</v>
      </c>
      <c r="G171" s="321" t="str">
        <f>VLOOKUP(A171,'SALE PARTY MASTR '!$B$5:$I$105,4,FALSE)</f>
        <v>N</v>
      </c>
      <c r="H171" s="321" t="str">
        <f>VLOOKUP(A171,'SALE PARTY MASTR '!$B$5:$I$105,5,FALSE)</f>
        <v>Regular</v>
      </c>
      <c r="I171" s="321">
        <f>VLOOKUP(A171,'SALE PARTY MASTR '!$B$5:$I$105,6,FALSE)</f>
        <v>0</v>
      </c>
      <c r="J171" s="262">
        <f>VLOOKUP(S171,'SALE HSN MASTER '!$A$6:$E$20,5,FALSE)</f>
        <v>18</v>
      </c>
      <c r="K171" s="400">
        <v>5772.24</v>
      </c>
      <c r="L171" s="184"/>
      <c r="M171" s="322">
        <f t="shared" si="14"/>
        <v>0</v>
      </c>
      <c r="N171" s="322">
        <f t="shared" si="11"/>
        <v>519.50159999999994</v>
      </c>
      <c r="O171" s="322">
        <f t="shared" si="12"/>
        <v>519.50159999999994</v>
      </c>
      <c r="P171" s="199">
        <f>VLOOKUP(A171,'SALE PARTY MASTR '!$B$5:$I$105,7,FALSE)</f>
        <v>2</v>
      </c>
      <c r="Q171" s="199" t="str">
        <f>VLOOKUP(A171,'SALE PARTY MASTR '!$B$5:$I$105,8,FALSE)</f>
        <v>Local Sale</v>
      </c>
      <c r="R171" s="199" t="s">
        <v>894</v>
      </c>
      <c r="S171" s="401">
        <v>998898</v>
      </c>
      <c r="T171" s="201" t="str">
        <f>VLOOKUP(S171,'SALE HSN MASTER '!$A$6:$D$20,2,FALSE)</f>
        <v>Parts &amp; Accessories Of Motor Vehicles Other</v>
      </c>
      <c r="U171" s="201" t="str">
        <f>VLOOKUP(S171,'SALE HSN MASTER '!$A$6:$D$20,3,FALSE)</f>
        <v>NOS-NUMBERS</v>
      </c>
      <c r="V171" s="201" t="str">
        <f>VLOOKUP(S171,'SALE HSN MASTER '!$A$6:$D$20,4,FALSE)</f>
        <v>Service</v>
      </c>
      <c r="W171" s="401">
        <v>12</v>
      </c>
    </row>
    <row r="172" spans="1:23" ht="14.4" x14ac:dyDescent="0.3">
      <c r="A172" s="423" t="s">
        <v>23</v>
      </c>
      <c r="B172" s="199" t="str">
        <f>VLOOKUP(A172,'SALE PARTY MASTR '!$B$5:$G$280,2,FALSE)</f>
        <v>Varroc Polymers Pvt.ltd.</v>
      </c>
      <c r="C172" s="397" t="s">
        <v>1145</v>
      </c>
      <c r="D172" s="398">
        <v>43145</v>
      </c>
      <c r="E172" s="320">
        <f t="shared" si="13"/>
        <v>36624.614399999999</v>
      </c>
      <c r="F172" s="321" t="str">
        <f>VLOOKUP(A172,'SALE PARTY MASTR '!$B$5:$I$105,3,FALSE)</f>
        <v>27-Maharashatra</v>
      </c>
      <c r="G172" s="321" t="str">
        <f>VLOOKUP(A172,'SALE PARTY MASTR '!$B$5:$I$105,4,FALSE)</f>
        <v>N</v>
      </c>
      <c r="H172" s="321" t="str">
        <f>VLOOKUP(A172,'SALE PARTY MASTR '!$B$5:$I$105,5,FALSE)</f>
        <v>Regular</v>
      </c>
      <c r="I172" s="321">
        <f>VLOOKUP(A172,'SALE PARTY MASTR '!$B$5:$I$105,6,FALSE)</f>
        <v>0</v>
      </c>
      <c r="J172" s="262">
        <f>VLOOKUP(S172,'SALE HSN MASTER '!$A$6:$E$20,5,FALSE)</f>
        <v>28</v>
      </c>
      <c r="K172" s="400">
        <v>28612.98</v>
      </c>
      <c r="L172" s="184"/>
      <c r="M172" s="322">
        <f t="shared" si="14"/>
        <v>0</v>
      </c>
      <c r="N172" s="322">
        <f t="shared" si="11"/>
        <v>4005.8172000000004</v>
      </c>
      <c r="O172" s="322">
        <f t="shared" si="12"/>
        <v>4005.8172000000004</v>
      </c>
      <c r="P172" s="199">
        <f>VLOOKUP(A172,'SALE PARTY MASTR '!$B$5:$I$105,7,FALSE)</f>
        <v>2</v>
      </c>
      <c r="Q172" s="199" t="str">
        <f>VLOOKUP(A172,'SALE PARTY MASTR '!$B$5:$I$105,8,FALSE)</f>
        <v>Local Sale</v>
      </c>
      <c r="R172" s="199" t="s">
        <v>897</v>
      </c>
      <c r="S172" s="401">
        <v>87081090</v>
      </c>
      <c r="T172" s="201" t="str">
        <f>VLOOKUP(S172,'SALE HSN MASTER '!$A$6:$D$20,2,FALSE)</f>
        <v>Parts &amp; Accessories Of Motor Vehicles Other</v>
      </c>
      <c r="U172" s="201" t="str">
        <f>VLOOKUP(S172,'SALE HSN MASTER '!$A$6:$D$20,3,FALSE)</f>
        <v>NOS-NUMBERS</v>
      </c>
      <c r="V172" s="201" t="str">
        <f>VLOOKUP(S172,'SALE HSN MASTER '!$A$6:$D$20,4,FALSE)</f>
        <v>Goods</v>
      </c>
      <c r="W172" s="401">
        <v>396</v>
      </c>
    </row>
    <row r="173" spans="1:23" ht="14.4" x14ac:dyDescent="0.3">
      <c r="A173" s="423" t="s">
        <v>23</v>
      </c>
      <c r="B173" s="199" t="str">
        <f>VLOOKUP(A173,'SALE PARTY MASTR '!$B$5:$G$280,2,FALSE)</f>
        <v>Varroc Polymers Pvt.ltd.</v>
      </c>
      <c r="C173" s="397" t="s">
        <v>1146</v>
      </c>
      <c r="D173" s="398">
        <v>43145</v>
      </c>
      <c r="E173" s="320">
        <f t="shared" si="13"/>
        <v>21522.816000000003</v>
      </c>
      <c r="F173" s="321" t="str">
        <f>VLOOKUP(A173,'SALE PARTY MASTR '!$B$5:$I$105,3,FALSE)</f>
        <v>27-Maharashatra</v>
      </c>
      <c r="G173" s="321" t="str">
        <f>VLOOKUP(A173,'SALE PARTY MASTR '!$B$5:$I$105,4,FALSE)</f>
        <v>N</v>
      </c>
      <c r="H173" s="321" t="str">
        <f>VLOOKUP(A173,'SALE PARTY MASTR '!$B$5:$I$105,5,FALSE)</f>
        <v>Regular</v>
      </c>
      <c r="I173" s="321">
        <f>VLOOKUP(A173,'SALE PARTY MASTR '!$B$5:$I$105,6,FALSE)</f>
        <v>0</v>
      </c>
      <c r="J173" s="262">
        <f>VLOOKUP(S173,'SALE HSN MASTER '!$A$6:$E$20,5,FALSE)</f>
        <v>28</v>
      </c>
      <c r="K173" s="400">
        <v>16814.7</v>
      </c>
      <c r="L173" s="184"/>
      <c r="M173" s="322">
        <f t="shared" si="14"/>
        <v>0</v>
      </c>
      <c r="N173" s="322">
        <f t="shared" si="11"/>
        <v>2354.0580000000004</v>
      </c>
      <c r="O173" s="322">
        <f t="shared" si="12"/>
        <v>2354.0580000000004</v>
      </c>
      <c r="P173" s="199">
        <f>VLOOKUP(A173,'SALE PARTY MASTR '!$B$5:$I$105,7,FALSE)</f>
        <v>2</v>
      </c>
      <c r="Q173" s="199" t="str">
        <f>VLOOKUP(A173,'SALE PARTY MASTR '!$B$5:$I$105,8,FALSE)</f>
        <v>Local Sale</v>
      </c>
      <c r="R173" s="199" t="s">
        <v>897</v>
      </c>
      <c r="S173" s="401">
        <v>87081090</v>
      </c>
      <c r="T173" s="201" t="str">
        <f>VLOOKUP(S173,'SALE HSN MASTER '!$A$6:$D$20,2,FALSE)</f>
        <v>Parts &amp; Accessories Of Motor Vehicles Other</v>
      </c>
      <c r="U173" s="201" t="str">
        <f>VLOOKUP(S173,'SALE HSN MASTER '!$A$6:$D$20,3,FALSE)</f>
        <v>NOS-NUMBERS</v>
      </c>
      <c r="V173" s="201" t="str">
        <f>VLOOKUP(S173,'SALE HSN MASTER '!$A$6:$D$20,4,FALSE)</f>
        <v>Goods</v>
      </c>
      <c r="W173" s="401">
        <v>204</v>
      </c>
    </row>
    <row r="174" spans="1:23" ht="14.4" x14ac:dyDescent="0.3">
      <c r="A174" s="423" t="s">
        <v>23</v>
      </c>
      <c r="B174" s="199" t="str">
        <f>VLOOKUP(A174,'SALE PARTY MASTR '!$B$5:$G$280,2,FALSE)</f>
        <v>Varroc Polymers Pvt.ltd.</v>
      </c>
      <c r="C174" s="397" t="s">
        <v>1147</v>
      </c>
      <c r="D174" s="398">
        <v>43145</v>
      </c>
      <c r="E174" s="320">
        <f t="shared" si="13"/>
        <v>18867.225600000002</v>
      </c>
      <c r="F174" s="321" t="str">
        <f>VLOOKUP(A174,'SALE PARTY MASTR '!$B$5:$I$105,3,FALSE)</f>
        <v>27-Maharashatra</v>
      </c>
      <c r="G174" s="321" t="str">
        <f>VLOOKUP(A174,'SALE PARTY MASTR '!$B$5:$I$105,4,FALSE)</f>
        <v>N</v>
      </c>
      <c r="H174" s="321" t="str">
        <f>VLOOKUP(A174,'SALE PARTY MASTR '!$B$5:$I$105,5,FALSE)</f>
        <v>Regular</v>
      </c>
      <c r="I174" s="321">
        <f>VLOOKUP(A174,'SALE PARTY MASTR '!$B$5:$I$105,6,FALSE)</f>
        <v>0</v>
      </c>
      <c r="J174" s="262">
        <f>VLOOKUP(S174,'SALE HSN MASTER '!$A$6:$E$20,5,FALSE)</f>
        <v>28</v>
      </c>
      <c r="K174" s="400">
        <v>14740.02</v>
      </c>
      <c r="L174" s="184"/>
      <c r="M174" s="322">
        <f t="shared" si="14"/>
        <v>0</v>
      </c>
      <c r="N174" s="322">
        <f t="shared" si="11"/>
        <v>2063.6028000000001</v>
      </c>
      <c r="O174" s="322">
        <f t="shared" si="12"/>
        <v>2063.6028000000001</v>
      </c>
      <c r="P174" s="199">
        <f>VLOOKUP(A174,'SALE PARTY MASTR '!$B$5:$I$105,7,FALSE)</f>
        <v>2</v>
      </c>
      <c r="Q174" s="199" t="str">
        <f>VLOOKUP(A174,'SALE PARTY MASTR '!$B$5:$I$105,8,FALSE)</f>
        <v>Local Sale</v>
      </c>
      <c r="R174" s="199" t="s">
        <v>897</v>
      </c>
      <c r="S174" s="401">
        <v>87081090</v>
      </c>
      <c r="T174" s="201" t="str">
        <f>VLOOKUP(S174,'SALE HSN MASTER '!$A$6:$D$20,2,FALSE)</f>
        <v>Parts &amp; Accessories Of Motor Vehicles Other</v>
      </c>
      <c r="U174" s="201" t="str">
        <f>VLOOKUP(S174,'SALE HSN MASTER '!$A$6:$D$20,3,FALSE)</f>
        <v>NOS-NUMBERS</v>
      </c>
      <c r="V174" s="201" t="str">
        <f>VLOOKUP(S174,'SALE HSN MASTER '!$A$6:$D$20,4,FALSE)</f>
        <v>Goods</v>
      </c>
      <c r="W174" s="401">
        <v>204</v>
      </c>
    </row>
    <row r="175" spans="1:23" ht="14.4" x14ac:dyDescent="0.3">
      <c r="A175" s="423" t="s">
        <v>23</v>
      </c>
      <c r="B175" s="199" t="str">
        <f>VLOOKUP(A175,'SALE PARTY MASTR '!$B$5:$G$280,2,FALSE)</f>
        <v>Varroc Polymers Pvt.ltd.</v>
      </c>
      <c r="C175" s="397" t="s">
        <v>1148</v>
      </c>
      <c r="D175" s="398">
        <v>43145</v>
      </c>
      <c r="E175" s="320">
        <f t="shared" si="13"/>
        <v>16647.552</v>
      </c>
      <c r="F175" s="321" t="str">
        <f>VLOOKUP(A175,'SALE PARTY MASTR '!$B$5:$I$105,3,FALSE)</f>
        <v>27-Maharashatra</v>
      </c>
      <c r="G175" s="321" t="str">
        <f>VLOOKUP(A175,'SALE PARTY MASTR '!$B$5:$I$105,4,FALSE)</f>
        <v>N</v>
      </c>
      <c r="H175" s="321" t="str">
        <f>VLOOKUP(A175,'SALE PARTY MASTR '!$B$5:$I$105,5,FALSE)</f>
        <v>Regular</v>
      </c>
      <c r="I175" s="321">
        <f>VLOOKUP(A175,'SALE PARTY MASTR '!$B$5:$I$105,6,FALSE)</f>
        <v>0</v>
      </c>
      <c r="J175" s="262">
        <f>VLOOKUP(S175,'SALE HSN MASTER '!$A$6:$E$20,5,FALSE)</f>
        <v>28</v>
      </c>
      <c r="K175" s="400">
        <v>13005.9</v>
      </c>
      <c r="L175" s="184"/>
      <c r="M175" s="322">
        <f t="shared" si="14"/>
        <v>0</v>
      </c>
      <c r="N175" s="322">
        <f t="shared" si="11"/>
        <v>1820.826</v>
      </c>
      <c r="O175" s="322">
        <f t="shared" si="12"/>
        <v>1820.826</v>
      </c>
      <c r="P175" s="199">
        <f>VLOOKUP(A175,'SALE PARTY MASTR '!$B$5:$I$105,7,FALSE)</f>
        <v>2</v>
      </c>
      <c r="Q175" s="199" t="str">
        <f>VLOOKUP(A175,'SALE PARTY MASTR '!$B$5:$I$105,8,FALSE)</f>
        <v>Local Sale</v>
      </c>
      <c r="R175" s="199" t="s">
        <v>897</v>
      </c>
      <c r="S175" s="401">
        <v>87081090</v>
      </c>
      <c r="T175" s="201" t="str">
        <f>VLOOKUP(S175,'SALE HSN MASTER '!$A$6:$D$20,2,FALSE)</f>
        <v>Parts &amp; Accessories Of Motor Vehicles Other</v>
      </c>
      <c r="U175" s="201" t="str">
        <f>VLOOKUP(S175,'SALE HSN MASTER '!$A$6:$D$20,3,FALSE)</f>
        <v>NOS-NUMBERS</v>
      </c>
      <c r="V175" s="201" t="str">
        <f>VLOOKUP(S175,'SALE HSN MASTER '!$A$6:$D$20,4,FALSE)</f>
        <v>Goods</v>
      </c>
      <c r="W175" s="401">
        <v>180</v>
      </c>
    </row>
    <row r="176" spans="1:23" ht="14.4" x14ac:dyDescent="0.3">
      <c r="A176" s="423" t="s">
        <v>23</v>
      </c>
      <c r="B176" s="199" t="str">
        <f>VLOOKUP(A176,'SALE PARTY MASTR '!$B$5:$G$280,2,FALSE)</f>
        <v>Varroc Polymers Pvt.ltd.</v>
      </c>
      <c r="C176" s="397" t="s">
        <v>1149</v>
      </c>
      <c r="D176" s="398">
        <v>43145</v>
      </c>
      <c r="E176" s="320">
        <f t="shared" si="13"/>
        <v>28468.480000000003</v>
      </c>
      <c r="F176" s="321" t="str">
        <f>VLOOKUP(A176,'SALE PARTY MASTR '!$B$5:$I$105,3,FALSE)</f>
        <v>27-Maharashatra</v>
      </c>
      <c r="G176" s="321" t="str">
        <f>VLOOKUP(A176,'SALE PARTY MASTR '!$B$5:$I$105,4,FALSE)</f>
        <v>N</v>
      </c>
      <c r="H176" s="321" t="str">
        <f>VLOOKUP(A176,'SALE PARTY MASTR '!$B$5:$I$105,5,FALSE)</f>
        <v>Regular</v>
      </c>
      <c r="I176" s="321">
        <f>VLOOKUP(A176,'SALE PARTY MASTR '!$B$5:$I$105,6,FALSE)</f>
        <v>0</v>
      </c>
      <c r="J176" s="262">
        <f>VLOOKUP(S176,'SALE HSN MASTER '!$A$6:$E$20,5,FALSE)</f>
        <v>28</v>
      </c>
      <c r="K176" s="400">
        <v>22241</v>
      </c>
      <c r="L176" s="184"/>
      <c r="M176" s="322">
        <f t="shared" si="14"/>
        <v>0</v>
      </c>
      <c r="N176" s="322">
        <f t="shared" si="11"/>
        <v>3113.7400000000002</v>
      </c>
      <c r="O176" s="322">
        <f t="shared" si="12"/>
        <v>3113.7400000000002</v>
      </c>
      <c r="P176" s="199">
        <f>VLOOKUP(A176,'SALE PARTY MASTR '!$B$5:$I$105,7,FALSE)</f>
        <v>2</v>
      </c>
      <c r="Q176" s="199" t="str">
        <f>VLOOKUP(A176,'SALE PARTY MASTR '!$B$5:$I$105,8,FALSE)</f>
        <v>Local Sale</v>
      </c>
      <c r="R176" s="199" t="s">
        <v>897</v>
      </c>
      <c r="S176" s="401">
        <v>87141090</v>
      </c>
      <c r="T176" s="201" t="str">
        <f>VLOOKUP(S176,'SALE HSN MASTER '!$A$6:$D$20,2,FALSE)</f>
        <v>Parts &amp; Accessories Of Motor Vehicles Other</v>
      </c>
      <c r="U176" s="201" t="str">
        <f>VLOOKUP(S176,'SALE HSN MASTER '!$A$6:$D$20,3,FALSE)</f>
        <v>NOS-NUMBERS</v>
      </c>
      <c r="V176" s="201" t="str">
        <f>VLOOKUP(S176,'SALE HSN MASTER '!$A$6:$D$20,4,FALSE)</f>
        <v>Goods</v>
      </c>
      <c r="W176" s="401">
        <v>404</v>
      </c>
    </row>
    <row r="177" spans="1:23" ht="14.4" x14ac:dyDescent="0.3">
      <c r="A177" s="426" t="s">
        <v>27</v>
      </c>
      <c r="B177" s="199" t="str">
        <f>VLOOKUP(A177,'SALE PARTY MASTR '!$B$5:$G$280,2,FALSE)</f>
        <v>Rinder India Pvt Ltd.</v>
      </c>
      <c r="C177" s="399" t="s">
        <v>1150</v>
      </c>
      <c r="D177" s="398">
        <v>43145</v>
      </c>
      <c r="E177" s="320">
        <f t="shared" si="13"/>
        <v>35400</v>
      </c>
      <c r="F177" s="321" t="str">
        <f>VLOOKUP(A177,'SALE PARTY MASTR '!$B$5:$I$105,3,FALSE)</f>
        <v>27-Maharashatra</v>
      </c>
      <c r="G177" s="321" t="str">
        <f>VLOOKUP(A177,'SALE PARTY MASTR '!$B$5:$I$105,4,FALSE)</f>
        <v>N</v>
      </c>
      <c r="H177" s="321" t="str">
        <f>VLOOKUP(A177,'SALE PARTY MASTR '!$B$5:$I$105,5,FALSE)</f>
        <v>Regular</v>
      </c>
      <c r="I177" s="321">
        <f>VLOOKUP(A177,'SALE PARTY MASTR '!$B$5:$I$105,6,FALSE)</f>
        <v>0</v>
      </c>
      <c r="J177" s="262">
        <f>VLOOKUP(S177,'SALE HSN MASTER '!$A$6:$E$20,5,FALSE)</f>
        <v>18</v>
      </c>
      <c r="K177" s="427">
        <v>30000</v>
      </c>
      <c r="L177" s="184"/>
      <c r="M177" s="322">
        <f t="shared" si="14"/>
        <v>0</v>
      </c>
      <c r="N177" s="322">
        <f t="shared" si="11"/>
        <v>2700</v>
      </c>
      <c r="O177" s="322">
        <f t="shared" si="12"/>
        <v>2700</v>
      </c>
      <c r="P177" s="199">
        <f>VLOOKUP(A177,'SALE PARTY MASTR '!$B$5:$I$105,7,FALSE)</f>
        <v>2</v>
      </c>
      <c r="Q177" s="199" t="str">
        <f>VLOOKUP(A177,'SALE PARTY MASTR '!$B$5:$I$105,8,FALSE)</f>
        <v>Local Sale</v>
      </c>
      <c r="R177" s="199" t="s">
        <v>894</v>
      </c>
      <c r="S177" s="401">
        <v>85129000</v>
      </c>
      <c r="T177" s="201" t="str">
        <f>VLOOKUP(S177,'SALE HSN MASTER '!$A$6:$D$20,2,FALSE)</f>
        <v>Parts &amp; Accessories Of Motor Vehicles Other</v>
      </c>
      <c r="U177" s="201" t="str">
        <f>VLOOKUP(S177,'SALE HSN MASTER '!$A$6:$D$20,3,FALSE)</f>
        <v>NOS-NUMBERS</v>
      </c>
      <c r="V177" s="201" t="str">
        <f>VLOOKUP(S177,'SALE HSN MASTER '!$A$6:$D$20,4,FALSE)</f>
        <v>Goods</v>
      </c>
      <c r="W177" s="428">
        <v>1200</v>
      </c>
    </row>
    <row r="178" spans="1:23" ht="14.4" x14ac:dyDescent="0.3">
      <c r="A178" s="423" t="s">
        <v>862</v>
      </c>
      <c r="B178" s="199" t="str">
        <f>VLOOKUP(A178,'SALE PARTY MASTR '!$B$5:$G$280,2,FALSE)</f>
        <v>Varroc Engineering Pvt Ltd</v>
      </c>
      <c r="C178" s="397" t="s">
        <v>1151</v>
      </c>
      <c r="D178" s="398">
        <v>43145</v>
      </c>
      <c r="E178" s="320">
        <f t="shared" si="13"/>
        <v>38354.688000000002</v>
      </c>
      <c r="F178" s="321" t="str">
        <f>VLOOKUP(A178,'SALE PARTY MASTR '!$B$5:$I$105,3,FALSE)</f>
        <v>27-Maharashatra</v>
      </c>
      <c r="G178" s="321" t="str">
        <f>VLOOKUP(A178,'SALE PARTY MASTR '!$B$5:$I$105,4,FALSE)</f>
        <v>N</v>
      </c>
      <c r="H178" s="321" t="str">
        <f>VLOOKUP(A178,'SALE PARTY MASTR '!$B$5:$I$105,5,FALSE)</f>
        <v>Regular</v>
      </c>
      <c r="I178" s="321">
        <f>VLOOKUP(A178,'SALE PARTY MASTR '!$B$5:$I$105,6,FALSE)</f>
        <v>0</v>
      </c>
      <c r="J178" s="262">
        <f>VLOOKUP(S178,'SALE HSN MASTER '!$A$6:$E$20,5,FALSE)</f>
        <v>28</v>
      </c>
      <c r="K178" s="400">
        <v>29964.6</v>
      </c>
      <c r="L178" s="184"/>
      <c r="M178" s="322">
        <f t="shared" si="14"/>
        <v>0</v>
      </c>
      <c r="N178" s="322">
        <f t="shared" si="11"/>
        <v>4195.0439999999999</v>
      </c>
      <c r="O178" s="322">
        <f t="shared" si="12"/>
        <v>4195.0439999999999</v>
      </c>
      <c r="P178" s="199">
        <f>VLOOKUP(A178,'SALE PARTY MASTR '!$B$5:$I$105,7,FALSE)</f>
        <v>2</v>
      </c>
      <c r="Q178" s="199" t="str">
        <f>VLOOKUP(A178,'SALE PARTY MASTR '!$B$5:$I$105,8,FALSE)</f>
        <v>Local Sale</v>
      </c>
      <c r="R178" s="199" t="s">
        <v>897</v>
      </c>
      <c r="S178" s="401">
        <v>85119000</v>
      </c>
      <c r="T178" s="201" t="str">
        <f>VLOOKUP(S178,'SALE HSN MASTER '!$A$6:$D$20,2,FALSE)</f>
        <v>Parts &amp; Accessories Of Motor Vehicles Other</v>
      </c>
      <c r="U178" s="201" t="str">
        <f>VLOOKUP(S178,'SALE HSN MASTER '!$A$6:$D$20,3,FALSE)</f>
        <v>NOS-NUMBERS</v>
      </c>
      <c r="V178" s="201" t="str">
        <f>VLOOKUP(S178,'SALE HSN MASTER '!$A$6:$D$20,4,FALSE)</f>
        <v>Goods</v>
      </c>
      <c r="W178" s="401">
        <v>540</v>
      </c>
    </row>
    <row r="179" spans="1:23" ht="14.4" x14ac:dyDescent="0.3">
      <c r="A179" s="423" t="s">
        <v>862</v>
      </c>
      <c r="B179" s="199" t="str">
        <f>VLOOKUP(A179,'SALE PARTY MASTR '!$B$5:$G$280,2,FALSE)</f>
        <v>Varroc Engineering Pvt Ltd</v>
      </c>
      <c r="C179" s="397" t="s">
        <v>1152</v>
      </c>
      <c r="D179" s="398">
        <v>43145</v>
      </c>
      <c r="E179" s="320">
        <f t="shared" si="13"/>
        <v>30468.096000000001</v>
      </c>
      <c r="F179" s="321" t="str">
        <f>VLOOKUP(A179,'SALE PARTY MASTR '!$B$5:$I$105,3,FALSE)</f>
        <v>27-Maharashatra</v>
      </c>
      <c r="G179" s="321" t="str">
        <f>VLOOKUP(A179,'SALE PARTY MASTR '!$B$5:$I$105,4,FALSE)</f>
        <v>N</v>
      </c>
      <c r="H179" s="321" t="str">
        <f>VLOOKUP(A179,'SALE PARTY MASTR '!$B$5:$I$105,5,FALSE)</f>
        <v>Regular</v>
      </c>
      <c r="I179" s="321">
        <f>VLOOKUP(A179,'SALE PARTY MASTR '!$B$5:$I$105,6,FALSE)</f>
        <v>0</v>
      </c>
      <c r="J179" s="262">
        <f>VLOOKUP(S179,'SALE HSN MASTER '!$A$6:$E$20,5,FALSE)</f>
        <v>28</v>
      </c>
      <c r="K179" s="400">
        <v>23803.200000000001</v>
      </c>
      <c r="L179" s="184"/>
      <c r="M179" s="322">
        <f t="shared" si="14"/>
        <v>0</v>
      </c>
      <c r="N179" s="322">
        <f t="shared" si="11"/>
        <v>3332.4480000000003</v>
      </c>
      <c r="O179" s="322">
        <f t="shared" si="12"/>
        <v>3332.4480000000003</v>
      </c>
      <c r="P179" s="199">
        <f>VLOOKUP(A179,'SALE PARTY MASTR '!$B$5:$I$105,7,FALSE)</f>
        <v>2</v>
      </c>
      <c r="Q179" s="199" t="str">
        <f>VLOOKUP(A179,'SALE PARTY MASTR '!$B$5:$I$105,8,FALSE)</f>
        <v>Local Sale</v>
      </c>
      <c r="R179" s="199" t="s">
        <v>897</v>
      </c>
      <c r="S179" s="401">
        <v>87142090</v>
      </c>
      <c r="T179" s="201" t="str">
        <f>VLOOKUP(S179,'SALE HSN MASTER '!$A$6:$D$20,2,FALSE)</f>
        <v>Parts &amp; Accessories Of Motor Vehicles Other</v>
      </c>
      <c r="U179" s="201" t="str">
        <f>VLOOKUP(S179,'SALE HSN MASTER '!$A$6:$D$20,3,FALSE)</f>
        <v>NOS-NUMBERS</v>
      </c>
      <c r="V179" s="201" t="str">
        <f>VLOOKUP(S179,'SALE HSN MASTER '!$A$6:$D$20,4,FALSE)</f>
        <v>Goods</v>
      </c>
      <c r="W179" s="401">
        <v>540</v>
      </c>
    </row>
    <row r="180" spans="1:23" ht="14.4" x14ac:dyDescent="0.3">
      <c r="A180" s="423" t="s">
        <v>23</v>
      </c>
      <c r="B180" s="199" t="str">
        <f>VLOOKUP(A180,'SALE PARTY MASTR '!$B$5:$G$280,2,FALSE)</f>
        <v>Varroc Polymers Pvt.ltd.</v>
      </c>
      <c r="C180" s="397" t="s">
        <v>1153</v>
      </c>
      <c r="D180" s="398">
        <v>43145</v>
      </c>
      <c r="E180" s="320">
        <f t="shared" si="13"/>
        <v>26636.083199999997</v>
      </c>
      <c r="F180" s="321" t="str">
        <f>VLOOKUP(A180,'SALE PARTY MASTR '!$B$5:$I$105,3,FALSE)</f>
        <v>27-Maharashatra</v>
      </c>
      <c r="G180" s="321" t="str">
        <f>VLOOKUP(A180,'SALE PARTY MASTR '!$B$5:$I$105,4,FALSE)</f>
        <v>N</v>
      </c>
      <c r="H180" s="321" t="str">
        <f>VLOOKUP(A180,'SALE PARTY MASTR '!$B$5:$I$105,5,FALSE)</f>
        <v>Regular</v>
      </c>
      <c r="I180" s="321">
        <f>VLOOKUP(A180,'SALE PARTY MASTR '!$B$5:$I$105,6,FALSE)</f>
        <v>0</v>
      </c>
      <c r="J180" s="262">
        <f>VLOOKUP(S180,'SALE HSN MASTER '!$A$6:$E$20,5,FALSE)</f>
        <v>28</v>
      </c>
      <c r="K180" s="400">
        <v>20809.439999999999</v>
      </c>
      <c r="L180" s="184"/>
      <c r="M180" s="322">
        <f t="shared" si="14"/>
        <v>0</v>
      </c>
      <c r="N180" s="322">
        <f t="shared" si="11"/>
        <v>2913.3216000000002</v>
      </c>
      <c r="O180" s="322">
        <f t="shared" si="12"/>
        <v>2913.3216000000002</v>
      </c>
      <c r="P180" s="199">
        <f>VLOOKUP(A180,'SALE PARTY MASTR '!$B$5:$I$105,7,FALSE)</f>
        <v>2</v>
      </c>
      <c r="Q180" s="199" t="str">
        <f>VLOOKUP(A180,'SALE PARTY MASTR '!$B$5:$I$105,8,FALSE)</f>
        <v>Local Sale</v>
      </c>
      <c r="R180" s="199" t="s">
        <v>897</v>
      </c>
      <c r="S180" s="401">
        <v>87081090</v>
      </c>
      <c r="T180" s="201" t="str">
        <f>VLOOKUP(S180,'SALE HSN MASTER '!$A$6:$D$20,2,FALSE)</f>
        <v>Parts &amp; Accessories Of Motor Vehicles Other</v>
      </c>
      <c r="U180" s="201" t="str">
        <f>VLOOKUP(S180,'SALE HSN MASTER '!$A$6:$D$20,3,FALSE)</f>
        <v>NOS-NUMBERS</v>
      </c>
      <c r="V180" s="201" t="str">
        <f>VLOOKUP(S180,'SALE HSN MASTER '!$A$6:$D$20,4,FALSE)</f>
        <v>Goods</v>
      </c>
      <c r="W180" s="401">
        <v>288</v>
      </c>
    </row>
    <row r="181" spans="1:23" ht="14.4" x14ac:dyDescent="0.3">
      <c r="A181" s="423" t="s">
        <v>23</v>
      </c>
      <c r="B181" s="199" t="str">
        <f>VLOOKUP(A181,'SALE PARTY MASTR '!$B$5:$G$280,2,FALSE)</f>
        <v>Varroc Polymers Pvt.ltd.</v>
      </c>
      <c r="C181" s="397" t="s">
        <v>1154</v>
      </c>
      <c r="D181" s="398">
        <v>43145</v>
      </c>
      <c r="E181" s="320">
        <f t="shared" si="13"/>
        <v>6324.9407999999994</v>
      </c>
      <c r="F181" s="321" t="str">
        <f>VLOOKUP(A181,'SALE PARTY MASTR '!$B$5:$I$105,3,FALSE)</f>
        <v>27-Maharashatra</v>
      </c>
      <c r="G181" s="321" t="str">
        <f>VLOOKUP(A181,'SALE PARTY MASTR '!$B$5:$I$105,4,FALSE)</f>
        <v>N</v>
      </c>
      <c r="H181" s="321" t="str">
        <f>VLOOKUP(A181,'SALE PARTY MASTR '!$B$5:$I$105,5,FALSE)</f>
        <v>Regular</v>
      </c>
      <c r="I181" s="321">
        <f>VLOOKUP(A181,'SALE PARTY MASTR '!$B$5:$I$105,6,FALSE)</f>
        <v>0</v>
      </c>
      <c r="J181" s="262">
        <f>VLOOKUP(S181,'SALE HSN MASTER '!$A$6:$E$20,5,FALSE)</f>
        <v>28</v>
      </c>
      <c r="K181" s="400">
        <v>4941.3599999999997</v>
      </c>
      <c r="L181" s="184"/>
      <c r="M181" s="322">
        <f t="shared" si="14"/>
        <v>0</v>
      </c>
      <c r="N181" s="322">
        <f t="shared" si="11"/>
        <v>691.79039999999998</v>
      </c>
      <c r="O181" s="322">
        <f t="shared" si="12"/>
        <v>691.79039999999998</v>
      </c>
      <c r="P181" s="199">
        <f>VLOOKUP(A181,'SALE PARTY MASTR '!$B$5:$I$105,7,FALSE)</f>
        <v>2</v>
      </c>
      <c r="Q181" s="199" t="str">
        <f>VLOOKUP(A181,'SALE PARTY MASTR '!$B$5:$I$105,8,FALSE)</f>
        <v>Local Sale</v>
      </c>
      <c r="R181" s="199" t="s">
        <v>897</v>
      </c>
      <c r="S181" s="401">
        <v>87081090</v>
      </c>
      <c r="T181" s="201" t="str">
        <f>VLOOKUP(S181,'SALE HSN MASTER '!$A$6:$D$20,2,FALSE)</f>
        <v>Parts &amp; Accessories Of Motor Vehicles Other</v>
      </c>
      <c r="U181" s="201" t="str">
        <f>VLOOKUP(S181,'SALE HSN MASTER '!$A$6:$D$20,3,FALSE)</f>
        <v>NOS-NUMBERS</v>
      </c>
      <c r="V181" s="201" t="str">
        <f>VLOOKUP(S181,'SALE HSN MASTER '!$A$6:$D$20,4,FALSE)</f>
        <v>Goods</v>
      </c>
      <c r="W181" s="401">
        <v>36</v>
      </c>
    </row>
    <row r="182" spans="1:23" ht="14.4" x14ac:dyDescent="0.3">
      <c r="A182" s="423" t="s">
        <v>28</v>
      </c>
      <c r="B182" s="199" t="str">
        <f>VLOOKUP(A182,'SALE PARTY MASTR '!$B$5:$G$280,2,FALSE)</f>
        <v>Lumax Auto Technologies Ltd.</v>
      </c>
      <c r="C182" s="397" t="s">
        <v>1155</v>
      </c>
      <c r="D182" s="398">
        <v>43145</v>
      </c>
      <c r="E182" s="320">
        <f t="shared" si="13"/>
        <v>39766.3776</v>
      </c>
      <c r="F182" s="321" t="str">
        <f>VLOOKUP(A182,'SALE PARTY MASTR '!$B$5:$I$105,3,FALSE)</f>
        <v>27-Maharashatra</v>
      </c>
      <c r="G182" s="321" t="str">
        <f>VLOOKUP(A182,'SALE PARTY MASTR '!$B$5:$I$105,4,FALSE)</f>
        <v>N</v>
      </c>
      <c r="H182" s="321" t="str">
        <f>VLOOKUP(A182,'SALE PARTY MASTR '!$B$5:$I$105,5,FALSE)</f>
        <v>Regular</v>
      </c>
      <c r="I182" s="321">
        <f>VLOOKUP(A182,'SALE PARTY MASTR '!$B$5:$I$105,6,FALSE)</f>
        <v>0</v>
      </c>
      <c r="J182" s="262">
        <f>VLOOKUP(S182,'SALE HSN MASTER '!$A$6:$E$20,5,FALSE)</f>
        <v>18</v>
      </c>
      <c r="K182" s="400">
        <v>33700.32</v>
      </c>
      <c r="L182" s="184"/>
      <c r="M182" s="322">
        <f t="shared" si="14"/>
        <v>0</v>
      </c>
      <c r="N182" s="322">
        <f t="shared" si="11"/>
        <v>3033.0288</v>
      </c>
      <c r="O182" s="322">
        <f t="shared" si="12"/>
        <v>3033.0288</v>
      </c>
      <c r="P182" s="199">
        <f>VLOOKUP(A182,'SALE PARTY MASTR '!$B$5:$I$105,7,FALSE)</f>
        <v>2</v>
      </c>
      <c r="Q182" s="199" t="str">
        <f>VLOOKUP(A182,'SALE PARTY MASTR '!$B$5:$I$105,8,FALSE)</f>
        <v>Local Sale</v>
      </c>
      <c r="R182" s="199" t="s">
        <v>894</v>
      </c>
      <c r="S182" s="401">
        <v>85129000</v>
      </c>
      <c r="T182" s="201" t="str">
        <f>VLOOKUP(S182,'SALE HSN MASTER '!$A$6:$D$20,2,FALSE)</f>
        <v>Parts &amp; Accessories Of Motor Vehicles Other</v>
      </c>
      <c r="U182" s="201" t="str">
        <f>VLOOKUP(S182,'SALE HSN MASTER '!$A$6:$D$20,3,FALSE)</f>
        <v>NOS-NUMBERS</v>
      </c>
      <c r="V182" s="201" t="str">
        <f>VLOOKUP(S182,'SALE HSN MASTER '!$A$6:$D$20,4,FALSE)</f>
        <v>Goods</v>
      </c>
      <c r="W182" s="401">
        <v>522</v>
      </c>
    </row>
    <row r="183" spans="1:23" ht="14.4" x14ac:dyDescent="0.3">
      <c r="A183" s="423" t="s">
        <v>24</v>
      </c>
      <c r="B183" s="199" t="str">
        <f>VLOOKUP(A183,'SALE PARTY MASTR '!$B$5:$G$280,2,FALSE)</f>
        <v>Tata Autocomp Systems LTD.(X1)</v>
      </c>
      <c r="C183" s="397" t="s">
        <v>1156</v>
      </c>
      <c r="D183" s="398">
        <v>43145</v>
      </c>
      <c r="E183" s="320">
        <f t="shared" si="13"/>
        <v>49000.7552</v>
      </c>
      <c r="F183" s="321" t="str">
        <f>VLOOKUP(A183,'SALE PARTY MASTR '!$B$5:$I$105,3,FALSE)</f>
        <v>27-Maharashatra</v>
      </c>
      <c r="G183" s="321" t="str">
        <f>VLOOKUP(A183,'SALE PARTY MASTR '!$B$5:$I$105,4,FALSE)</f>
        <v>N</v>
      </c>
      <c r="H183" s="321" t="str">
        <f>VLOOKUP(A183,'SALE PARTY MASTR '!$B$5:$I$105,5,FALSE)</f>
        <v>Regular</v>
      </c>
      <c r="I183" s="321">
        <f>VLOOKUP(A183,'SALE PARTY MASTR '!$B$5:$I$105,6,FALSE)</f>
        <v>0</v>
      </c>
      <c r="J183" s="262">
        <f>VLOOKUP(S183,'SALE HSN MASTER '!$A$6:$E$20,5,FALSE)</f>
        <v>28</v>
      </c>
      <c r="K183" s="400">
        <v>38281.839999999997</v>
      </c>
      <c r="L183" s="184"/>
      <c r="M183" s="322">
        <f t="shared" si="14"/>
        <v>0</v>
      </c>
      <c r="N183" s="322">
        <f t="shared" si="11"/>
        <v>5359.4575999999997</v>
      </c>
      <c r="O183" s="322">
        <f t="shared" si="12"/>
        <v>5359.4575999999997</v>
      </c>
      <c r="P183" s="199">
        <f>VLOOKUP(A183,'SALE PARTY MASTR '!$B$5:$I$105,7,FALSE)</f>
        <v>2</v>
      </c>
      <c r="Q183" s="199" t="str">
        <f>VLOOKUP(A183,'SALE PARTY MASTR '!$B$5:$I$105,8,FALSE)</f>
        <v>Local Sale</v>
      </c>
      <c r="R183" s="199" t="s">
        <v>897</v>
      </c>
      <c r="S183" s="401">
        <v>87089900</v>
      </c>
      <c r="T183" s="201" t="str">
        <f>VLOOKUP(S183,'SALE HSN MASTER '!$A$6:$D$20,2,FALSE)</f>
        <v>Parts &amp; Accessories Of Motor Vehicles Other</v>
      </c>
      <c r="U183" s="201" t="str">
        <f>VLOOKUP(S183,'SALE HSN MASTER '!$A$6:$D$20,3,FALSE)</f>
        <v>NOS-NUMBERS</v>
      </c>
      <c r="V183" s="201" t="str">
        <f>VLOOKUP(S183,'SALE HSN MASTER '!$A$6:$D$20,4,FALSE)</f>
        <v>Goods</v>
      </c>
      <c r="W183" s="401">
        <v>112</v>
      </c>
    </row>
    <row r="184" spans="1:23" ht="14.4" x14ac:dyDescent="0.3">
      <c r="A184" s="423" t="s">
        <v>36</v>
      </c>
      <c r="B184" s="199" t="str">
        <f>VLOOKUP(A184,'SALE PARTY MASTR '!$B$5:$G$280,2,FALSE)</f>
        <v>Bamboo India</v>
      </c>
      <c r="C184" s="397" t="s">
        <v>1157</v>
      </c>
      <c r="D184" s="398">
        <v>43146</v>
      </c>
      <c r="E184" s="320">
        <f t="shared" si="13"/>
        <v>2566.5</v>
      </c>
      <c r="F184" s="321" t="str">
        <f>VLOOKUP(A184,'SALE PARTY MASTR '!$B$5:$I$105,3,FALSE)</f>
        <v>27-Maharashatra</v>
      </c>
      <c r="G184" s="321" t="str">
        <f>VLOOKUP(A184,'SALE PARTY MASTR '!$B$5:$I$105,4,FALSE)</f>
        <v>N</v>
      </c>
      <c r="H184" s="321" t="str">
        <f>VLOOKUP(A184,'SALE PARTY MASTR '!$B$5:$I$105,5,FALSE)</f>
        <v>Regular</v>
      </c>
      <c r="I184" s="321">
        <f>VLOOKUP(A184,'SALE PARTY MASTR '!$B$5:$I$105,6,FALSE)</f>
        <v>0</v>
      </c>
      <c r="J184" s="262">
        <f>VLOOKUP(S184,'SALE HSN MASTER '!$A$6:$E$20,5,FALSE)</f>
        <v>18</v>
      </c>
      <c r="K184" s="400">
        <v>2175</v>
      </c>
      <c r="L184" s="184"/>
      <c r="M184" s="322">
        <f t="shared" si="14"/>
        <v>0</v>
      </c>
      <c r="N184" s="322">
        <f t="shared" si="11"/>
        <v>195.75</v>
      </c>
      <c r="O184" s="322">
        <f t="shared" si="12"/>
        <v>195.75</v>
      </c>
      <c r="P184" s="199">
        <f>VLOOKUP(A184,'SALE PARTY MASTR '!$B$5:$I$105,7,FALSE)</f>
        <v>2</v>
      </c>
      <c r="Q184" s="199" t="str">
        <f>VLOOKUP(A184,'SALE PARTY MASTR '!$B$5:$I$105,8,FALSE)</f>
        <v>Local Sale</v>
      </c>
      <c r="R184" s="199" t="s">
        <v>894</v>
      </c>
      <c r="S184" s="401">
        <v>998898</v>
      </c>
      <c r="T184" s="201" t="str">
        <f>VLOOKUP(S184,'SALE HSN MASTER '!$A$6:$D$20,2,FALSE)</f>
        <v>Parts &amp; Accessories Of Motor Vehicles Other</v>
      </c>
      <c r="U184" s="201" t="str">
        <f>VLOOKUP(S184,'SALE HSN MASTER '!$A$6:$D$20,3,FALSE)</f>
        <v>NOS-NUMBERS</v>
      </c>
      <c r="V184" s="201" t="str">
        <f>VLOOKUP(S184,'SALE HSN MASTER '!$A$6:$D$20,4,FALSE)</f>
        <v>Service</v>
      </c>
      <c r="W184" s="401">
        <v>145</v>
      </c>
    </row>
    <row r="185" spans="1:23" ht="14.4" x14ac:dyDescent="0.3">
      <c r="A185" s="423" t="s">
        <v>23</v>
      </c>
      <c r="B185" s="199" t="str">
        <f>VLOOKUP(A185,'SALE PARTY MASTR '!$B$5:$G$280,2,FALSE)</f>
        <v>Varroc Polymers Pvt.ltd.</v>
      </c>
      <c r="C185" s="397" t="s">
        <v>1158</v>
      </c>
      <c r="D185" s="398">
        <v>43146</v>
      </c>
      <c r="E185" s="320">
        <f t="shared" si="13"/>
        <v>38844.287999999993</v>
      </c>
      <c r="F185" s="321" t="str">
        <f>VLOOKUP(A185,'SALE PARTY MASTR '!$B$5:$I$105,3,FALSE)</f>
        <v>27-Maharashatra</v>
      </c>
      <c r="G185" s="321" t="str">
        <f>VLOOKUP(A185,'SALE PARTY MASTR '!$B$5:$I$105,4,FALSE)</f>
        <v>N</v>
      </c>
      <c r="H185" s="321" t="str">
        <f>VLOOKUP(A185,'SALE PARTY MASTR '!$B$5:$I$105,5,FALSE)</f>
        <v>Regular</v>
      </c>
      <c r="I185" s="321">
        <f>VLOOKUP(A185,'SALE PARTY MASTR '!$B$5:$I$105,6,FALSE)</f>
        <v>0</v>
      </c>
      <c r="J185" s="262">
        <f>VLOOKUP(S185,'SALE HSN MASTER '!$A$6:$E$20,5,FALSE)</f>
        <v>28</v>
      </c>
      <c r="K185" s="400">
        <v>30347.1</v>
      </c>
      <c r="L185" s="184"/>
      <c r="M185" s="322">
        <f t="shared" si="14"/>
        <v>0</v>
      </c>
      <c r="N185" s="322">
        <f t="shared" si="11"/>
        <v>4248.5940000000001</v>
      </c>
      <c r="O185" s="322">
        <f t="shared" si="12"/>
        <v>4248.5940000000001</v>
      </c>
      <c r="P185" s="199">
        <f>VLOOKUP(A185,'SALE PARTY MASTR '!$B$5:$I$105,7,FALSE)</f>
        <v>2</v>
      </c>
      <c r="Q185" s="199" t="str">
        <f>VLOOKUP(A185,'SALE PARTY MASTR '!$B$5:$I$105,8,FALSE)</f>
        <v>Local Sale</v>
      </c>
      <c r="R185" s="199" t="s">
        <v>897</v>
      </c>
      <c r="S185" s="401">
        <v>87081090</v>
      </c>
      <c r="T185" s="201" t="str">
        <f>VLOOKUP(S185,'SALE HSN MASTER '!$A$6:$D$20,2,FALSE)</f>
        <v>Parts &amp; Accessories Of Motor Vehicles Other</v>
      </c>
      <c r="U185" s="201" t="str">
        <f>VLOOKUP(S185,'SALE HSN MASTER '!$A$6:$D$20,3,FALSE)</f>
        <v>NOS-NUMBERS</v>
      </c>
      <c r="V185" s="201" t="str">
        <f>VLOOKUP(S185,'SALE HSN MASTER '!$A$6:$D$20,4,FALSE)</f>
        <v>Goods</v>
      </c>
      <c r="W185" s="401">
        <v>420</v>
      </c>
    </row>
    <row r="186" spans="1:23" ht="14.4" x14ac:dyDescent="0.3">
      <c r="A186" s="423" t="s">
        <v>23</v>
      </c>
      <c r="B186" s="199" t="str">
        <f>VLOOKUP(A186,'SALE PARTY MASTR '!$B$5:$G$280,2,FALSE)</f>
        <v>Varroc Polymers Pvt.ltd.</v>
      </c>
      <c r="C186" s="397" t="s">
        <v>1159</v>
      </c>
      <c r="D186" s="398">
        <v>43146</v>
      </c>
      <c r="E186" s="320">
        <f t="shared" si="13"/>
        <v>27745.919999999998</v>
      </c>
      <c r="F186" s="321" t="str">
        <f>VLOOKUP(A186,'SALE PARTY MASTR '!$B$5:$I$105,3,FALSE)</f>
        <v>27-Maharashatra</v>
      </c>
      <c r="G186" s="321" t="str">
        <f>VLOOKUP(A186,'SALE PARTY MASTR '!$B$5:$I$105,4,FALSE)</f>
        <v>N</v>
      </c>
      <c r="H186" s="321" t="str">
        <f>VLOOKUP(A186,'SALE PARTY MASTR '!$B$5:$I$105,5,FALSE)</f>
        <v>Regular</v>
      </c>
      <c r="I186" s="321">
        <f>VLOOKUP(A186,'SALE PARTY MASTR '!$B$5:$I$105,6,FALSE)</f>
        <v>0</v>
      </c>
      <c r="J186" s="262">
        <f>VLOOKUP(S186,'SALE HSN MASTER '!$A$6:$E$20,5,FALSE)</f>
        <v>28</v>
      </c>
      <c r="K186" s="400">
        <v>21676.5</v>
      </c>
      <c r="L186" s="184"/>
      <c r="M186" s="322">
        <f t="shared" si="14"/>
        <v>0</v>
      </c>
      <c r="N186" s="322">
        <f t="shared" si="11"/>
        <v>3034.7100000000005</v>
      </c>
      <c r="O186" s="322">
        <f t="shared" si="12"/>
        <v>3034.7100000000005</v>
      </c>
      <c r="P186" s="199">
        <f>VLOOKUP(A186,'SALE PARTY MASTR '!$B$5:$I$105,7,FALSE)</f>
        <v>2</v>
      </c>
      <c r="Q186" s="199" t="str">
        <f>VLOOKUP(A186,'SALE PARTY MASTR '!$B$5:$I$105,8,FALSE)</f>
        <v>Local Sale</v>
      </c>
      <c r="R186" s="199" t="s">
        <v>897</v>
      </c>
      <c r="S186" s="401">
        <v>87081090</v>
      </c>
      <c r="T186" s="201" t="str">
        <f>VLOOKUP(S186,'SALE HSN MASTER '!$A$6:$D$20,2,FALSE)</f>
        <v>Parts &amp; Accessories Of Motor Vehicles Other</v>
      </c>
      <c r="U186" s="201" t="str">
        <f>VLOOKUP(S186,'SALE HSN MASTER '!$A$6:$D$20,3,FALSE)</f>
        <v>NOS-NUMBERS</v>
      </c>
      <c r="V186" s="201" t="str">
        <f>VLOOKUP(S186,'SALE HSN MASTER '!$A$6:$D$20,4,FALSE)</f>
        <v>Goods</v>
      </c>
      <c r="W186" s="401">
        <v>300</v>
      </c>
    </row>
    <row r="187" spans="1:23" ht="14.4" x14ac:dyDescent="0.3">
      <c r="A187" s="423" t="s">
        <v>31</v>
      </c>
      <c r="B187" s="199" t="str">
        <f>VLOOKUP(A187,'SALE PARTY MASTR '!$B$5:$G$280,2,FALSE)</f>
        <v>Mittal Precision Auto Comps Pvt Ltd,</v>
      </c>
      <c r="C187" s="397" t="s">
        <v>1160</v>
      </c>
      <c r="D187" s="398">
        <v>43146</v>
      </c>
      <c r="E187" s="320">
        <f t="shared" si="13"/>
        <v>7109.5944</v>
      </c>
      <c r="F187" s="321" t="str">
        <f>VLOOKUP(A187,'SALE PARTY MASTR '!$B$5:$I$105,3,FALSE)</f>
        <v>27-Maharashatra</v>
      </c>
      <c r="G187" s="321" t="str">
        <f>VLOOKUP(A187,'SALE PARTY MASTR '!$B$5:$I$105,4,FALSE)</f>
        <v>N</v>
      </c>
      <c r="H187" s="321" t="str">
        <f>VLOOKUP(A187,'SALE PARTY MASTR '!$B$5:$I$105,5,FALSE)</f>
        <v>Regular</v>
      </c>
      <c r="I187" s="321">
        <f>VLOOKUP(A187,'SALE PARTY MASTR '!$B$5:$I$105,6,FALSE)</f>
        <v>0</v>
      </c>
      <c r="J187" s="262">
        <f>VLOOKUP(S187,'SALE HSN MASTER '!$A$6:$E$20,5,FALSE)</f>
        <v>18</v>
      </c>
      <c r="K187" s="400">
        <v>6025.08</v>
      </c>
      <c r="L187" s="184"/>
      <c r="M187" s="322">
        <f t="shared" si="14"/>
        <v>0</v>
      </c>
      <c r="N187" s="322">
        <f t="shared" si="11"/>
        <v>542.25720000000001</v>
      </c>
      <c r="O187" s="322">
        <f t="shared" si="12"/>
        <v>542.25720000000001</v>
      </c>
      <c r="P187" s="199">
        <f>VLOOKUP(A187,'SALE PARTY MASTR '!$B$5:$I$105,7,FALSE)</f>
        <v>2</v>
      </c>
      <c r="Q187" s="199" t="str">
        <f>VLOOKUP(A187,'SALE PARTY MASTR '!$B$5:$I$105,8,FALSE)</f>
        <v>Local Sale</v>
      </c>
      <c r="R187" s="199" t="s">
        <v>894</v>
      </c>
      <c r="S187" s="401">
        <v>998898</v>
      </c>
      <c r="T187" s="201" t="str">
        <f>VLOOKUP(S187,'SALE HSN MASTER '!$A$6:$D$20,2,FALSE)</f>
        <v>Parts &amp; Accessories Of Motor Vehicles Other</v>
      </c>
      <c r="U187" s="201" t="str">
        <f>VLOOKUP(S187,'SALE HSN MASTER '!$A$6:$D$20,3,FALSE)</f>
        <v>NOS-NUMBERS</v>
      </c>
      <c r="V187" s="201" t="str">
        <f>VLOOKUP(S187,'SALE HSN MASTER '!$A$6:$D$20,4,FALSE)</f>
        <v>Service</v>
      </c>
      <c r="W187" s="401">
        <v>12</v>
      </c>
    </row>
    <row r="188" spans="1:23" ht="14.4" x14ac:dyDescent="0.3">
      <c r="A188" s="423" t="s">
        <v>31</v>
      </c>
      <c r="B188" s="199" t="str">
        <f>VLOOKUP(A188,'SALE PARTY MASTR '!$B$5:$G$280,2,FALSE)</f>
        <v>Mittal Precision Auto Comps Pvt Ltd,</v>
      </c>
      <c r="C188" s="397" t="s">
        <v>1161</v>
      </c>
      <c r="D188" s="398">
        <v>43146</v>
      </c>
      <c r="E188" s="320">
        <f t="shared" si="13"/>
        <v>6811.243199999999</v>
      </c>
      <c r="F188" s="321" t="str">
        <f>VLOOKUP(A188,'SALE PARTY MASTR '!$B$5:$I$105,3,FALSE)</f>
        <v>27-Maharashatra</v>
      </c>
      <c r="G188" s="321" t="str">
        <f>VLOOKUP(A188,'SALE PARTY MASTR '!$B$5:$I$105,4,FALSE)</f>
        <v>N</v>
      </c>
      <c r="H188" s="321" t="str">
        <f>VLOOKUP(A188,'SALE PARTY MASTR '!$B$5:$I$105,5,FALSE)</f>
        <v>Regular</v>
      </c>
      <c r="I188" s="321">
        <f>VLOOKUP(A188,'SALE PARTY MASTR '!$B$5:$I$105,6,FALSE)</f>
        <v>0</v>
      </c>
      <c r="J188" s="262">
        <f>VLOOKUP(S188,'SALE HSN MASTER '!$A$6:$E$20,5,FALSE)</f>
        <v>18</v>
      </c>
      <c r="K188" s="400">
        <v>5772.24</v>
      </c>
      <c r="L188" s="184"/>
      <c r="M188" s="322">
        <f t="shared" si="14"/>
        <v>0</v>
      </c>
      <c r="N188" s="322">
        <f t="shared" si="11"/>
        <v>519.50159999999994</v>
      </c>
      <c r="O188" s="322">
        <f t="shared" si="12"/>
        <v>519.50159999999994</v>
      </c>
      <c r="P188" s="199">
        <f>VLOOKUP(A188,'SALE PARTY MASTR '!$B$5:$I$105,7,FALSE)</f>
        <v>2</v>
      </c>
      <c r="Q188" s="199" t="str">
        <f>VLOOKUP(A188,'SALE PARTY MASTR '!$B$5:$I$105,8,FALSE)</f>
        <v>Local Sale</v>
      </c>
      <c r="R188" s="199" t="s">
        <v>894</v>
      </c>
      <c r="S188" s="401">
        <v>998898</v>
      </c>
      <c r="T188" s="201" t="str">
        <f>VLOOKUP(S188,'SALE HSN MASTER '!$A$6:$D$20,2,FALSE)</f>
        <v>Parts &amp; Accessories Of Motor Vehicles Other</v>
      </c>
      <c r="U188" s="201" t="str">
        <f>VLOOKUP(S188,'SALE HSN MASTER '!$A$6:$D$20,3,FALSE)</f>
        <v>NOS-NUMBERS</v>
      </c>
      <c r="V188" s="201" t="str">
        <f>VLOOKUP(S188,'SALE HSN MASTER '!$A$6:$D$20,4,FALSE)</f>
        <v>Service</v>
      </c>
      <c r="W188" s="401">
        <v>12</v>
      </c>
    </row>
    <row r="189" spans="1:23" ht="14.4" x14ac:dyDescent="0.3">
      <c r="A189" s="423" t="s">
        <v>32</v>
      </c>
      <c r="B189" s="199" t="str">
        <f>VLOOKUP(A189,'SALE PARTY MASTR '!$B$5:$G$280,2,FALSE)</f>
        <v>Pricol Ltd (Formerly Pricol Pune Ltd)</v>
      </c>
      <c r="C189" s="397" t="s">
        <v>1162</v>
      </c>
      <c r="D189" s="398">
        <v>43146</v>
      </c>
      <c r="E189" s="320">
        <f t="shared" si="13"/>
        <v>13506.304</v>
      </c>
      <c r="F189" s="321" t="str">
        <f>VLOOKUP(A189,'SALE PARTY MASTR '!$B$5:$I$105,3,FALSE)</f>
        <v>27-Maharashatra</v>
      </c>
      <c r="G189" s="321" t="str">
        <f>VLOOKUP(A189,'SALE PARTY MASTR '!$B$5:$I$105,4,FALSE)</f>
        <v>N</v>
      </c>
      <c r="H189" s="321" t="str">
        <f>VLOOKUP(A189,'SALE PARTY MASTR '!$B$5:$I$105,5,FALSE)</f>
        <v>Regular</v>
      </c>
      <c r="I189" s="321">
        <f>VLOOKUP(A189,'SALE PARTY MASTR '!$B$5:$I$105,6,FALSE)</f>
        <v>0</v>
      </c>
      <c r="J189" s="262">
        <f>VLOOKUP(S189,'SALE HSN MASTER '!$A$6:$E$20,5,FALSE)</f>
        <v>28</v>
      </c>
      <c r="K189" s="400">
        <v>10551.8</v>
      </c>
      <c r="L189" s="184"/>
      <c r="M189" s="322">
        <f t="shared" si="14"/>
        <v>0</v>
      </c>
      <c r="N189" s="322">
        <f t="shared" si="11"/>
        <v>1477.252</v>
      </c>
      <c r="O189" s="322">
        <f t="shared" si="12"/>
        <v>1477.252</v>
      </c>
      <c r="P189" s="199">
        <f>VLOOKUP(A189,'SALE PARTY MASTR '!$B$5:$I$105,7,FALSE)</f>
        <v>2</v>
      </c>
      <c r="Q189" s="199" t="str">
        <f>VLOOKUP(A189,'SALE PARTY MASTR '!$B$5:$I$105,8,FALSE)</f>
        <v>Local Sale</v>
      </c>
      <c r="R189" s="199" t="s">
        <v>897</v>
      </c>
      <c r="S189" s="401">
        <v>87141090</v>
      </c>
      <c r="T189" s="201" t="str">
        <f>VLOOKUP(S189,'SALE HSN MASTER '!$A$6:$D$20,2,FALSE)</f>
        <v>Parts &amp; Accessories Of Motor Vehicles Other</v>
      </c>
      <c r="U189" s="201" t="str">
        <f>VLOOKUP(S189,'SALE HSN MASTER '!$A$6:$D$20,3,FALSE)</f>
        <v>NOS-NUMBERS</v>
      </c>
      <c r="V189" s="201" t="str">
        <f>VLOOKUP(S189,'SALE HSN MASTER '!$A$6:$D$20,4,FALSE)</f>
        <v>Goods</v>
      </c>
      <c r="W189" s="401">
        <v>140</v>
      </c>
    </row>
    <row r="190" spans="1:23" ht="14.4" x14ac:dyDescent="0.3">
      <c r="A190" s="423" t="s">
        <v>23</v>
      </c>
      <c r="B190" s="199" t="str">
        <f>VLOOKUP(A190,'SALE PARTY MASTR '!$B$5:$G$280,2,FALSE)</f>
        <v>Varroc Polymers Pvt.ltd.</v>
      </c>
      <c r="C190" s="397" t="s">
        <v>1163</v>
      </c>
      <c r="D190" s="398">
        <v>43146</v>
      </c>
      <c r="E190" s="320">
        <f t="shared" si="13"/>
        <v>39954.124799999998</v>
      </c>
      <c r="F190" s="321" t="str">
        <f>VLOOKUP(A190,'SALE PARTY MASTR '!$B$5:$I$105,3,FALSE)</f>
        <v>27-Maharashatra</v>
      </c>
      <c r="G190" s="321" t="str">
        <f>VLOOKUP(A190,'SALE PARTY MASTR '!$B$5:$I$105,4,FALSE)</f>
        <v>N</v>
      </c>
      <c r="H190" s="321" t="str">
        <f>VLOOKUP(A190,'SALE PARTY MASTR '!$B$5:$I$105,5,FALSE)</f>
        <v>Regular</v>
      </c>
      <c r="I190" s="321">
        <f>VLOOKUP(A190,'SALE PARTY MASTR '!$B$5:$I$105,6,FALSE)</f>
        <v>0</v>
      </c>
      <c r="J190" s="262">
        <f>VLOOKUP(S190,'SALE HSN MASTER '!$A$6:$E$20,5,FALSE)</f>
        <v>28</v>
      </c>
      <c r="K190" s="400">
        <v>31214.16</v>
      </c>
      <c r="L190" s="184"/>
      <c r="M190" s="322">
        <f t="shared" si="14"/>
        <v>0</v>
      </c>
      <c r="N190" s="322">
        <f t="shared" si="11"/>
        <v>4369.9824000000008</v>
      </c>
      <c r="O190" s="322">
        <f t="shared" si="12"/>
        <v>4369.9824000000008</v>
      </c>
      <c r="P190" s="199">
        <f>VLOOKUP(A190,'SALE PARTY MASTR '!$B$5:$I$105,7,FALSE)</f>
        <v>2</v>
      </c>
      <c r="Q190" s="199" t="str">
        <f>VLOOKUP(A190,'SALE PARTY MASTR '!$B$5:$I$105,8,FALSE)</f>
        <v>Local Sale</v>
      </c>
      <c r="R190" s="199" t="s">
        <v>897</v>
      </c>
      <c r="S190" s="401">
        <v>87081090</v>
      </c>
      <c r="T190" s="201" t="str">
        <f>VLOOKUP(S190,'SALE HSN MASTER '!$A$6:$D$20,2,FALSE)</f>
        <v>Parts &amp; Accessories Of Motor Vehicles Other</v>
      </c>
      <c r="U190" s="201" t="str">
        <f>VLOOKUP(S190,'SALE HSN MASTER '!$A$6:$D$20,3,FALSE)</f>
        <v>NOS-NUMBERS</v>
      </c>
      <c r="V190" s="201" t="str">
        <f>VLOOKUP(S190,'SALE HSN MASTER '!$A$6:$D$20,4,FALSE)</f>
        <v>Goods</v>
      </c>
      <c r="W190" s="401">
        <v>432</v>
      </c>
    </row>
    <row r="191" spans="1:23" ht="14.4" x14ac:dyDescent="0.3">
      <c r="A191" s="423" t="s">
        <v>27</v>
      </c>
      <c r="B191" s="199" t="str">
        <f>VLOOKUP(A191,'SALE PARTY MASTR '!$B$5:$G$280,2,FALSE)</f>
        <v>Rinder India Pvt Ltd.</v>
      </c>
      <c r="C191" s="397" t="s">
        <v>1164</v>
      </c>
      <c r="D191" s="398">
        <v>43146</v>
      </c>
      <c r="E191" s="320">
        <f t="shared" si="13"/>
        <v>35400</v>
      </c>
      <c r="F191" s="321" t="str">
        <f>VLOOKUP(A191,'SALE PARTY MASTR '!$B$5:$I$105,3,FALSE)</f>
        <v>27-Maharashatra</v>
      </c>
      <c r="G191" s="321" t="str">
        <f>VLOOKUP(A191,'SALE PARTY MASTR '!$B$5:$I$105,4,FALSE)</f>
        <v>N</v>
      </c>
      <c r="H191" s="321" t="str">
        <f>VLOOKUP(A191,'SALE PARTY MASTR '!$B$5:$I$105,5,FALSE)</f>
        <v>Regular</v>
      </c>
      <c r="I191" s="321">
        <f>VLOOKUP(A191,'SALE PARTY MASTR '!$B$5:$I$105,6,FALSE)</f>
        <v>0</v>
      </c>
      <c r="J191" s="262">
        <f>VLOOKUP(S191,'SALE HSN MASTER '!$A$6:$E$20,5,FALSE)</f>
        <v>18</v>
      </c>
      <c r="K191" s="400">
        <v>30000</v>
      </c>
      <c r="L191" s="184"/>
      <c r="M191" s="322">
        <f t="shared" si="14"/>
        <v>0</v>
      </c>
      <c r="N191" s="322">
        <f t="shared" si="11"/>
        <v>2700</v>
      </c>
      <c r="O191" s="322">
        <f t="shared" si="12"/>
        <v>2700</v>
      </c>
      <c r="P191" s="199">
        <f>VLOOKUP(A191,'SALE PARTY MASTR '!$B$5:$I$105,7,FALSE)</f>
        <v>2</v>
      </c>
      <c r="Q191" s="199" t="str">
        <f>VLOOKUP(A191,'SALE PARTY MASTR '!$B$5:$I$105,8,FALSE)</f>
        <v>Local Sale</v>
      </c>
      <c r="R191" s="199" t="s">
        <v>894</v>
      </c>
      <c r="S191" s="401">
        <v>85129000</v>
      </c>
      <c r="T191" s="201" t="str">
        <f>VLOOKUP(S191,'SALE HSN MASTER '!$A$6:$D$20,2,FALSE)</f>
        <v>Parts &amp; Accessories Of Motor Vehicles Other</v>
      </c>
      <c r="U191" s="201" t="str">
        <f>VLOOKUP(S191,'SALE HSN MASTER '!$A$6:$D$20,3,FALSE)</f>
        <v>NOS-NUMBERS</v>
      </c>
      <c r="V191" s="201" t="str">
        <f>VLOOKUP(S191,'SALE HSN MASTER '!$A$6:$D$20,4,FALSE)</f>
        <v>Goods</v>
      </c>
      <c r="W191" s="401">
        <v>1200</v>
      </c>
    </row>
    <row r="192" spans="1:23" ht="14.4" x14ac:dyDescent="0.3">
      <c r="A192" s="423" t="s">
        <v>23</v>
      </c>
      <c r="B192" s="199" t="str">
        <f>VLOOKUP(A192,'SALE PARTY MASTR '!$B$5:$G$280,2,FALSE)</f>
        <v>Varroc Polymers Pvt.ltd.</v>
      </c>
      <c r="C192" s="397" t="s">
        <v>1165</v>
      </c>
      <c r="D192" s="398">
        <v>43146</v>
      </c>
      <c r="E192" s="320">
        <f t="shared" si="13"/>
        <v>38844.287999999993</v>
      </c>
      <c r="F192" s="321" t="str">
        <f>VLOOKUP(A192,'SALE PARTY MASTR '!$B$5:$I$105,3,FALSE)</f>
        <v>27-Maharashatra</v>
      </c>
      <c r="G192" s="321" t="str">
        <f>VLOOKUP(A192,'SALE PARTY MASTR '!$B$5:$I$105,4,FALSE)</f>
        <v>N</v>
      </c>
      <c r="H192" s="321" t="str">
        <f>VLOOKUP(A192,'SALE PARTY MASTR '!$B$5:$I$105,5,FALSE)</f>
        <v>Regular</v>
      </c>
      <c r="I192" s="321">
        <f>VLOOKUP(A192,'SALE PARTY MASTR '!$B$5:$I$105,6,FALSE)</f>
        <v>0</v>
      </c>
      <c r="J192" s="262">
        <f>VLOOKUP(S192,'SALE HSN MASTER '!$A$6:$E$20,5,FALSE)</f>
        <v>28</v>
      </c>
      <c r="K192" s="400">
        <v>30347.1</v>
      </c>
      <c r="L192" s="184"/>
      <c r="M192" s="322">
        <f t="shared" si="14"/>
        <v>0</v>
      </c>
      <c r="N192" s="322">
        <f t="shared" si="11"/>
        <v>4248.5940000000001</v>
      </c>
      <c r="O192" s="322">
        <f t="shared" si="12"/>
        <v>4248.5940000000001</v>
      </c>
      <c r="P192" s="199">
        <f>VLOOKUP(A192,'SALE PARTY MASTR '!$B$5:$I$105,7,FALSE)</f>
        <v>2</v>
      </c>
      <c r="Q192" s="199" t="str">
        <f>VLOOKUP(A192,'SALE PARTY MASTR '!$B$5:$I$105,8,FALSE)</f>
        <v>Local Sale</v>
      </c>
      <c r="R192" s="199" t="s">
        <v>897</v>
      </c>
      <c r="S192" s="401">
        <v>87081090</v>
      </c>
      <c r="T192" s="201" t="str">
        <f>VLOOKUP(S192,'SALE HSN MASTER '!$A$6:$D$20,2,FALSE)</f>
        <v>Parts &amp; Accessories Of Motor Vehicles Other</v>
      </c>
      <c r="U192" s="201" t="str">
        <f>VLOOKUP(S192,'SALE HSN MASTER '!$A$6:$D$20,3,FALSE)</f>
        <v>NOS-NUMBERS</v>
      </c>
      <c r="V192" s="201" t="str">
        <f>VLOOKUP(S192,'SALE HSN MASTER '!$A$6:$D$20,4,FALSE)</f>
        <v>Goods</v>
      </c>
      <c r="W192" s="401">
        <v>420</v>
      </c>
    </row>
    <row r="193" spans="1:23" ht="14.4" x14ac:dyDescent="0.3">
      <c r="A193" s="423" t="s">
        <v>23</v>
      </c>
      <c r="B193" s="199" t="str">
        <f>VLOOKUP(A193,'SALE PARTY MASTR '!$B$5:$G$280,2,FALSE)</f>
        <v>Varroc Polymers Pvt.ltd.</v>
      </c>
      <c r="C193" s="397" t="s">
        <v>1166</v>
      </c>
      <c r="D193" s="398">
        <v>43147</v>
      </c>
      <c r="E193" s="320">
        <f t="shared" si="13"/>
        <v>25526.2464</v>
      </c>
      <c r="F193" s="321" t="str">
        <f>VLOOKUP(A193,'SALE PARTY MASTR '!$B$5:$I$105,3,FALSE)</f>
        <v>27-Maharashatra</v>
      </c>
      <c r="G193" s="321" t="str">
        <f>VLOOKUP(A193,'SALE PARTY MASTR '!$B$5:$I$105,4,FALSE)</f>
        <v>N</v>
      </c>
      <c r="H193" s="321" t="str">
        <f>VLOOKUP(A193,'SALE PARTY MASTR '!$B$5:$I$105,5,FALSE)</f>
        <v>Regular</v>
      </c>
      <c r="I193" s="321">
        <f>VLOOKUP(A193,'SALE PARTY MASTR '!$B$5:$I$105,6,FALSE)</f>
        <v>0</v>
      </c>
      <c r="J193" s="262">
        <f>VLOOKUP(S193,'SALE HSN MASTER '!$A$6:$E$20,5,FALSE)</f>
        <v>28</v>
      </c>
      <c r="K193" s="400">
        <v>19942.38</v>
      </c>
      <c r="L193" s="184"/>
      <c r="M193" s="322">
        <f t="shared" si="14"/>
        <v>0</v>
      </c>
      <c r="N193" s="322">
        <f t="shared" si="11"/>
        <v>2791.9332000000004</v>
      </c>
      <c r="O193" s="322">
        <f t="shared" si="12"/>
        <v>2791.9332000000004</v>
      </c>
      <c r="P193" s="199">
        <f>VLOOKUP(A193,'SALE PARTY MASTR '!$B$5:$I$105,7,FALSE)</f>
        <v>2</v>
      </c>
      <c r="Q193" s="199" t="str">
        <f>VLOOKUP(A193,'SALE PARTY MASTR '!$B$5:$I$105,8,FALSE)</f>
        <v>Local Sale</v>
      </c>
      <c r="R193" s="199" t="s">
        <v>897</v>
      </c>
      <c r="S193" s="401">
        <v>87081090</v>
      </c>
      <c r="T193" s="201" t="str">
        <f>VLOOKUP(S193,'SALE HSN MASTER '!$A$6:$D$20,2,FALSE)</f>
        <v>Parts &amp; Accessories Of Motor Vehicles Other</v>
      </c>
      <c r="U193" s="201" t="str">
        <f>VLOOKUP(S193,'SALE HSN MASTER '!$A$6:$D$20,3,FALSE)</f>
        <v>NOS-NUMBERS</v>
      </c>
      <c r="V193" s="201" t="str">
        <f>VLOOKUP(S193,'SALE HSN MASTER '!$A$6:$D$20,4,FALSE)</f>
        <v>Goods</v>
      </c>
      <c r="W193" s="401">
        <v>276</v>
      </c>
    </row>
    <row r="194" spans="1:23" ht="14.4" x14ac:dyDescent="0.3">
      <c r="A194" s="423" t="s">
        <v>23</v>
      </c>
      <c r="B194" s="199" t="str">
        <f>VLOOKUP(A194,'SALE PARTY MASTR '!$B$5:$G$280,2,FALSE)</f>
        <v>Varroc Polymers Pvt.ltd.</v>
      </c>
      <c r="C194" s="397" t="s">
        <v>1167</v>
      </c>
      <c r="D194" s="398">
        <v>43147</v>
      </c>
      <c r="E194" s="320">
        <f t="shared" si="13"/>
        <v>11370.240000000002</v>
      </c>
      <c r="F194" s="321" t="str">
        <f>VLOOKUP(A194,'SALE PARTY MASTR '!$B$5:$I$105,3,FALSE)</f>
        <v>27-Maharashatra</v>
      </c>
      <c r="G194" s="321" t="str">
        <f>VLOOKUP(A194,'SALE PARTY MASTR '!$B$5:$I$105,4,FALSE)</f>
        <v>N</v>
      </c>
      <c r="H194" s="321" t="str">
        <f>VLOOKUP(A194,'SALE PARTY MASTR '!$B$5:$I$105,5,FALSE)</f>
        <v>Regular</v>
      </c>
      <c r="I194" s="321">
        <f>VLOOKUP(A194,'SALE PARTY MASTR '!$B$5:$I$105,6,FALSE)</f>
        <v>0</v>
      </c>
      <c r="J194" s="262">
        <f>VLOOKUP(S194,'SALE HSN MASTER '!$A$6:$E$20,5,FALSE)</f>
        <v>28</v>
      </c>
      <c r="K194" s="400">
        <v>8883</v>
      </c>
      <c r="L194" s="184"/>
      <c r="M194" s="322">
        <f t="shared" si="14"/>
        <v>0</v>
      </c>
      <c r="N194" s="322">
        <f t="shared" si="11"/>
        <v>1243.6200000000001</v>
      </c>
      <c r="O194" s="322">
        <f t="shared" si="12"/>
        <v>1243.6200000000001</v>
      </c>
      <c r="P194" s="199">
        <f>VLOOKUP(A194,'SALE PARTY MASTR '!$B$5:$I$105,7,FALSE)</f>
        <v>2</v>
      </c>
      <c r="Q194" s="199" t="str">
        <f>VLOOKUP(A194,'SALE PARTY MASTR '!$B$5:$I$105,8,FALSE)</f>
        <v>Local Sale</v>
      </c>
      <c r="R194" s="199" t="s">
        <v>897</v>
      </c>
      <c r="S194" s="401">
        <v>87141090</v>
      </c>
      <c r="T194" s="201" t="str">
        <f>VLOOKUP(S194,'SALE HSN MASTER '!$A$6:$D$20,2,FALSE)</f>
        <v>Parts &amp; Accessories Of Motor Vehicles Other</v>
      </c>
      <c r="U194" s="201" t="str">
        <f>VLOOKUP(S194,'SALE HSN MASTER '!$A$6:$D$20,3,FALSE)</f>
        <v>NOS-NUMBERS</v>
      </c>
      <c r="V194" s="201" t="str">
        <f>VLOOKUP(S194,'SALE HSN MASTER '!$A$6:$D$20,4,FALSE)</f>
        <v>Goods</v>
      </c>
      <c r="W194" s="401">
        <v>252</v>
      </c>
    </row>
    <row r="195" spans="1:23" ht="14.4" x14ac:dyDescent="0.3">
      <c r="A195" s="423" t="s">
        <v>24</v>
      </c>
      <c r="B195" s="199" t="str">
        <f>VLOOKUP(A195,'SALE PARTY MASTR '!$B$5:$G$280,2,FALSE)</f>
        <v>Tata Autocomp Systems LTD.(X1)</v>
      </c>
      <c r="C195" s="397" t="s">
        <v>1168</v>
      </c>
      <c r="D195" s="398">
        <v>43147</v>
      </c>
      <c r="E195" s="320">
        <f t="shared" si="13"/>
        <v>49449.497600000002</v>
      </c>
      <c r="F195" s="321" t="str">
        <f>VLOOKUP(A195,'SALE PARTY MASTR '!$B$5:$I$105,3,FALSE)</f>
        <v>27-Maharashatra</v>
      </c>
      <c r="G195" s="321" t="str">
        <f>VLOOKUP(A195,'SALE PARTY MASTR '!$B$5:$I$105,4,FALSE)</f>
        <v>N</v>
      </c>
      <c r="H195" s="321" t="str">
        <f>VLOOKUP(A195,'SALE PARTY MASTR '!$B$5:$I$105,5,FALSE)</f>
        <v>Regular</v>
      </c>
      <c r="I195" s="321">
        <f>VLOOKUP(A195,'SALE PARTY MASTR '!$B$5:$I$105,6,FALSE)</f>
        <v>0</v>
      </c>
      <c r="J195" s="262">
        <f>VLOOKUP(S195,'SALE HSN MASTER '!$A$6:$E$20,5,FALSE)</f>
        <v>28</v>
      </c>
      <c r="K195" s="400">
        <v>38632.42</v>
      </c>
      <c r="L195" s="184"/>
      <c r="M195" s="322">
        <f t="shared" si="14"/>
        <v>0</v>
      </c>
      <c r="N195" s="322">
        <f t="shared" si="11"/>
        <v>5408.5388000000003</v>
      </c>
      <c r="O195" s="322">
        <f t="shared" si="12"/>
        <v>5408.5388000000003</v>
      </c>
      <c r="P195" s="199">
        <f>VLOOKUP(A195,'SALE PARTY MASTR '!$B$5:$I$105,7,FALSE)</f>
        <v>2</v>
      </c>
      <c r="Q195" s="199" t="str">
        <f>VLOOKUP(A195,'SALE PARTY MASTR '!$B$5:$I$105,8,FALSE)</f>
        <v>Local Sale</v>
      </c>
      <c r="R195" s="199" t="s">
        <v>897</v>
      </c>
      <c r="S195" s="401">
        <v>87089900</v>
      </c>
      <c r="T195" s="201" t="str">
        <f>VLOOKUP(S195,'SALE HSN MASTER '!$A$6:$D$20,2,FALSE)</f>
        <v>Parts &amp; Accessories Of Motor Vehicles Other</v>
      </c>
      <c r="U195" s="201" t="str">
        <f>VLOOKUP(S195,'SALE HSN MASTER '!$A$6:$D$20,3,FALSE)</f>
        <v>NOS-NUMBERS</v>
      </c>
      <c r="V195" s="201" t="str">
        <f>VLOOKUP(S195,'SALE HSN MASTER '!$A$6:$D$20,4,FALSE)</f>
        <v>Goods</v>
      </c>
      <c r="W195" s="401">
        <v>186</v>
      </c>
    </row>
    <row r="196" spans="1:23" ht="14.4" x14ac:dyDescent="0.3">
      <c r="A196" s="423" t="s">
        <v>23</v>
      </c>
      <c r="B196" s="199" t="str">
        <f>VLOOKUP(A196,'SALE PARTY MASTR '!$B$5:$G$280,2,FALSE)</f>
        <v>Varroc Polymers Pvt.ltd.</v>
      </c>
      <c r="C196" s="397" t="s">
        <v>1169</v>
      </c>
      <c r="D196" s="398">
        <v>43147</v>
      </c>
      <c r="E196" s="320">
        <f t="shared" si="13"/>
        <v>21086.8992</v>
      </c>
      <c r="F196" s="321" t="str">
        <f>VLOOKUP(A196,'SALE PARTY MASTR '!$B$5:$I$105,3,FALSE)</f>
        <v>27-Maharashatra</v>
      </c>
      <c r="G196" s="321" t="str">
        <f>VLOOKUP(A196,'SALE PARTY MASTR '!$B$5:$I$105,4,FALSE)</f>
        <v>N</v>
      </c>
      <c r="H196" s="321" t="str">
        <f>VLOOKUP(A196,'SALE PARTY MASTR '!$B$5:$I$105,5,FALSE)</f>
        <v>Regular</v>
      </c>
      <c r="I196" s="321">
        <f>VLOOKUP(A196,'SALE PARTY MASTR '!$B$5:$I$105,6,FALSE)</f>
        <v>0</v>
      </c>
      <c r="J196" s="262">
        <f>VLOOKUP(S196,'SALE HSN MASTER '!$A$6:$E$20,5,FALSE)</f>
        <v>28</v>
      </c>
      <c r="K196" s="400">
        <v>16474.14</v>
      </c>
      <c r="L196" s="184"/>
      <c r="M196" s="322">
        <f t="shared" si="14"/>
        <v>0</v>
      </c>
      <c r="N196" s="322">
        <f t="shared" si="11"/>
        <v>2306.3796000000002</v>
      </c>
      <c r="O196" s="322">
        <f t="shared" si="12"/>
        <v>2306.3796000000002</v>
      </c>
      <c r="P196" s="199">
        <f>VLOOKUP(A196,'SALE PARTY MASTR '!$B$5:$I$105,7,FALSE)</f>
        <v>2</v>
      </c>
      <c r="Q196" s="199" t="str">
        <f>VLOOKUP(A196,'SALE PARTY MASTR '!$B$5:$I$105,8,FALSE)</f>
        <v>Local Sale</v>
      </c>
      <c r="R196" s="199" t="s">
        <v>897</v>
      </c>
      <c r="S196" s="401">
        <v>87081090</v>
      </c>
      <c r="T196" s="201" t="str">
        <f>VLOOKUP(S196,'SALE HSN MASTER '!$A$6:$D$20,2,FALSE)</f>
        <v>Parts &amp; Accessories Of Motor Vehicles Other</v>
      </c>
      <c r="U196" s="201" t="str">
        <f>VLOOKUP(S196,'SALE HSN MASTER '!$A$6:$D$20,3,FALSE)</f>
        <v>NOS-NUMBERS</v>
      </c>
      <c r="V196" s="201" t="str">
        <f>VLOOKUP(S196,'SALE HSN MASTER '!$A$6:$D$20,4,FALSE)</f>
        <v>Goods</v>
      </c>
      <c r="W196" s="401">
        <v>228</v>
      </c>
    </row>
    <row r="197" spans="1:23" ht="14.4" x14ac:dyDescent="0.3">
      <c r="A197" s="423" t="s">
        <v>23</v>
      </c>
      <c r="B197" s="199" t="str">
        <f>VLOOKUP(A197,'SALE PARTY MASTR '!$B$5:$G$280,2,FALSE)</f>
        <v>Varroc Polymers Pvt.ltd.</v>
      </c>
      <c r="C197" s="397" t="s">
        <v>1170</v>
      </c>
      <c r="D197" s="398">
        <v>43147</v>
      </c>
      <c r="E197" s="320">
        <f t="shared" si="13"/>
        <v>23116.800000000003</v>
      </c>
      <c r="F197" s="321" t="str">
        <f>VLOOKUP(A197,'SALE PARTY MASTR '!$B$5:$I$105,3,FALSE)</f>
        <v>27-Maharashatra</v>
      </c>
      <c r="G197" s="321" t="str">
        <f>VLOOKUP(A197,'SALE PARTY MASTR '!$B$5:$I$105,4,FALSE)</f>
        <v>N</v>
      </c>
      <c r="H197" s="321" t="str">
        <f>VLOOKUP(A197,'SALE PARTY MASTR '!$B$5:$I$105,5,FALSE)</f>
        <v>Regular</v>
      </c>
      <c r="I197" s="321">
        <f>VLOOKUP(A197,'SALE PARTY MASTR '!$B$5:$I$105,6,FALSE)</f>
        <v>0</v>
      </c>
      <c r="J197" s="262">
        <f>VLOOKUP(S197,'SALE HSN MASTER '!$A$6:$E$20,5,FALSE)</f>
        <v>28</v>
      </c>
      <c r="K197" s="400">
        <v>18060</v>
      </c>
      <c r="L197" s="184"/>
      <c r="M197" s="322">
        <f t="shared" si="14"/>
        <v>0</v>
      </c>
      <c r="N197" s="322">
        <f t="shared" si="11"/>
        <v>2528.4</v>
      </c>
      <c r="O197" s="322">
        <f t="shared" si="12"/>
        <v>2528.4</v>
      </c>
      <c r="P197" s="199">
        <f>VLOOKUP(A197,'SALE PARTY MASTR '!$B$5:$I$105,7,FALSE)</f>
        <v>2</v>
      </c>
      <c r="Q197" s="199" t="str">
        <f>VLOOKUP(A197,'SALE PARTY MASTR '!$B$5:$I$105,8,FALSE)</f>
        <v>Local Sale</v>
      </c>
      <c r="R197" s="199" t="s">
        <v>897</v>
      </c>
      <c r="S197" s="401">
        <v>87141090</v>
      </c>
      <c r="T197" s="201" t="str">
        <f>VLOOKUP(S197,'SALE HSN MASTER '!$A$6:$D$20,2,FALSE)</f>
        <v>Parts &amp; Accessories Of Motor Vehicles Other</v>
      </c>
      <c r="U197" s="201" t="str">
        <f>VLOOKUP(S197,'SALE HSN MASTER '!$A$6:$D$20,3,FALSE)</f>
        <v>NOS-NUMBERS</v>
      </c>
      <c r="V197" s="201" t="str">
        <f>VLOOKUP(S197,'SALE HSN MASTER '!$A$6:$D$20,4,FALSE)</f>
        <v>Goods</v>
      </c>
      <c r="W197" s="401">
        <v>240</v>
      </c>
    </row>
    <row r="198" spans="1:23" ht="14.4" x14ac:dyDescent="0.3">
      <c r="A198" s="423" t="s">
        <v>28</v>
      </c>
      <c r="B198" s="199" t="str">
        <f>VLOOKUP(A198,'SALE PARTY MASTR '!$B$5:$G$280,2,FALSE)</f>
        <v>Lumax Auto Technologies Ltd.</v>
      </c>
      <c r="C198" s="397" t="s">
        <v>1171</v>
      </c>
      <c r="D198" s="398">
        <v>43147</v>
      </c>
      <c r="E198" s="320">
        <f t="shared" si="13"/>
        <v>10449.230400000002</v>
      </c>
      <c r="F198" s="321" t="str">
        <f>VLOOKUP(A198,'SALE PARTY MASTR '!$B$5:$I$105,3,FALSE)</f>
        <v>27-Maharashatra</v>
      </c>
      <c r="G198" s="321" t="str">
        <f>VLOOKUP(A198,'SALE PARTY MASTR '!$B$5:$I$105,4,FALSE)</f>
        <v>N</v>
      </c>
      <c r="H198" s="321" t="str">
        <f>VLOOKUP(A198,'SALE PARTY MASTR '!$B$5:$I$105,5,FALSE)</f>
        <v>Regular</v>
      </c>
      <c r="I198" s="321">
        <f>VLOOKUP(A198,'SALE PARTY MASTR '!$B$5:$I$105,6,FALSE)</f>
        <v>0</v>
      </c>
      <c r="J198" s="262">
        <f>VLOOKUP(S198,'SALE HSN MASTER '!$A$6:$E$20,5,FALSE)</f>
        <v>18</v>
      </c>
      <c r="K198" s="400">
        <v>8855.2800000000007</v>
      </c>
      <c r="L198" s="184"/>
      <c r="M198" s="322">
        <f t="shared" si="14"/>
        <v>0</v>
      </c>
      <c r="N198" s="322">
        <f t="shared" si="11"/>
        <v>796.97520000000009</v>
      </c>
      <c r="O198" s="322">
        <f t="shared" si="12"/>
        <v>796.97520000000009</v>
      </c>
      <c r="P198" s="199">
        <f>VLOOKUP(A198,'SALE PARTY MASTR '!$B$5:$I$105,7,FALSE)</f>
        <v>2</v>
      </c>
      <c r="Q198" s="199" t="str">
        <f>VLOOKUP(A198,'SALE PARTY MASTR '!$B$5:$I$105,8,FALSE)</f>
        <v>Local Sale</v>
      </c>
      <c r="R198" s="199" t="s">
        <v>894</v>
      </c>
      <c r="S198" s="401">
        <v>85129000</v>
      </c>
      <c r="T198" s="201" t="str">
        <f>VLOOKUP(S198,'SALE HSN MASTER '!$A$6:$D$20,2,FALSE)</f>
        <v>Parts &amp; Accessories Of Motor Vehicles Other</v>
      </c>
      <c r="U198" s="201" t="str">
        <f>VLOOKUP(S198,'SALE HSN MASTER '!$A$6:$D$20,3,FALSE)</f>
        <v>NOS-NUMBERS</v>
      </c>
      <c r="V198" s="201" t="str">
        <f>VLOOKUP(S198,'SALE HSN MASTER '!$A$6:$D$20,4,FALSE)</f>
        <v>Goods</v>
      </c>
      <c r="W198" s="401">
        <v>72</v>
      </c>
    </row>
    <row r="199" spans="1:23" ht="14.4" x14ac:dyDescent="0.3">
      <c r="A199" s="423" t="s">
        <v>28</v>
      </c>
      <c r="B199" s="199" t="str">
        <f>VLOOKUP(A199,'SALE PARTY MASTR '!$B$5:$G$280,2,FALSE)</f>
        <v>Lumax Auto Technologies Ltd.</v>
      </c>
      <c r="C199" s="397" t="s">
        <v>1172</v>
      </c>
      <c r="D199" s="398">
        <v>43147</v>
      </c>
      <c r="E199" s="320">
        <f t="shared" si="13"/>
        <v>26123.076000000001</v>
      </c>
      <c r="F199" s="321" t="str">
        <f>VLOOKUP(A199,'SALE PARTY MASTR '!$B$5:$I$105,3,FALSE)</f>
        <v>27-Maharashatra</v>
      </c>
      <c r="G199" s="321" t="str">
        <f>VLOOKUP(A199,'SALE PARTY MASTR '!$B$5:$I$105,4,FALSE)</f>
        <v>N</v>
      </c>
      <c r="H199" s="321" t="str">
        <f>VLOOKUP(A199,'SALE PARTY MASTR '!$B$5:$I$105,5,FALSE)</f>
        <v>Regular</v>
      </c>
      <c r="I199" s="321">
        <f>VLOOKUP(A199,'SALE PARTY MASTR '!$B$5:$I$105,6,FALSE)</f>
        <v>0</v>
      </c>
      <c r="J199" s="262">
        <f>VLOOKUP(S199,'SALE HSN MASTER '!$A$6:$E$20,5,FALSE)</f>
        <v>18</v>
      </c>
      <c r="K199" s="400">
        <v>22138.2</v>
      </c>
      <c r="L199" s="184"/>
      <c r="M199" s="322">
        <f t="shared" si="14"/>
        <v>0</v>
      </c>
      <c r="N199" s="322">
        <f t="shared" si="11"/>
        <v>1992.4380000000001</v>
      </c>
      <c r="O199" s="322">
        <f t="shared" si="12"/>
        <v>1992.4380000000001</v>
      </c>
      <c r="P199" s="199">
        <f>VLOOKUP(A199,'SALE PARTY MASTR '!$B$5:$I$105,7,FALSE)</f>
        <v>2</v>
      </c>
      <c r="Q199" s="199" t="str">
        <f>VLOOKUP(A199,'SALE PARTY MASTR '!$B$5:$I$105,8,FALSE)</f>
        <v>Local Sale</v>
      </c>
      <c r="R199" s="199" t="s">
        <v>894</v>
      </c>
      <c r="S199" s="401">
        <v>85129000</v>
      </c>
      <c r="T199" s="201" t="str">
        <f>VLOOKUP(S199,'SALE HSN MASTER '!$A$6:$D$20,2,FALSE)</f>
        <v>Parts &amp; Accessories Of Motor Vehicles Other</v>
      </c>
      <c r="U199" s="201" t="str">
        <f>VLOOKUP(S199,'SALE HSN MASTER '!$A$6:$D$20,3,FALSE)</f>
        <v>NOS-NUMBERS</v>
      </c>
      <c r="V199" s="201" t="str">
        <f>VLOOKUP(S199,'SALE HSN MASTER '!$A$6:$D$20,4,FALSE)</f>
        <v>Goods</v>
      </c>
      <c r="W199" s="401">
        <v>180</v>
      </c>
    </row>
    <row r="200" spans="1:23" ht="14.4" x14ac:dyDescent="0.3">
      <c r="A200" s="423" t="s">
        <v>27</v>
      </c>
      <c r="B200" s="199" t="str">
        <f>VLOOKUP(A200,'SALE PARTY MASTR '!$B$5:$G$280,2,FALSE)</f>
        <v>Rinder India Pvt Ltd.</v>
      </c>
      <c r="C200" s="397" t="s">
        <v>1173</v>
      </c>
      <c r="D200" s="398">
        <v>43147</v>
      </c>
      <c r="E200" s="320">
        <f t="shared" si="13"/>
        <v>42480</v>
      </c>
      <c r="F200" s="321" t="str">
        <f>VLOOKUP(A200,'SALE PARTY MASTR '!$B$5:$I$105,3,FALSE)</f>
        <v>27-Maharashatra</v>
      </c>
      <c r="G200" s="321" t="str">
        <f>VLOOKUP(A200,'SALE PARTY MASTR '!$B$5:$I$105,4,FALSE)</f>
        <v>N</v>
      </c>
      <c r="H200" s="321" t="str">
        <f>VLOOKUP(A200,'SALE PARTY MASTR '!$B$5:$I$105,5,FALSE)</f>
        <v>Regular</v>
      </c>
      <c r="I200" s="321">
        <f>VLOOKUP(A200,'SALE PARTY MASTR '!$B$5:$I$105,6,FALSE)</f>
        <v>0</v>
      </c>
      <c r="J200" s="262">
        <f>VLOOKUP(S200,'SALE HSN MASTER '!$A$6:$E$20,5,FALSE)</f>
        <v>18</v>
      </c>
      <c r="K200" s="400">
        <v>36000</v>
      </c>
      <c r="L200" s="184"/>
      <c r="M200" s="322">
        <f t="shared" si="14"/>
        <v>0</v>
      </c>
      <c r="N200" s="322">
        <f t="shared" si="11"/>
        <v>3240</v>
      </c>
      <c r="O200" s="322">
        <f t="shared" si="12"/>
        <v>3240</v>
      </c>
      <c r="P200" s="199">
        <f>VLOOKUP(A200,'SALE PARTY MASTR '!$B$5:$I$105,7,FALSE)</f>
        <v>2</v>
      </c>
      <c r="Q200" s="199" t="str">
        <f>VLOOKUP(A200,'SALE PARTY MASTR '!$B$5:$I$105,8,FALSE)</f>
        <v>Local Sale</v>
      </c>
      <c r="R200" s="199" t="s">
        <v>894</v>
      </c>
      <c r="S200" s="401">
        <v>85129000</v>
      </c>
      <c r="T200" s="201" t="str">
        <f>VLOOKUP(S200,'SALE HSN MASTER '!$A$6:$D$20,2,FALSE)</f>
        <v>Parts &amp; Accessories Of Motor Vehicles Other</v>
      </c>
      <c r="U200" s="201" t="str">
        <f>VLOOKUP(S200,'SALE HSN MASTER '!$A$6:$D$20,3,FALSE)</f>
        <v>NOS-NUMBERS</v>
      </c>
      <c r="V200" s="201" t="str">
        <f>VLOOKUP(S200,'SALE HSN MASTER '!$A$6:$D$20,4,FALSE)</f>
        <v>Goods</v>
      </c>
      <c r="W200" s="401">
        <v>1440</v>
      </c>
    </row>
    <row r="201" spans="1:23" ht="14.4" x14ac:dyDescent="0.3">
      <c r="A201" s="423" t="s">
        <v>31</v>
      </c>
      <c r="B201" s="199" t="str">
        <f>VLOOKUP(A201,'SALE PARTY MASTR '!$B$5:$G$280,2,FALSE)</f>
        <v>Mittal Precision Auto Comps Pvt Ltd,</v>
      </c>
      <c r="C201" s="397" t="s">
        <v>1174</v>
      </c>
      <c r="D201" s="398">
        <v>43147</v>
      </c>
      <c r="E201" s="320">
        <f t="shared" si="13"/>
        <v>6811.243199999999</v>
      </c>
      <c r="F201" s="321" t="str">
        <f>VLOOKUP(A201,'SALE PARTY MASTR '!$B$5:$I$105,3,FALSE)</f>
        <v>27-Maharashatra</v>
      </c>
      <c r="G201" s="321" t="str">
        <f>VLOOKUP(A201,'SALE PARTY MASTR '!$B$5:$I$105,4,FALSE)</f>
        <v>N</v>
      </c>
      <c r="H201" s="321" t="str">
        <f>VLOOKUP(A201,'SALE PARTY MASTR '!$B$5:$I$105,5,FALSE)</f>
        <v>Regular</v>
      </c>
      <c r="I201" s="321">
        <f>VLOOKUP(A201,'SALE PARTY MASTR '!$B$5:$I$105,6,FALSE)</f>
        <v>0</v>
      </c>
      <c r="J201" s="262">
        <f>VLOOKUP(S201,'SALE HSN MASTER '!$A$6:$E$20,5,FALSE)</f>
        <v>18</v>
      </c>
      <c r="K201" s="400">
        <v>5772.24</v>
      </c>
      <c r="L201" s="184"/>
      <c r="M201" s="322">
        <f t="shared" si="14"/>
        <v>0</v>
      </c>
      <c r="N201" s="322">
        <f t="shared" ref="N201:N264" si="15">+IF(P201=1,0,IF(Q201="Local Sale",IF(J201=18,K201*0.09,IF(J201=12,K201*0.06,IF(J201=5,K201*0.025,IF(J201=28,K201*0.14,IF(J201=3,K201*0.015,0))))),0))</f>
        <v>519.50159999999994</v>
      </c>
      <c r="O201" s="322">
        <f t="shared" ref="O201:O264" si="16">+IF(P201=1,0,IF(Q201="Local Sale",IF(J201=18,K201*0.09,IF(J201=12,K201*0.06,IF(J201=5,K201*0.025,IF(J201=28,K201*0.14,IF(J201=3,K201*0.015,0))))),0))</f>
        <v>519.50159999999994</v>
      </c>
      <c r="P201" s="199">
        <f>VLOOKUP(A201,'SALE PARTY MASTR '!$B$5:$I$105,7,FALSE)</f>
        <v>2</v>
      </c>
      <c r="Q201" s="199" t="str">
        <f>VLOOKUP(A201,'SALE PARTY MASTR '!$B$5:$I$105,8,FALSE)</f>
        <v>Local Sale</v>
      </c>
      <c r="R201" s="199" t="s">
        <v>894</v>
      </c>
      <c r="S201" s="401">
        <v>998898</v>
      </c>
      <c r="T201" s="201" t="str">
        <f>VLOOKUP(S201,'SALE HSN MASTER '!$A$6:$D$20,2,FALSE)</f>
        <v>Parts &amp; Accessories Of Motor Vehicles Other</v>
      </c>
      <c r="U201" s="201" t="str">
        <f>VLOOKUP(S201,'SALE HSN MASTER '!$A$6:$D$20,3,FALSE)</f>
        <v>NOS-NUMBERS</v>
      </c>
      <c r="V201" s="201" t="str">
        <f>VLOOKUP(S201,'SALE HSN MASTER '!$A$6:$D$20,4,FALSE)</f>
        <v>Service</v>
      </c>
      <c r="W201" s="401">
        <v>12</v>
      </c>
    </row>
    <row r="202" spans="1:23" ht="14.4" x14ac:dyDescent="0.3">
      <c r="A202" s="423" t="s">
        <v>31</v>
      </c>
      <c r="B202" s="199" t="str">
        <f>VLOOKUP(A202,'SALE PARTY MASTR '!$B$5:$G$280,2,FALSE)</f>
        <v>Mittal Precision Auto Comps Pvt Ltd,</v>
      </c>
      <c r="C202" s="397" t="s">
        <v>1175</v>
      </c>
      <c r="D202" s="398">
        <v>43147</v>
      </c>
      <c r="E202" s="320">
        <f t="shared" si="13"/>
        <v>7109.5944</v>
      </c>
      <c r="F202" s="321" t="str">
        <f>VLOOKUP(A202,'SALE PARTY MASTR '!$B$5:$I$105,3,FALSE)</f>
        <v>27-Maharashatra</v>
      </c>
      <c r="G202" s="321" t="str">
        <f>VLOOKUP(A202,'SALE PARTY MASTR '!$B$5:$I$105,4,FALSE)</f>
        <v>N</v>
      </c>
      <c r="H202" s="321" t="str">
        <f>VLOOKUP(A202,'SALE PARTY MASTR '!$B$5:$I$105,5,FALSE)</f>
        <v>Regular</v>
      </c>
      <c r="I202" s="321">
        <f>VLOOKUP(A202,'SALE PARTY MASTR '!$B$5:$I$105,6,FALSE)</f>
        <v>0</v>
      </c>
      <c r="J202" s="262">
        <f>VLOOKUP(S202,'SALE HSN MASTER '!$A$6:$E$20,5,FALSE)</f>
        <v>18</v>
      </c>
      <c r="K202" s="400">
        <v>6025.08</v>
      </c>
      <c r="L202" s="184"/>
      <c r="M202" s="322">
        <f t="shared" si="14"/>
        <v>0</v>
      </c>
      <c r="N202" s="322">
        <f t="shared" si="15"/>
        <v>542.25720000000001</v>
      </c>
      <c r="O202" s="322">
        <f t="shared" si="16"/>
        <v>542.25720000000001</v>
      </c>
      <c r="P202" s="199">
        <f>VLOOKUP(A202,'SALE PARTY MASTR '!$B$5:$I$105,7,FALSE)</f>
        <v>2</v>
      </c>
      <c r="Q202" s="199" t="str">
        <f>VLOOKUP(A202,'SALE PARTY MASTR '!$B$5:$I$105,8,FALSE)</f>
        <v>Local Sale</v>
      </c>
      <c r="R202" s="199" t="s">
        <v>894</v>
      </c>
      <c r="S202" s="401">
        <v>998898</v>
      </c>
      <c r="T202" s="201" t="str">
        <f>VLOOKUP(S202,'SALE HSN MASTER '!$A$6:$D$20,2,FALSE)</f>
        <v>Parts &amp; Accessories Of Motor Vehicles Other</v>
      </c>
      <c r="U202" s="201" t="str">
        <f>VLOOKUP(S202,'SALE HSN MASTER '!$A$6:$D$20,3,FALSE)</f>
        <v>NOS-NUMBERS</v>
      </c>
      <c r="V202" s="201" t="str">
        <f>VLOOKUP(S202,'SALE HSN MASTER '!$A$6:$D$20,4,FALSE)</f>
        <v>Service</v>
      </c>
      <c r="W202" s="401">
        <v>12</v>
      </c>
    </row>
    <row r="203" spans="1:23" ht="14.4" x14ac:dyDescent="0.3">
      <c r="A203" s="423" t="s">
        <v>32</v>
      </c>
      <c r="B203" s="199" t="str">
        <f>VLOOKUP(A203,'SALE PARTY MASTR '!$B$5:$G$280,2,FALSE)</f>
        <v>Pricol Ltd (Formerly Pricol Pune Ltd)</v>
      </c>
      <c r="C203" s="397" t="s">
        <v>1176</v>
      </c>
      <c r="D203" s="398">
        <v>43147</v>
      </c>
      <c r="E203" s="320">
        <f t="shared" si="13"/>
        <v>17365.248</v>
      </c>
      <c r="F203" s="321" t="str">
        <f>VLOOKUP(A203,'SALE PARTY MASTR '!$B$5:$I$105,3,FALSE)</f>
        <v>27-Maharashatra</v>
      </c>
      <c r="G203" s="321" t="str">
        <f>VLOOKUP(A203,'SALE PARTY MASTR '!$B$5:$I$105,4,FALSE)</f>
        <v>N</v>
      </c>
      <c r="H203" s="321" t="str">
        <f>VLOOKUP(A203,'SALE PARTY MASTR '!$B$5:$I$105,5,FALSE)</f>
        <v>Regular</v>
      </c>
      <c r="I203" s="321">
        <f>VLOOKUP(A203,'SALE PARTY MASTR '!$B$5:$I$105,6,FALSE)</f>
        <v>0</v>
      </c>
      <c r="J203" s="262">
        <f>VLOOKUP(S203,'SALE HSN MASTER '!$A$6:$E$20,5,FALSE)</f>
        <v>28</v>
      </c>
      <c r="K203" s="400">
        <v>13566.6</v>
      </c>
      <c r="L203" s="184"/>
      <c r="M203" s="322">
        <f t="shared" si="14"/>
        <v>0</v>
      </c>
      <c r="N203" s="322">
        <f t="shared" si="15"/>
        <v>1899.3240000000003</v>
      </c>
      <c r="O203" s="322">
        <f t="shared" si="16"/>
        <v>1899.3240000000003</v>
      </c>
      <c r="P203" s="199">
        <f>VLOOKUP(A203,'SALE PARTY MASTR '!$B$5:$I$105,7,FALSE)</f>
        <v>2</v>
      </c>
      <c r="Q203" s="199" t="str">
        <f>VLOOKUP(A203,'SALE PARTY MASTR '!$B$5:$I$105,8,FALSE)</f>
        <v>Local Sale</v>
      </c>
      <c r="R203" s="199" t="s">
        <v>897</v>
      </c>
      <c r="S203" s="401">
        <v>87141090</v>
      </c>
      <c r="T203" s="201" t="str">
        <f>VLOOKUP(S203,'SALE HSN MASTER '!$A$6:$D$20,2,FALSE)</f>
        <v>Parts &amp; Accessories Of Motor Vehicles Other</v>
      </c>
      <c r="U203" s="201" t="str">
        <f>VLOOKUP(S203,'SALE HSN MASTER '!$A$6:$D$20,3,FALSE)</f>
        <v>NOS-NUMBERS</v>
      </c>
      <c r="V203" s="201" t="str">
        <f>VLOOKUP(S203,'SALE HSN MASTER '!$A$6:$D$20,4,FALSE)</f>
        <v>Goods</v>
      </c>
      <c r="W203" s="401">
        <v>180</v>
      </c>
    </row>
    <row r="204" spans="1:23" ht="14.4" x14ac:dyDescent="0.3">
      <c r="A204" s="423" t="s">
        <v>32</v>
      </c>
      <c r="B204" s="199" t="str">
        <f>VLOOKUP(A204,'SALE PARTY MASTR '!$B$5:$G$280,2,FALSE)</f>
        <v>Pricol Ltd (Formerly Pricol Pune Ltd)</v>
      </c>
      <c r="C204" s="397" t="s">
        <v>1177</v>
      </c>
      <c r="D204" s="398">
        <v>43147</v>
      </c>
      <c r="E204" s="320">
        <f t="shared" si="13"/>
        <v>32507.136000000002</v>
      </c>
      <c r="F204" s="321" t="str">
        <f>VLOOKUP(A204,'SALE PARTY MASTR '!$B$5:$I$105,3,FALSE)</f>
        <v>27-Maharashatra</v>
      </c>
      <c r="G204" s="321" t="str">
        <f>VLOOKUP(A204,'SALE PARTY MASTR '!$B$5:$I$105,4,FALSE)</f>
        <v>N</v>
      </c>
      <c r="H204" s="321" t="str">
        <f>VLOOKUP(A204,'SALE PARTY MASTR '!$B$5:$I$105,5,FALSE)</f>
        <v>Regular</v>
      </c>
      <c r="I204" s="321">
        <f>VLOOKUP(A204,'SALE PARTY MASTR '!$B$5:$I$105,6,FALSE)</f>
        <v>0</v>
      </c>
      <c r="J204" s="262">
        <f>VLOOKUP(S204,'SALE HSN MASTER '!$A$6:$E$20,5,FALSE)</f>
        <v>28</v>
      </c>
      <c r="K204" s="400">
        <v>25396.2</v>
      </c>
      <c r="L204" s="184"/>
      <c r="M204" s="322">
        <f t="shared" si="14"/>
        <v>0</v>
      </c>
      <c r="N204" s="322">
        <f t="shared" si="15"/>
        <v>3555.4680000000003</v>
      </c>
      <c r="O204" s="322">
        <f t="shared" si="16"/>
        <v>3555.4680000000003</v>
      </c>
      <c r="P204" s="199">
        <f>VLOOKUP(A204,'SALE PARTY MASTR '!$B$5:$I$105,7,FALSE)</f>
        <v>2</v>
      </c>
      <c r="Q204" s="199" t="str">
        <f>VLOOKUP(A204,'SALE PARTY MASTR '!$B$5:$I$105,8,FALSE)</f>
        <v>Local Sale</v>
      </c>
      <c r="R204" s="199" t="s">
        <v>897</v>
      </c>
      <c r="S204" s="401">
        <v>87141090</v>
      </c>
      <c r="T204" s="201" t="str">
        <f>VLOOKUP(S204,'SALE HSN MASTER '!$A$6:$D$20,2,FALSE)</f>
        <v>Parts &amp; Accessories Of Motor Vehicles Other</v>
      </c>
      <c r="U204" s="201" t="str">
        <f>VLOOKUP(S204,'SALE HSN MASTER '!$A$6:$D$20,3,FALSE)</f>
        <v>NOS-NUMBERS</v>
      </c>
      <c r="V204" s="201" t="str">
        <f>VLOOKUP(S204,'SALE HSN MASTER '!$A$6:$D$20,4,FALSE)</f>
        <v>Goods</v>
      </c>
      <c r="W204" s="401">
        <v>540</v>
      </c>
    </row>
    <row r="205" spans="1:23" ht="14.4" x14ac:dyDescent="0.3">
      <c r="A205" s="423" t="s">
        <v>23</v>
      </c>
      <c r="B205" s="199" t="str">
        <f>VLOOKUP(A205,'SALE PARTY MASTR '!$B$5:$G$280,2,FALSE)</f>
        <v>Varroc Polymers Pvt.ltd.</v>
      </c>
      <c r="C205" s="397" t="s">
        <v>1178</v>
      </c>
      <c r="D205" s="398">
        <v>43147</v>
      </c>
      <c r="E205" s="320">
        <f t="shared" si="13"/>
        <v>21522.816000000003</v>
      </c>
      <c r="F205" s="321" t="str">
        <f>VLOOKUP(A205,'SALE PARTY MASTR '!$B$5:$I$105,3,FALSE)</f>
        <v>27-Maharashatra</v>
      </c>
      <c r="G205" s="321" t="str">
        <f>VLOOKUP(A205,'SALE PARTY MASTR '!$B$5:$I$105,4,FALSE)</f>
        <v>N</v>
      </c>
      <c r="H205" s="321" t="str">
        <f>VLOOKUP(A205,'SALE PARTY MASTR '!$B$5:$I$105,5,FALSE)</f>
        <v>Regular</v>
      </c>
      <c r="I205" s="321">
        <f>VLOOKUP(A205,'SALE PARTY MASTR '!$B$5:$I$105,6,FALSE)</f>
        <v>0</v>
      </c>
      <c r="J205" s="262">
        <f>VLOOKUP(S205,'SALE HSN MASTER '!$A$6:$E$20,5,FALSE)</f>
        <v>28</v>
      </c>
      <c r="K205" s="400">
        <v>16814.7</v>
      </c>
      <c r="L205" s="184"/>
      <c r="M205" s="322">
        <f t="shared" si="14"/>
        <v>0</v>
      </c>
      <c r="N205" s="322">
        <f t="shared" si="15"/>
        <v>2354.0580000000004</v>
      </c>
      <c r="O205" s="322">
        <f t="shared" si="16"/>
        <v>2354.0580000000004</v>
      </c>
      <c r="P205" s="199">
        <f>VLOOKUP(A205,'SALE PARTY MASTR '!$B$5:$I$105,7,FALSE)</f>
        <v>2</v>
      </c>
      <c r="Q205" s="199" t="str">
        <f>VLOOKUP(A205,'SALE PARTY MASTR '!$B$5:$I$105,8,FALSE)</f>
        <v>Local Sale</v>
      </c>
      <c r="R205" s="199" t="s">
        <v>897</v>
      </c>
      <c r="S205" s="401">
        <v>87081090</v>
      </c>
      <c r="T205" s="201" t="str">
        <f>VLOOKUP(S205,'SALE HSN MASTER '!$A$6:$D$20,2,FALSE)</f>
        <v>Parts &amp; Accessories Of Motor Vehicles Other</v>
      </c>
      <c r="U205" s="201" t="str">
        <f>VLOOKUP(S205,'SALE HSN MASTER '!$A$6:$D$20,3,FALSE)</f>
        <v>NOS-NUMBERS</v>
      </c>
      <c r="V205" s="201" t="str">
        <f>VLOOKUP(S205,'SALE HSN MASTER '!$A$6:$D$20,4,FALSE)</f>
        <v>Goods</v>
      </c>
      <c r="W205" s="401">
        <v>204</v>
      </c>
    </row>
    <row r="206" spans="1:23" ht="14.4" x14ac:dyDescent="0.3">
      <c r="A206" s="423" t="s">
        <v>23</v>
      </c>
      <c r="B206" s="199" t="str">
        <f>VLOOKUP(A206,'SALE PARTY MASTR '!$B$5:$G$280,2,FALSE)</f>
        <v>Varroc Polymers Pvt.ltd.</v>
      </c>
      <c r="C206" s="397" t="s">
        <v>1179</v>
      </c>
      <c r="D206" s="398">
        <v>43147</v>
      </c>
      <c r="E206" s="320">
        <f t="shared" si="13"/>
        <v>8121.6</v>
      </c>
      <c r="F206" s="321" t="str">
        <f>VLOOKUP(A206,'SALE PARTY MASTR '!$B$5:$I$105,3,FALSE)</f>
        <v>27-Maharashatra</v>
      </c>
      <c r="G206" s="321" t="str">
        <f>VLOOKUP(A206,'SALE PARTY MASTR '!$B$5:$I$105,4,FALSE)</f>
        <v>N</v>
      </c>
      <c r="H206" s="321" t="str">
        <f>VLOOKUP(A206,'SALE PARTY MASTR '!$B$5:$I$105,5,FALSE)</f>
        <v>Regular</v>
      </c>
      <c r="I206" s="321">
        <f>VLOOKUP(A206,'SALE PARTY MASTR '!$B$5:$I$105,6,FALSE)</f>
        <v>0</v>
      </c>
      <c r="J206" s="262">
        <f>VLOOKUP(S206,'SALE HSN MASTER '!$A$6:$E$20,5,FALSE)</f>
        <v>28</v>
      </c>
      <c r="K206" s="400">
        <v>6345</v>
      </c>
      <c r="L206" s="184"/>
      <c r="M206" s="322">
        <f t="shared" si="14"/>
        <v>0</v>
      </c>
      <c r="N206" s="322">
        <f t="shared" si="15"/>
        <v>888.30000000000007</v>
      </c>
      <c r="O206" s="322">
        <f t="shared" si="16"/>
        <v>888.30000000000007</v>
      </c>
      <c r="P206" s="199">
        <f>VLOOKUP(A206,'SALE PARTY MASTR '!$B$5:$I$105,7,FALSE)</f>
        <v>2</v>
      </c>
      <c r="Q206" s="199" t="str">
        <f>VLOOKUP(A206,'SALE PARTY MASTR '!$B$5:$I$105,8,FALSE)</f>
        <v>Local Sale</v>
      </c>
      <c r="R206" s="199" t="s">
        <v>897</v>
      </c>
      <c r="S206" s="401">
        <v>87141090</v>
      </c>
      <c r="T206" s="201" t="str">
        <f>VLOOKUP(S206,'SALE HSN MASTER '!$A$6:$D$20,2,FALSE)</f>
        <v>Parts &amp; Accessories Of Motor Vehicles Other</v>
      </c>
      <c r="U206" s="201" t="str">
        <f>VLOOKUP(S206,'SALE HSN MASTER '!$A$6:$D$20,3,FALSE)</f>
        <v>NOS-NUMBERS</v>
      </c>
      <c r="V206" s="201" t="str">
        <f>VLOOKUP(S206,'SALE HSN MASTER '!$A$6:$D$20,4,FALSE)</f>
        <v>Goods</v>
      </c>
      <c r="W206" s="401">
        <v>180</v>
      </c>
    </row>
    <row r="207" spans="1:23" ht="14.4" x14ac:dyDescent="0.3">
      <c r="A207" s="423" t="s">
        <v>28</v>
      </c>
      <c r="B207" s="199" t="str">
        <f>VLOOKUP(A207,'SALE PARTY MASTR '!$B$5:$G$280,2,FALSE)</f>
        <v>Lumax Auto Technologies Ltd.</v>
      </c>
      <c r="C207" s="397" t="s">
        <v>1180</v>
      </c>
      <c r="D207" s="398">
        <v>43147</v>
      </c>
      <c r="E207" s="320">
        <f t="shared" si="13"/>
        <v>26123.076000000001</v>
      </c>
      <c r="F207" s="321" t="str">
        <f>VLOOKUP(A207,'SALE PARTY MASTR '!$B$5:$I$105,3,FALSE)</f>
        <v>27-Maharashatra</v>
      </c>
      <c r="G207" s="321" t="str">
        <f>VLOOKUP(A207,'SALE PARTY MASTR '!$B$5:$I$105,4,FALSE)</f>
        <v>N</v>
      </c>
      <c r="H207" s="321" t="str">
        <f>VLOOKUP(A207,'SALE PARTY MASTR '!$B$5:$I$105,5,FALSE)</f>
        <v>Regular</v>
      </c>
      <c r="I207" s="321">
        <f>VLOOKUP(A207,'SALE PARTY MASTR '!$B$5:$I$105,6,FALSE)</f>
        <v>0</v>
      </c>
      <c r="J207" s="262">
        <f>VLOOKUP(S207,'SALE HSN MASTER '!$A$6:$E$20,5,FALSE)</f>
        <v>18</v>
      </c>
      <c r="K207" s="400">
        <v>22138.2</v>
      </c>
      <c r="L207" s="184"/>
      <c r="M207" s="322">
        <f t="shared" si="14"/>
        <v>0</v>
      </c>
      <c r="N207" s="322">
        <f t="shared" si="15"/>
        <v>1992.4380000000001</v>
      </c>
      <c r="O207" s="322">
        <f t="shared" si="16"/>
        <v>1992.4380000000001</v>
      </c>
      <c r="P207" s="199">
        <f>VLOOKUP(A207,'SALE PARTY MASTR '!$B$5:$I$105,7,FALSE)</f>
        <v>2</v>
      </c>
      <c r="Q207" s="199" t="str">
        <f>VLOOKUP(A207,'SALE PARTY MASTR '!$B$5:$I$105,8,FALSE)</f>
        <v>Local Sale</v>
      </c>
      <c r="R207" s="199" t="s">
        <v>894</v>
      </c>
      <c r="S207" s="401">
        <v>85129000</v>
      </c>
      <c r="T207" s="201" t="str">
        <f>VLOOKUP(S207,'SALE HSN MASTER '!$A$6:$D$20,2,FALSE)</f>
        <v>Parts &amp; Accessories Of Motor Vehicles Other</v>
      </c>
      <c r="U207" s="201" t="str">
        <f>VLOOKUP(S207,'SALE HSN MASTER '!$A$6:$D$20,3,FALSE)</f>
        <v>NOS-NUMBERS</v>
      </c>
      <c r="V207" s="201" t="str">
        <f>VLOOKUP(S207,'SALE HSN MASTER '!$A$6:$D$20,4,FALSE)</f>
        <v>Goods</v>
      </c>
      <c r="W207" s="401">
        <v>180</v>
      </c>
    </row>
    <row r="208" spans="1:23" ht="14.4" x14ac:dyDescent="0.3">
      <c r="A208" s="423" t="s">
        <v>23</v>
      </c>
      <c r="B208" s="199" t="str">
        <f>VLOOKUP(A208,'SALE PARTY MASTR '!$B$5:$G$280,2,FALSE)</f>
        <v>Varroc Polymers Pvt.ltd.</v>
      </c>
      <c r="C208" s="397" t="s">
        <v>1181</v>
      </c>
      <c r="D208" s="398">
        <v>43147</v>
      </c>
      <c r="E208" s="320">
        <f t="shared" si="13"/>
        <v>37734.451200000003</v>
      </c>
      <c r="F208" s="321" t="str">
        <f>VLOOKUP(A208,'SALE PARTY MASTR '!$B$5:$I$105,3,FALSE)</f>
        <v>27-Maharashatra</v>
      </c>
      <c r="G208" s="321" t="str">
        <f>VLOOKUP(A208,'SALE PARTY MASTR '!$B$5:$I$105,4,FALSE)</f>
        <v>N</v>
      </c>
      <c r="H208" s="321" t="str">
        <f>VLOOKUP(A208,'SALE PARTY MASTR '!$B$5:$I$105,5,FALSE)</f>
        <v>Regular</v>
      </c>
      <c r="I208" s="321">
        <f>VLOOKUP(A208,'SALE PARTY MASTR '!$B$5:$I$105,6,FALSE)</f>
        <v>0</v>
      </c>
      <c r="J208" s="262">
        <f>VLOOKUP(S208,'SALE HSN MASTER '!$A$6:$E$20,5,FALSE)</f>
        <v>28</v>
      </c>
      <c r="K208" s="400">
        <v>29480.04</v>
      </c>
      <c r="L208" s="184"/>
      <c r="M208" s="322">
        <f t="shared" si="14"/>
        <v>0</v>
      </c>
      <c r="N208" s="322">
        <f t="shared" si="15"/>
        <v>4127.2056000000002</v>
      </c>
      <c r="O208" s="322">
        <f t="shared" si="16"/>
        <v>4127.2056000000002</v>
      </c>
      <c r="P208" s="199">
        <f>VLOOKUP(A208,'SALE PARTY MASTR '!$B$5:$I$105,7,FALSE)</f>
        <v>2</v>
      </c>
      <c r="Q208" s="199" t="str">
        <f>VLOOKUP(A208,'SALE PARTY MASTR '!$B$5:$I$105,8,FALSE)</f>
        <v>Local Sale</v>
      </c>
      <c r="R208" s="199" t="s">
        <v>897</v>
      </c>
      <c r="S208" s="401">
        <v>87081090</v>
      </c>
      <c r="T208" s="201" t="str">
        <f>VLOOKUP(S208,'SALE HSN MASTER '!$A$6:$D$20,2,FALSE)</f>
        <v>Parts &amp; Accessories Of Motor Vehicles Other</v>
      </c>
      <c r="U208" s="201" t="str">
        <f>VLOOKUP(S208,'SALE HSN MASTER '!$A$6:$D$20,3,FALSE)</f>
        <v>NOS-NUMBERS</v>
      </c>
      <c r="V208" s="201" t="str">
        <f>VLOOKUP(S208,'SALE HSN MASTER '!$A$6:$D$20,4,FALSE)</f>
        <v>Goods</v>
      </c>
      <c r="W208" s="401">
        <v>408</v>
      </c>
    </row>
    <row r="209" spans="1:23" ht="14.4" x14ac:dyDescent="0.3">
      <c r="A209" s="423" t="s">
        <v>23</v>
      </c>
      <c r="B209" s="199" t="str">
        <f>VLOOKUP(A209,'SALE PARTY MASTR '!$B$5:$G$280,2,FALSE)</f>
        <v>Varroc Polymers Pvt.ltd.</v>
      </c>
      <c r="C209" s="397" t="s">
        <v>1182</v>
      </c>
      <c r="D209" s="398">
        <v>43148</v>
      </c>
      <c r="E209" s="320">
        <f t="shared" si="13"/>
        <v>37734.451200000003</v>
      </c>
      <c r="F209" s="321" t="str">
        <f>VLOOKUP(A209,'SALE PARTY MASTR '!$B$5:$I$105,3,FALSE)</f>
        <v>27-Maharashatra</v>
      </c>
      <c r="G209" s="321" t="str">
        <f>VLOOKUP(A209,'SALE PARTY MASTR '!$B$5:$I$105,4,FALSE)</f>
        <v>N</v>
      </c>
      <c r="H209" s="321" t="str">
        <f>VLOOKUP(A209,'SALE PARTY MASTR '!$B$5:$I$105,5,FALSE)</f>
        <v>Regular</v>
      </c>
      <c r="I209" s="321">
        <f>VLOOKUP(A209,'SALE PARTY MASTR '!$B$5:$I$105,6,FALSE)</f>
        <v>0</v>
      </c>
      <c r="J209" s="262">
        <f>VLOOKUP(S209,'SALE HSN MASTER '!$A$6:$E$20,5,FALSE)</f>
        <v>28</v>
      </c>
      <c r="K209" s="400">
        <v>29480.04</v>
      </c>
      <c r="L209" s="184"/>
      <c r="M209" s="322">
        <f t="shared" si="14"/>
        <v>0</v>
      </c>
      <c r="N209" s="322">
        <f t="shared" si="15"/>
        <v>4127.2056000000002</v>
      </c>
      <c r="O209" s="322">
        <f t="shared" si="16"/>
        <v>4127.2056000000002</v>
      </c>
      <c r="P209" s="199">
        <f>VLOOKUP(A209,'SALE PARTY MASTR '!$B$5:$I$105,7,FALSE)</f>
        <v>2</v>
      </c>
      <c r="Q209" s="199" t="str">
        <f>VLOOKUP(A209,'SALE PARTY MASTR '!$B$5:$I$105,8,FALSE)</f>
        <v>Local Sale</v>
      </c>
      <c r="R209" s="199" t="s">
        <v>897</v>
      </c>
      <c r="S209" s="401">
        <v>87081090</v>
      </c>
      <c r="T209" s="201" t="str">
        <f>VLOOKUP(S209,'SALE HSN MASTER '!$A$6:$D$20,2,FALSE)</f>
        <v>Parts &amp; Accessories Of Motor Vehicles Other</v>
      </c>
      <c r="U209" s="201" t="str">
        <f>VLOOKUP(S209,'SALE HSN MASTER '!$A$6:$D$20,3,FALSE)</f>
        <v>NOS-NUMBERS</v>
      </c>
      <c r="V209" s="201" t="str">
        <f>VLOOKUP(S209,'SALE HSN MASTER '!$A$6:$D$20,4,FALSE)</f>
        <v>Goods</v>
      </c>
      <c r="W209" s="401">
        <v>408</v>
      </c>
    </row>
    <row r="210" spans="1:23" ht="14.4" x14ac:dyDescent="0.3">
      <c r="A210" s="423" t="s">
        <v>24</v>
      </c>
      <c r="B210" s="199" t="str">
        <f>VLOOKUP(A210,'SALE PARTY MASTR '!$B$5:$G$280,2,FALSE)</f>
        <v>Tata Autocomp Systems LTD.(X1)</v>
      </c>
      <c r="C210" s="397" t="s">
        <v>1183</v>
      </c>
      <c r="D210" s="398">
        <v>43148</v>
      </c>
      <c r="E210" s="320">
        <f t="shared" si="13"/>
        <v>33506.969600000004</v>
      </c>
      <c r="F210" s="321" t="str">
        <f>VLOOKUP(A210,'SALE PARTY MASTR '!$B$5:$I$105,3,FALSE)</f>
        <v>27-Maharashatra</v>
      </c>
      <c r="G210" s="321" t="str">
        <f>VLOOKUP(A210,'SALE PARTY MASTR '!$B$5:$I$105,4,FALSE)</f>
        <v>N</v>
      </c>
      <c r="H210" s="321" t="str">
        <f>VLOOKUP(A210,'SALE PARTY MASTR '!$B$5:$I$105,5,FALSE)</f>
        <v>Regular</v>
      </c>
      <c r="I210" s="321">
        <f>VLOOKUP(A210,'SALE PARTY MASTR '!$B$5:$I$105,6,FALSE)</f>
        <v>0</v>
      </c>
      <c r="J210" s="262">
        <f>VLOOKUP(S210,'SALE HSN MASTER '!$A$6:$E$20,5,FALSE)</f>
        <v>28</v>
      </c>
      <c r="K210" s="400">
        <v>26177.32</v>
      </c>
      <c r="L210" s="184"/>
      <c r="M210" s="322">
        <f t="shared" si="14"/>
        <v>0</v>
      </c>
      <c r="N210" s="322">
        <f t="shared" si="15"/>
        <v>3664.8248000000003</v>
      </c>
      <c r="O210" s="322">
        <f t="shared" si="16"/>
        <v>3664.8248000000003</v>
      </c>
      <c r="P210" s="199">
        <f>VLOOKUP(A210,'SALE PARTY MASTR '!$B$5:$I$105,7,FALSE)</f>
        <v>2</v>
      </c>
      <c r="Q210" s="199" t="str">
        <f>VLOOKUP(A210,'SALE PARTY MASTR '!$B$5:$I$105,8,FALSE)</f>
        <v>Local Sale</v>
      </c>
      <c r="R210" s="199" t="s">
        <v>897</v>
      </c>
      <c r="S210" s="401">
        <v>87089900</v>
      </c>
      <c r="T210" s="201" t="str">
        <f>VLOOKUP(S210,'SALE HSN MASTER '!$A$6:$D$20,2,FALSE)</f>
        <v>Parts &amp; Accessories Of Motor Vehicles Other</v>
      </c>
      <c r="U210" s="201" t="str">
        <f>VLOOKUP(S210,'SALE HSN MASTER '!$A$6:$D$20,3,FALSE)</f>
        <v>NOS-NUMBERS</v>
      </c>
      <c r="V210" s="201" t="str">
        <f>VLOOKUP(S210,'SALE HSN MASTER '!$A$6:$D$20,4,FALSE)</f>
        <v>Goods</v>
      </c>
      <c r="W210" s="401">
        <v>76</v>
      </c>
    </row>
    <row r="211" spans="1:23" ht="14.4" x14ac:dyDescent="0.3">
      <c r="A211" s="423" t="s">
        <v>862</v>
      </c>
      <c r="B211" s="199" t="str">
        <f>VLOOKUP(A211,'SALE PARTY MASTR '!$B$5:$G$280,2,FALSE)</f>
        <v>Varroc Engineering Pvt Ltd</v>
      </c>
      <c r="C211" s="397" t="s">
        <v>1184</v>
      </c>
      <c r="D211" s="398">
        <v>43148</v>
      </c>
      <c r="E211" s="320">
        <f t="shared" si="13"/>
        <v>38354.688000000002</v>
      </c>
      <c r="F211" s="321" t="str">
        <f>VLOOKUP(A211,'SALE PARTY MASTR '!$B$5:$I$105,3,FALSE)</f>
        <v>27-Maharashatra</v>
      </c>
      <c r="G211" s="321" t="str">
        <f>VLOOKUP(A211,'SALE PARTY MASTR '!$B$5:$I$105,4,FALSE)</f>
        <v>N</v>
      </c>
      <c r="H211" s="321" t="str">
        <f>VLOOKUP(A211,'SALE PARTY MASTR '!$B$5:$I$105,5,FALSE)</f>
        <v>Regular</v>
      </c>
      <c r="I211" s="321">
        <f>VLOOKUP(A211,'SALE PARTY MASTR '!$B$5:$I$105,6,FALSE)</f>
        <v>0</v>
      </c>
      <c r="J211" s="262">
        <f>VLOOKUP(S211,'SALE HSN MASTER '!$A$6:$E$20,5,FALSE)</f>
        <v>28</v>
      </c>
      <c r="K211" s="400">
        <v>29964.6</v>
      </c>
      <c r="L211" s="184"/>
      <c r="M211" s="322">
        <f t="shared" si="14"/>
        <v>0</v>
      </c>
      <c r="N211" s="322">
        <f t="shared" si="15"/>
        <v>4195.0439999999999</v>
      </c>
      <c r="O211" s="322">
        <f t="shared" si="16"/>
        <v>4195.0439999999999</v>
      </c>
      <c r="P211" s="199">
        <f>VLOOKUP(A211,'SALE PARTY MASTR '!$B$5:$I$105,7,FALSE)</f>
        <v>2</v>
      </c>
      <c r="Q211" s="199" t="str">
        <f>VLOOKUP(A211,'SALE PARTY MASTR '!$B$5:$I$105,8,FALSE)</f>
        <v>Local Sale</v>
      </c>
      <c r="R211" s="199" t="s">
        <v>897</v>
      </c>
      <c r="S211" s="401">
        <v>85119000</v>
      </c>
      <c r="T211" s="201" t="str">
        <f>VLOOKUP(S211,'SALE HSN MASTER '!$A$6:$D$20,2,FALSE)</f>
        <v>Parts &amp; Accessories Of Motor Vehicles Other</v>
      </c>
      <c r="U211" s="201" t="str">
        <f>VLOOKUP(S211,'SALE HSN MASTER '!$A$6:$D$20,3,FALSE)</f>
        <v>NOS-NUMBERS</v>
      </c>
      <c r="V211" s="201" t="str">
        <f>VLOOKUP(S211,'SALE HSN MASTER '!$A$6:$D$20,4,FALSE)</f>
        <v>Goods</v>
      </c>
      <c r="W211" s="401">
        <v>540</v>
      </c>
    </row>
    <row r="212" spans="1:23" ht="14.4" x14ac:dyDescent="0.3">
      <c r="A212" s="423" t="s">
        <v>862</v>
      </c>
      <c r="B212" s="199" t="str">
        <f>VLOOKUP(A212,'SALE PARTY MASTR '!$B$5:$G$280,2,FALSE)</f>
        <v>Varroc Engineering Pvt Ltd</v>
      </c>
      <c r="C212" s="397" t="s">
        <v>1185</v>
      </c>
      <c r="D212" s="398">
        <v>43148</v>
      </c>
      <c r="E212" s="320">
        <f t="shared" si="13"/>
        <v>30468.096000000001</v>
      </c>
      <c r="F212" s="321" t="str">
        <f>VLOOKUP(A212,'SALE PARTY MASTR '!$B$5:$I$105,3,FALSE)</f>
        <v>27-Maharashatra</v>
      </c>
      <c r="G212" s="321" t="str">
        <f>VLOOKUP(A212,'SALE PARTY MASTR '!$B$5:$I$105,4,FALSE)</f>
        <v>N</v>
      </c>
      <c r="H212" s="321" t="str">
        <f>VLOOKUP(A212,'SALE PARTY MASTR '!$B$5:$I$105,5,FALSE)</f>
        <v>Regular</v>
      </c>
      <c r="I212" s="321">
        <f>VLOOKUP(A212,'SALE PARTY MASTR '!$B$5:$I$105,6,FALSE)</f>
        <v>0</v>
      </c>
      <c r="J212" s="262">
        <f>VLOOKUP(S212,'SALE HSN MASTER '!$A$6:$E$20,5,FALSE)</f>
        <v>28</v>
      </c>
      <c r="K212" s="400">
        <v>23803.200000000001</v>
      </c>
      <c r="L212" s="184"/>
      <c r="M212" s="322">
        <f t="shared" si="14"/>
        <v>0</v>
      </c>
      <c r="N212" s="322">
        <f t="shared" si="15"/>
        <v>3332.4480000000003</v>
      </c>
      <c r="O212" s="322">
        <f t="shared" si="16"/>
        <v>3332.4480000000003</v>
      </c>
      <c r="P212" s="199">
        <f>VLOOKUP(A212,'SALE PARTY MASTR '!$B$5:$I$105,7,FALSE)</f>
        <v>2</v>
      </c>
      <c r="Q212" s="199" t="str">
        <f>VLOOKUP(A212,'SALE PARTY MASTR '!$B$5:$I$105,8,FALSE)</f>
        <v>Local Sale</v>
      </c>
      <c r="R212" s="199" t="s">
        <v>897</v>
      </c>
      <c r="S212" s="401">
        <v>87142090</v>
      </c>
      <c r="T212" s="201" t="str">
        <f>VLOOKUP(S212,'SALE HSN MASTER '!$A$6:$D$20,2,FALSE)</f>
        <v>Parts &amp; Accessories Of Motor Vehicles Other</v>
      </c>
      <c r="U212" s="201" t="str">
        <f>VLOOKUP(S212,'SALE HSN MASTER '!$A$6:$D$20,3,FALSE)</f>
        <v>NOS-NUMBERS</v>
      </c>
      <c r="V212" s="201" t="str">
        <f>VLOOKUP(S212,'SALE HSN MASTER '!$A$6:$D$20,4,FALSE)</f>
        <v>Goods</v>
      </c>
      <c r="W212" s="401">
        <v>540</v>
      </c>
    </row>
    <row r="213" spans="1:23" ht="14.4" x14ac:dyDescent="0.3">
      <c r="A213" s="423" t="s">
        <v>23</v>
      </c>
      <c r="B213" s="199" t="str">
        <f>VLOOKUP(A213,'SALE PARTY MASTR '!$B$5:$G$280,2,FALSE)</f>
        <v>Varroc Polymers Pvt.ltd.</v>
      </c>
      <c r="C213" s="397" t="s">
        <v>1186</v>
      </c>
      <c r="D213" s="398">
        <v>43148</v>
      </c>
      <c r="E213" s="320">
        <f t="shared" si="13"/>
        <v>37734.451200000003</v>
      </c>
      <c r="F213" s="321" t="str">
        <f>VLOOKUP(A213,'SALE PARTY MASTR '!$B$5:$I$105,3,FALSE)</f>
        <v>27-Maharashatra</v>
      </c>
      <c r="G213" s="321" t="str">
        <f>VLOOKUP(A213,'SALE PARTY MASTR '!$B$5:$I$105,4,FALSE)</f>
        <v>N</v>
      </c>
      <c r="H213" s="321" t="str">
        <f>VLOOKUP(A213,'SALE PARTY MASTR '!$B$5:$I$105,5,FALSE)</f>
        <v>Regular</v>
      </c>
      <c r="I213" s="321">
        <f>VLOOKUP(A213,'SALE PARTY MASTR '!$B$5:$I$105,6,FALSE)</f>
        <v>0</v>
      </c>
      <c r="J213" s="262">
        <f>VLOOKUP(S213,'SALE HSN MASTER '!$A$6:$E$20,5,FALSE)</f>
        <v>28</v>
      </c>
      <c r="K213" s="400">
        <v>29480.04</v>
      </c>
      <c r="L213" s="184"/>
      <c r="M213" s="322">
        <f t="shared" si="14"/>
        <v>0</v>
      </c>
      <c r="N213" s="322">
        <f t="shared" si="15"/>
        <v>4127.2056000000002</v>
      </c>
      <c r="O213" s="322">
        <f t="shared" si="16"/>
        <v>4127.2056000000002</v>
      </c>
      <c r="P213" s="199">
        <f>VLOOKUP(A213,'SALE PARTY MASTR '!$B$5:$I$105,7,FALSE)</f>
        <v>2</v>
      </c>
      <c r="Q213" s="199" t="str">
        <f>VLOOKUP(A213,'SALE PARTY MASTR '!$B$5:$I$105,8,FALSE)</f>
        <v>Local Sale</v>
      </c>
      <c r="R213" s="199" t="s">
        <v>897</v>
      </c>
      <c r="S213" s="401">
        <v>87081090</v>
      </c>
      <c r="T213" s="201" t="str">
        <f>VLOOKUP(S213,'SALE HSN MASTER '!$A$6:$D$20,2,FALSE)</f>
        <v>Parts &amp; Accessories Of Motor Vehicles Other</v>
      </c>
      <c r="U213" s="201" t="str">
        <f>VLOOKUP(S213,'SALE HSN MASTER '!$A$6:$D$20,3,FALSE)</f>
        <v>NOS-NUMBERS</v>
      </c>
      <c r="V213" s="201" t="str">
        <f>VLOOKUP(S213,'SALE HSN MASTER '!$A$6:$D$20,4,FALSE)</f>
        <v>Goods</v>
      </c>
      <c r="W213" s="401">
        <v>408</v>
      </c>
    </row>
    <row r="214" spans="1:23" ht="14.4" x14ac:dyDescent="0.3">
      <c r="A214" s="423" t="s">
        <v>27</v>
      </c>
      <c r="B214" s="199" t="str">
        <f>VLOOKUP(A214,'SALE PARTY MASTR '!$B$5:$G$280,2,FALSE)</f>
        <v>Rinder India Pvt Ltd.</v>
      </c>
      <c r="C214" s="397" t="s">
        <v>1187</v>
      </c>
      <c r="D214" s="398">
        <v>43148</v>
      </c>
      <c r="E214" s="320">
        <f t="shared" si="13"/>
        <v>35400</v>
      </c>
      <c r="F214" s="321" t="str">
        <f>VLOOKUP(A214,'SALE PARTY MASTR '!$B$5:$I$105,3,FALSE)</f>
        <v>27-Maharashatra</v>
      </c>
      <c r="G214" s="321" t="str">
        <f>VLOOKUP(A214,'SALE PARTY MASTR '!$B$5:$I$105,4,FALSE)</f>
        <v>N</v>
      </c>
      <c r="H214" s="321" t="str">
        <f>VLOOKUP(A214,'SALE PARTY MASTR '!$B$5:$I$105,5,FALSE)</f>
        <v>Regular</v>
      </c>
      <c r="I214" s="321">
        <f>VLOOKUP(A214,'SALE PARTY MASTR '!$B$5:$I$105,6,FALSE)</f>
        <v>0</v>
      </c>
      <c r="J214" s="262">
        <f>VLOOKUP(S214,'SALE HSN MASTER '!$A$6:$E$20,5,FALSE)</f>
        <v>18</v>
      </c>
      <c r="K214" s="400">
        <v>30000</v>
      </c>
      <c r="L214" s="184"/>
      <c r="M214" s="322">
        <f t="shared" si="14"/>
        <v>0</v>
      </c>
      <c r="N214" s="322">
        <f t="shared" si="15"/>
        <v>2700</v>
      </c>
      <c r="O214" s="322">
        <f t="shared" si="16"/>
        <v>2700</v>
      </c>
      <c r="P214" s="199">
        <f>VLOOKUP(A214,'SALE PARTY MASTR '!$B$5:$I$105,7,FALSE)</f>
        <v>2</v>
      </c>
      <c r="Q214" s="199" t="str">
        <f>VLOOKUP(A214,'SALE PARTY MASTR '!$B$5:$I$105,8,FALSE)</f>
        <v>Local Sale</v>
      </c>
      <c r="R214" s="199" t="s">
        <v>894</v>
      </c>
      <c r="S214" s="401">
        <v>85129000</v>
      </c>
      <c r="T214" s="201" t="str">
        <f>VLOOKUP(S214,'SALE HSN MASTER '!$A$6:$D$20,2,FALSE)</f>
        <v>Parts &amp; Accessories Of Motor Vehicles Other</v>
      </c>
      <c r="U214" s="201" t="str">
        <f>VLOOKUP(S214,'SALE HSN MASTER '!$A$6:$D$20,3,FALSE)</f>
        <v>NOS-NUMBERS</v>
      </c>
      <c r="V214" s="201" t="str">
        <f>VLOOKUP(S214,'SALE HSN MASTER '!$A$6:$D$20,4,FALSE)</f>
        <v>Goods</v>
      </c>
      <c r="W214" s="401">
        <v>1200</v>
      </c>
    </row>
    <row r="215" spans="1:23" ht="14.4" x14ac:dyDescent="0.3">
      <c r="A215" s="423" t="s">
        <v>31</v>
      </c>
      <c r="B215" s="199" t="str">
        <f>VLOOKUP(A215,'SALE PARTY MASTR '!$B$5:$G$280,2,FALSE)</f>
        <v>Mittal Precision Auto Comps Pvt Ltd,</v>
      </c>
      <c r="C215" s="397" t="s">
        <v>1188</v>
      </c>
      <c r="D215" s="398">
        <v>43148</v>
      </c>
      <c r="E215" s="320">
        <f t="shared" si="13"/>
        <v>7109.5944</v>
      </c>
      <c r="F215" s="321" t="str">
        <f>VLOOKUP(A215,'SALE PARTY MASTR '!$B$5:$I$105,3,FALSE)</f>
        <v>27-Maharashatra</v>
      </c>
      <c r="G215" s="321" t="str">
        <f>VLOOKUP(A215,'SALE PARTY MASTR '!$B$5:$I$105,4,FALSE)</f>
        <v>N</v>
      </c>
      <c r="H215" s="321" t="str">
        <f>VLOOKUP(A215,'SALE PARTY MASTR '!$B$5:$I$105,5,FALSE)</f>
        <v>Regular</v>
      </c>
      <c r="I215" s="321">
        <f>VLOOKUP(A215,'SALE PARTY MASTR '!$B$5:$I$105,6,FALSE)</f>
        <v>0</v>
      </c>
      <c r="J215" s="262">
        <f>VLOOKUP(S215,'SALE HSN MASTER '!$A$6:$E$20,5,FALSE)</f>
        <v>18</v>
      </c>
      <c r="K215" s="400">
        <v>6025.08</v>
      </c>
      <c r="L215" s="184"/>
      <c r="M215" s="322">
        <f t="shared" si="14"/>
        <v>0</v>
      </c>
      <c r="N215" s="322">
        <f t="shared" si="15"/>
        <v>542.25720000000001</v>
      </c>
      <c r="O215" s="322">
        <f t="shared" si="16"/>
        <v>542.25720000000001</v>
      </c>
      <c r="P215" s="199">
        <f>VLOOKUP(A215,'SALE PARTY MASTR '!$B$5:$I$105,7,FALSE)</f>
        <v>2</v>
      </c>
      <c r="Q215" s="199" t="str">
        <f>VLOOKUP(A215,'SALE PARTY MASTR '!$B$5:$I$105,8,FALSE)</f>
        <v>Local Sale</v>
      </c>
      <c r="R215" s="199" t="s">
        <v>894</v>
      </c>
      <c r="S215" s="401">
        <v>998898</v>
      </c>
      <c r="T215" s="201" t="str">
        <f>VLOOKUP(S215,'SALE HSN MASTER '!$A$6:$D$20,2,FALSE)</f>
        <v>Parts &amp; Accessories Of Motor Vehicles Other</v>
      </c>
      <c r="U215" s="201" t="str">
        <f>VLOOKUP(S215,'SALE HSN MASTER '!$A$6:$D$20,3,FALSE)</f>
        <v>NOS-NUMBERS</v>
      </c>
      <c r="V215" s="201" t="str">
        <f>VLOOKUP(S215,'SALE HSN MASTER '!$A$6:$D$20,4,FALSE)</f>
        <v>Service</v>
      </c>
      <c r="W215" s="401">
        <v>12</v>
      </c>
    </row>
    <row r="216" spans="1:23" ht="14.4" x14ac:dyDescent="0.3">
      <c r="A216" s="423" t="s">
        <v>28</v>
      </c>
      <c r="B216" s="199" t="str">
        <f>VLOOKUP(A216,'SALE PARTY MASTR '!$B$5:$G$280,2,FALSE)</f>
        <v>Lumax Auto Technologies Ltd.</v>
      </c>
      <c r="C216" s="397" t="s">
        <v>1189</v>
      </c>
      <c r="D216" s="398">
        <v>43148</v>
      </c>
      <c r="E216" s="320">
        <f t="shared" si="13"/>
        <v>54858.695599999992</v>
      </c>
      <c r="F216" s="321" t="str">
        <f>VLOOKUP(A216,'SALE PARTY MASTR '!$B$5:$I$105,3,FALSE)</f>
        <v>27-Maharashatra</v>
      </c>
      <c r="G216" s="321" t="str">
        <f>VLOOKUP(A216,'SALE PARTY MASTR '!$B$5:$I$105,4,FALSE)</f>
        <v>N</v>
      </c>
      <c r="H216" s="321" t="str">
        <f>VLOOKUP(A216,'SALE PARTY MASTR '!$B$5:$I$105,5,FALSE)</f>
        <v>Regular</v>
      </c>
      <c r="I216" s="321">
        <f>VLOOKUP(A216,'SALE PARTY MASTR '!$B$5:$I$105,6,FALSE)</f>
        <v>0</v>
      </c>
      <c r="J216" s="262">
        <f>VLOOKUP(S216,'SALE HSN MASTER '!$A$6:$E$20,5,FALSE)</f>
        <v>18</v>
      </c>
      <c r="K216" s="400">
        <v>46490.42</v>
      </c>
      <c r="L216" s="184"/>
      <c r="M216" s="322">
        <f t="shared" si="14"/>
        <v>0</v>
      </c>
      <c r="N216" s="322">
        <f t="shared" si="15"/>
        <v>4184.1377999999995</v>
      </c>
      <c r="O216" s="322">
        <f t="shared" si="16"/>
        <v>4184.1377999999995</v>
      </c>
      <c r="P216" s="199">
        <f>VLOOKUP(A216,'SALE PARTY MASTR '!$B$5:$I$105,7,FALSE)</f>
        <v>2</v>
      </c>
      <c r="Q216" s="199" t="str">
        <f>VLOOKUP(A216,'SALE PARTY MASTR '!$B$5:$I$105,8,FALSE)</f>
        <v>Local Sale</v>
      </c>
      <c r="R216" s="199" t="s">
        <v>894</v>
      </c>
      <c r="S216" s="401">
        <v>85129000</v>
      </c>
      <c r="T216" s="201" t="str">
        <f>VLOOKUP(S216,'SALE HSN MASTER '!$A$6:$D$20,2,FALSE)</f>
        <v>Parts &amp; Accessories Of Motor Vehicles Other</v>
      </c>
      <c r="U216" s="201" t="str">
        <f>VLOOKUP(S216,'SALE HSN MASTER '!$A$6:$D$20,3,FALSE)</f>
        <v>NOS-NUMBERS</v>
      </c>
      <c r="V216" s="201" t="str">
        <f>VLOOKUP(S216,'SALE HSN MASTER '!$A$6:$D$20,4,FALSE)</f>
        <v>Goods</v>
      </c>
      <c r="W216" s="401">
        <v>378</v>
      </c>
    </row>
    <row r="217" spans="1:23" ht="14.4" x14ac:dyDescent="0.3">
      <c r="A217" s="423" t="s">
        <v>28</v>
      </c>
      <c r="B217" s="199" t="str">
        <f>VLOOKUP(A217,'SALE PARTY MASTR '!$B$5:$G$280,2,FALSE)</f>
        <v>Lumax Auto Technologies Ltd.</v>
      </c>
      <c r="C217" s="397" t="s">
        <v>1190</v>
      </c>
      <c r="D217" s="398">
        <v>43148</v>
      </c>
      <c r="E217" s="320">
        <f t="shared" si="13"/>
        <v>24682.579199999996</v>
      </c>
      <c r="F217" s="321" t="str">
        <f>VLOOKUP(A217,'SALE PARTY MASTR '!$B$5:$I$105,3,FALSE)</f>
        <v>27-Maharashatra</v>
      </c>
      <c r="G217" s="321" t="str">
        <f>VLOOKUP(A217,'SALE PARTY MASTR '!$B$5:$I$105,4,FALSE)</f>
        <v>N</v>
      </c>
      <c r="H217" s="321" t="str">
        <f>VLOOKUP(A217,'SALE PARTY MASTR '!$B$5:$I$105,5,FALSE)</f>
        <v>Regular</v>
      </c>
      <c r="I217" s="321">
        <f>VLOOKUP(A217,'SALE PARTY MASTR '!$B$5:$I$105,6,FALSE)</f>
        <v>0</v>
      </c>
      <c r="J217" s="262">
        <f>VLOOKUP(S217,'SALE HSN MASTER '!$A$6:$E$20,5,FALSE)</f>
        <v>18</v>
      </c>
      <c r="K217" s="400">
        <v>20917.439999999999</v>
      </c>
      <c r="L217" s="184"/>
      <c r="M217" s="322">
        <f t="shared" si="14"/>
        <v>0</v>
      </c>
      <c r="N217" s="322">
        <f t="shared" si="15"/>
        <v>1882.5695999999998</v>
      </c>
      <c r="O217" s="322">
        <f t="shared" si="16"/>
        <v>1882.5695999999998</v>
      </c>
      <c r="P217" s="199">
        <f>VLOOKUP(A217,'SALE PARTY MASTR '!$B$5:$I$105,7,FALSE)</f>
        <v>2</v>
      </c>
      <c r="Q217" s="199" t="str">
        <f>VLOOKUP(A217,'SALE PARTY MASTR '!$B$5:$I$105,8,FALSE)</f>
        <v>Local Sale</v>
      </c>
      <c r="R217" s="199" t="s">
        <v>894</v>
      </c>
      <c r="S217" s="401">
        <v>85129000</v>
      </c>
      <c r="T217" s="201" t="str">
        <f>VLOOKUP(S217,'SALE HSN MASTER '!$A$6:$D$20,2,FALSE)</f>
        <v>Parts &amp; Accessories Of Motor Vehicles Other</v>
      </c>
      <c r="U217" s="201" t="str">
        <f>VLOOKUP(S217,'SALE HSN MASTER '!$A$6:$D$20,3,FALSE)</f>
        <v>NOS-NUMBERS</v>
      </c>
      <c r="V217" s="201" t="str">
        <f>VLOOKUP(S217,'SALE HSN MASTER '!$A$6:$D$20,4,FALSE)</f>
        <v>Goods</v>
      </c>
      <c r="W217" s="401">
        <v>324</v>
      </c>
    </row>
    <row r="218" spans="1:23" ht="14.4" x14ac:dyDescent="0.3">
      <c r="A218" s="423" t="s">
        <v>31</v>
      </c>
      <c r="B218" s="199" t="str">
        <f>VLOOKUP(A218,'SALE PARTY MASTR '!$B$5:$G$280,2,FALSE)</f>
        <v>Mittal Precision Auto Comps Pvt Ltd,</v>
      </c>
      <c r="C218" s="397" t="s">
        <v>1191</v>
      </c>
      <c r="D218" s="398">
        <v>43148</v>
      </c>
      <c r="E218" s="320">
        <f t="shared" si="13"/>
        <v>6811.243199999999</v>
      </c>
      <c r="F218" s="321" t="str">
        <f>VLOOKUP(A218,'SALE PARTY MASTR '!$B$5:$I$105,3,FALSE)</f>
        <v>27-Maharashatra</v>
      </c>
      <c r="G218" s="321" t="str">
        <f>VLOOKUP(A218,'SALE PARTY MASTR '!$B$5:$I$105,4,FALSE)</f>
        <v>N</v>
      </c>
      <c r="H218" s="321" t="str">
        <f>VLOOKUP(A218,'SALE PARTY MASTR '!$B$5:$I$105,5,FALSE)</f>
        <v>Regular</v>
      </c>
      <c r="I218" s="321">
        <f>VLOOKUP(A218,'SALE PARTY MASTR '!$B$5:$I$105,6,FALSE)</f>
        <v>0</v>
      </c>
      <c r="J218" s="262">
        <f>VLOOKUP(S218,'SALE HSN MASTER '!$A$6:$E$20,5,FALSE)</f>
        <v>18</v>
      </c>
      <c r="K218" s="400">
        <v>5772.24</v>
      </c>
      <c r="L218" s="184"/>
      <c r="M218" s="322">
        <f t="shared" si="14"/>
        <v>0</v>
      </c>
      <c r="N218" s="322">
        <f t="shared" si="15"/>
        <v>519.50159999999994</v>
      </c>
      <c r="O218" s="322">
        <f t="shared" si="16"/>
        <v>519.50159999999994</v>
      </c>
      <c r="P218" s="199">
        <f>VLOOKUP(A218,'SALE PARTY MASTR '!$B$5:$I$105,7,FALSE)</f>
        <v>2</v>
      </c>
      <c r="Q218" s="199" t="str">
        <f>VLOOKUP(A218,'SALE PARTY MASTR '!$B$5:$I$105,8,FALSE)</f>
        <v>Local Sale</v>
      </c>
      <c r="R218" s="199" t="s">
        <v>894</v>
      </c>
      <c r="S218" s="401">
        <v>998898</v>
      </c>
      <c r="T218" s="201" t="str">
        <f>VLOOKUP(S218,'SALE HSN MASTER '!$A$6:$D$20,2,FALSE)</f>
        <v>Parts &amp; Accessories Of Motor Vehicles Other</v>
      </c>
      <c r="U218" s="201" t="str">
        <f>VLOOKUP(S218,'SALE HSN MASTER '!$A$6:$D$20,3,FALSE)</f>
        <v>NOS-NUMBERS</v>
      </c>
      <c r="V218" s="201" t="str">
        <f>VLOOKUP(S218,'SALE HSN MASTER '!$A$6:$D$20,4,FALSE)</f>
        <v>Service</v>
      </c>
      <c r="W218" s="401">
        <v>12</v>
      </c>
    </row>
    <row r="219" spans="1:23" ht="14.4" x14ac:dyDescent="0.3">
      <c r="A219" s="423" t="s">
        <v>31</v>
      </c>
      <c r="B219" s="199" t="str">
        <f>VLOOKUP(A219,'SALE PARTY MASTR '!$B$5:$G$280,2,FALSE)</f>
        <v>Mittal Precision Auto Comps Pvt Ltd,</v>
      </c>
      <c r="C219" s="397" t="s">
        <v>1192</v>
      </c>
      <c r="D219" s="398">
        <v>43148</v>
      </c>
      <c r="E219" s="320">
        <f t="shared" ref="E219:E282" si="17">+K219+M219+N219+O219</f>
        <v>6811.243199999999</v>
      </c>
      <c r="F219" s="321" t="str">
        <f>VLOOKUP(A219,'SALE PARTY MASTR '!$B$5:$I$105,3,FALSE)</f>
        <v>27-Maharashatra</v>
      </c>
      <c r="G219" s="321" t="str">
        <f>VLOOKUP(A219,'SALE PARTY MASTR '!$B$5:$I$105,4,FALSE)</f>
        <v>N</v>
      </c>
      <c r="H219" s="321" t="str">
        <f>VLOOKUP(A219,'SALE PARTY MASTR '!$B$5:$I$105,5,FALSE)</f>
        <v>Regular</v>
      </c>
      <c r="I219" s="321">
        <f>VLOOKUP(A219,'SALE PARTY MASTR '!$B$5:$I$105,6,FALSE)</f>
        <v>0</v>
      </c>
      <c r="J219" s="262">
        <f>VLOOKUP(S219,'SALE HSN MASTER '!$A$6:$E$20,5,FALSE)</f>
        <v>18</v>
      </c>
      <c r="K219" s="400">
        <v>5772.24</v>
      </c>
      <c r="L219" s="184"/>
      <c r="M219" s="322">
        <f t="shared" ref="M219:M282" si="18">+IF(P219=1,0,IF(N219=0,J219*K219/100,0))</f>
        <v>0</v>
      </c>
      <c r="N219" s="322">
        <f t="shared" si="15"/>
        <v>519.50159999999994</v>
      </c>
      <c r="O219" s="322">
        <f t="shared" si="16"/>
        <v>519.50159999999994</v>
      </c>
      <c r="P219" s="199">
        <f>VLOOKUP(A219,'SALE PARTY MASTR '!$B$5:$I$105,7,FALSE)</f>
        <v>2</v>
      </c>
      <c r="Q219" s="199" t="str">
        <f>VLOOKUP(A219,'SALE PARTY MASTR '!$B$5:$I$105,8,FALSE)</f>
        <v>Local Sale</v>
      </c>
      <c r="R219" s="199" t="s">
        <v>894</v>
      </c>
      <c r="S219" s="401">
        <v>998898</v>
      </c>
      <c r="T219" s="201" t="str">
        <f>VLOOKUP(S219,'SALE HSN MASTER '!$A$6:$D$20,2,FALSE)</f>
        <v>Parts &amp; Accessories Of Motor Vehicles Other</v>
      </c>
      <c r="U219" s="201" t="str">
        <f>VLOOKUP(S219,'SALE HSN MASTER '!$A$6:$D$20,3,FALSE)</f>
        <v>NOS-NUMBERS</v>
      </c>
      <c r="V219" s="201" t="str">
        <f>VLOOKUP(S219,'SALE HSN MASTER '!$A$6:$D$20,4,FALSE)</f>
        <v>Service</v>
      </c>
      <c r="W219" s="401">
        <v>12</v>
      </c>
    </row>
    <row r="220" spans="1:23" ht="14.4" x14ac:dyDescent="0.3">
      <c r="A220" s="423" t="s">
        <v>23</v>
      </c>
      <c r="B220" s="199" t="str">
        <f>VLOOKUP(A220,'SALE PARTY MASTR '!$B$5:$G$280,2,FALSE)</f>
        <v>Varroc Polymers Pvt.ltd.</v>
      </c>
      <c r="C220" s="397" t="s">
        <v>1193</v>
      </c>
      <c r="D220" s="398">
        <v>43148</v>
      </c>
      <c r="E220" s="320">
        <f t="shared" si="17"/>
        <v>24054.912000000004</v>
      </c>
      <c r="F220" s="321" t="str">
        <f>VLOOKUP(A220,'SALE PARTY MASTR '!$B$5:$I$105,3,FALSE)</f>
        <v>27-Maharashatra</v>
      </c>
      <c r="G220" s="321" t="str">
        <f>VLOOKUP(A220,'SALE PARTY MASTR '!$B$5:$I$105,4,FALSE)</f>
        <v>N</v>
      </c>
      <c r="H220" s="321" t="str">
        <f>VLOOKUP(A220,'SALE PARTY MASTR '!$B$5:$I$105,5,FALSE)</f>
        <v>Regular</v>
      </c>
      <c r="I220" s="321">
        <f>VLOOKUP(A220,'SALE PARTY MASTR '!$B$5:$I$105,6,FALSE)</f>
        <v>0</v>
      </c>
      <c r="J220" s="262">
        <f>VLOOKUP(S220,'SALE HSN MASTER '!$A$6:$E$20,5,FALSE)</f>
        <v>28</v>
      </c>
      <c r="K220" s="400">
        <v>18792.900000000001</v>
      </c>
      <c r="L220" s="184"/>
      <c r="M220" s="322">
        <f t="shared" si="18"/>
        <v>0</v>
      </c>
      <c r="N220" s="322">
        <f t="shared" si="15"/>
        <v>2631.0060000000003</v>
      </c>
      <c r="O220" s="322">
        <f t="shared" si="16"/>
        <v>2631.0060000000003</v>
      </c>
      <c r="P220" s="199">
        <f>VLOOKUP(A220,'SALE PARTY MASTR '!$B$5:$I$105,7,FALSE)</f>
        <v>2</v>
      </c>
      <c r="Q220" s="199" t="str">
        <f>VLOOKUP(A220,'SALE PARTY MASTR '!$B$5:$I$105,8,FALSE)</f>
        <v>Local Sale</v>
      </c>
      <c r="R220" s="199" t="s">
        <v>897</v>
      </c>
      <c r="S220" s="401">
        <v>87081090</v>
      </c>
      <c r="T220" s="201" t="str">
        <f>VLOOKUP(S220,'SALE HSN MASTER '!$A$6:$D$20,2,FALSE)</f>
        <v>Parts &amp; Accessories Of Motor Vehicles Other</v>
      </c>
      <c r="U220" s="201" t="str">
        <f>VLOOKUP(S220,'SALE HSN MASTER '!$A$6:$D$20,3,FALSE)</f>
        <v>NOS-NUMBERS</v>
      </c>
      <c r="V220" s="201" t="str">
        <f>VLOOKUP(S220,'SALE HSN MASTER '!$A$6:$D$20,4,FALSE)</f>
        <v>Goods</v>
      </c>
      <c r="W220" s="401">
        <v>228</v>
      </c>
    </row>
    <row r="221" spans="1:23" ht="14.4" x14ac:dyDescent="0.3">
      <c r="A221" s="423" t="s">
        <v>23</v>
      </c>
      <c r="B221" s="199" t="str">
        <f>VLOOKUP(A221,'SALE PARTY MASTR '!$B$5:$G$280,2,FALSE)</f>
        <v>Varroc Polymers Pvt.ltd.</v>
      </c>
      <c r="C221" s="397" t="s">
        <v>1194</v>
      </c>
      <c r="D221" s="398">
        <v>43148</v>
      </c>
      <c r="E221" s="320">
        <f t="shared" si="17"/>
        <v>41432.320000000007</v>
      </c>
      <c r="F221" s="321" t="str">
        <f>VLOOKUP(A221,'SALE PARTY MASTR '!$B$5:$I$105,3,FALSE)</f>
        <v>27-Maharashatra</v>
      </c>
      <c r="G221" s="321" t="str">
        <f>VLOOKUP(A221,'SALE PARTY MASTR '!$B$5:$I$105,4,FALSE)</f>
        <v>N</v>
      </c>
      <c r="H221" s="321" t="str">
        <f>VLOOKUP(A221,'SALE PARTY MASTR '!$B$5:$I$105,5,FALSE)</f>
        <v>Regular</v>
      </c>
      <c r="I221" s="321">
        <f>VLOOKUP(A221,'SALE PARTY MASTR '!$B$5:$I$105,6,FALSE)</f>
        <v>0</v>
      </c>
      <c r="J221" s="262">
        <f>VLOOKUP(S221,'SALE HSN MASTER '!$A$6:$E$20,5,FALSE)</f>
        <v>28</v>
      </c>
      <c r="K221" s="400">
        <v>32369</v>
      </c>
      <c r="L221" s="184"/>
      <c r="M221" s="322">
        <f t="shared" si="18"/>
        <v>0</v>
      </c>
      <c r="N221" s="322">
        <f t="shared" si="15"/>
        <v>4531.6600000000008</v>
      </c>
      <c r="O221" s="322">
        <f t="shared" si="16"/>
        <v>4531.6600000000008</v>
      </c>
      <c r="P221" s="199">
        <f>VLOOKUP(A221,'SALE PARTY MASTR '!$B$5:$I$105,7,FALSE)</f>
        <v>2</v>
      </c>
      <c r="Q221" s="199" t="str">
        <f>VLOOKUP(A221,'SALE PARTY MASTR '!$B$5:$I$105,8,FALSE)</f>
        <v>Local Sale</v>
      </c>
      <c r="R221" s="199" t="s">
        <v>897</v>
      </c>
      <c r="S221" s="401">
        <v>87141090</v>
      </c>
      <c r="T221" s="201" t="str">
        <f>VLOOKUP(S221,'SALE HSN MASTER '!$A$6:$D$20,2,FALSE)</f>
        <v>Parts &amp; Accessories Of Motor Vehicles Other</v>
      </c>
      <c r="U221" s="201" t="str">
        <f>VLOOKUP(S221,'SALE HSN MASTER '!$A$6:$D$20,3,FALSE)</f>
        <v>NOS-NUMBERS</v>
      </c>
      <c r="V221" s="201" t="str">
        <f>VLOOKUP(S221,'SALE HSN MASTER '!$A$6:$D$20,4,FALSE)</f>
        <v>Goods</v>
      </c>
      <c r="W221" s="401">
        <v>596</v>
      </c>
    </row>
    <row r="222" spans="1:23" ht="14.4" x14ac:dyDescent="0.3">
      <c r="A222" s="423" t="s">
        <v>23</v>
      </c>
      <c r="B222" s="199" t="str">
        <f>VLOOKUP(A222,'SALE PARTY MASTR '!$B$5:$G$280,2,FALSE)</f>
        <v>Varroc Polymers Pvt.ltd.</v>
      </c>
      <c r="C222" s="397" t="s">
        <v>1195</v>
      </c>
      <c r="D222" s="398">
        <v>43148</v>
      </c>
      <c r="E222" s="320">
        <f t="shared" si="17"/>
        <v>37734.451200000003</v>
      </c>
      <c r="F222" s="321" t="str">
        <f>VLOOKUP(A222,'SALE PARTY MASTR '!$B$5:$I$105,3,FALSE)</f>
        <v>27-Maharashatra</v>
      </c>
      <c r="G222" s="321" t="str">
        <f>VLOOKUP(A222,'SALE PARTY MASTR '!$B$5:$I$105,4,FALSE)</f>
        <v>N</v>
      </c>
      <c r="H222" s="321" t="str">
        <f>VLOOKUP(A222,'SALE PARTY MASTR '!$B$5:$I$105,5,FALSE)</f>
        <v>Regular</v>
      </c>
      <c r="I222" s="321">
        <f>VLOOKUP(A222,'SALE PARTY MASTR '!$B$5:$I$105,6,FALSE)</f>
        <v>0</v>
      </c>
      <c r="J222" s="262">
        <f>VLOOKUP(S222,'SALE HSN MASTER '!$A$6:$E$20,5,FALSE)</f>
        <v>28</v>
      </c>
      <c r="K222" s="400">
        <v>29480.04</v>
      </c>
      <c r="L222" s="184"/>
      <c r="M222" s="322">
        <f t="shared" si="18"/>
        <v>0</v>
      </c>
      <c r="N222" s="322">
        <f t="shared" si="15"/>
        <v>4127.2056000000002</v>
      </c>
      <c r="O222" s="322">
        <f t="shared" si="16"/>
        <v>4127.2056000000002</v>
      </c>
      <c r="P222" s="199">
        <f>VLOOKUP(A222,'SALE PARTY MASTR '!$B$5:$I$105,7,FALSE)</f>
        <v>2</v>
      </c>
      <c r="Q222" s="199" t="str">
        <f>VLOOKUP(A222,'SALE PARTY MASTR '!$B$5:$I$105,8,FALSE)</f>
        <v>Local Sale</v>
      </c>
      <c r="R222" s="199" t="s">
        <v>897</v>
      </c>
      <c r="S222" s="401">
        <v>87081090</v>
      </c>
      <c r="T222" s="201" t="str">
        <f>VLOOKUP(S222,'SALE HSN MASTER '!$A$6:$D$20,2,FALSE)</f>
        <v>Parts &amp; Accessories Of Motor Vehicles Other</v>
      </c>
      <c r="U222" s="201" t="str">
        <f>VLOOKUP(S222,'SALE HSN MASTER '!$A$6:$D$20,3,FALSE)</f>
        <v>NOS-NUMBERS</v>
      </c>
      <c r="V222" s="201" t="str">
        <f>VLOOKUP(S222,'SALE HSN MASTER '!$A$6:$D$20,4,FALSE)</f>
        <v>Goods</v>
      </c>
      <c r="W222" s="401">
        <v>408</v>
      </c>
    </row>
    <row r="223" spans="1:23" ht="14.4" x14ac:dyDescent="0.3">
      <c r="A223" s="423" t="s">
        <v>30</v>
      </c>
      <c r="B223" s="199" t="str">
        <f>VLOOKUP(A223,'SALE PARTY MASTR '!$B$5:$G$280,2,FALSE)</f>
        <v>Alpha Foam Ltd</v>
      </c>
      <c r="C223" s="397" t="s">
        <v>1196</v>
      </c>
      <c r="D223" s="398">
        <v>43148</v>
      </c>
      <c r="E223" s="320">
        <f t="shared" si="17"/>
        <v>1939.92</v>
      </c>
      <c r="F223" s="321" t="str">
        <f>VLOOKUP(A223,'SALE PARTY MASTR '!$B$5:$I$105,3,FALSE)</f>
        <v>27-Maharashatra</v>
      </c>
      <c r="G223" s="321" t="str">
        <f>VLOOKUP(A223,'SALE PARTY MASTR '!$B$5:$I$105,4,FALSE)</f>
        <v>N</v>
      </c>
      <c r="H223" s="321" t="str">
        <f>VLOOKUP(A223,'SALE PARTY MASTR '!$B$5:$I$105,5,FALSE)</f>
        <v>Regular</v>
      </c>
      <c r="I223" s="321">
        <f>VLOOKUP(A223,'SALE PARTY MASTR '!$B$5:$I$105,6,FALSE)</f>
        <v>0</v>
      </c>
      <c r="J223" s="262">
        <f>VLOOKUP(S223,'SALE HSN MASTER '!$A$6:$E$20,5,FALSE)</f>
        <v>18</v>
      </c>
      <c r="K223" s="400">
        <v>1644</v>
      </c>
      <c r="L223" s="184"/>
      <c r="M223" s="322">
        <f t="shared" si="18"/>
        <v>0</v>
      </c>
      <c r="N223" s="322">
        <f t="shared" si="15"/>
        <v>147.96</v>
      </c>
      <c r="O223" s="322">
        <f t="shared" si="16"/>
        <v>147.96</v>
      </c>
      <c r="P223" s="199">
        <f>VLOOKUP(A223,'SALE PARTY MASTR '!$B$5:$I$105,7,FALSE)</f>
        <v>2</v>
      </c>
      <c r="Q223" s="199" t="str">
        <f>VLOOKUP(A223,'SALE PARTY MASTR '!$B$5:$I$105,8,FALSE)</f>
        <v>Local Sale</v>
      </c>
      <c r="R223" s="199" t="s">
        <v>894</v>
      </c>
      <c r="S223" s="401">
        <v>998898</v>
      </c>
      <c r="T223" s="201" t="str">
        <f>VLOOKUP(S223,'SALE HSN MASTER '!$A$6:$D$20,2,FALSE)</f>
        <v>Parts &amp; Accessories Of Motor Vehicles Other</v>
      </c>
      <c r="U223" s="201" t="str">
        <f>VLOOKUP(S223,'SALE HSN MASTER '!$A$6:$D$20,3,FALSE)</f>
        <v>NOS-NUMBERS</v>
      </c>
      <c r="V223" s="201" t="str">
        <f>VLOOKUP(S223,'SALE HSN MASTER '!$A$6:$D$20,4,FALSE)</f>
        <v>Service</v>
      </c>
      <c r="W223" s="401">
        <v>200</v>
      </c>
    </row>
    <row r="224" spans="1:23" ht="14.4" x14ac:dyDescent="0.3">
      <c r="A224" s="423" t="s">
        <v>28</v>
      </c>
      <c r="B224" s="199" t="str">
        <f>VLOOKUP(A224,'SALE PARTY MASTR '!$B$5:$G$280,2,FALSE)</f>
        <v>Lumax Auto Technologies Ltd.</v>
      </c>
      <c r="C224" s="397" t="s">
        <v>1197</v>
      </c>
      <c r="D224" s="398">
        <v>43149</v>
      </c>
      <c r="E224" s="320">
        <f t="shared" si="17"/>
        <v>47021.536800000009</v>
      </c>
      <c r="F224" s="321" t="str">
        <f>VLOOKUP(A224,'SALE PARTY MASTR '!$B$5:$I$105,3,FALSE)</f>
        <v>27-Maharashatra</v>
      </c>
      <c r="G224" s="321" t="str">
        <f>VLOOKUP(A224,'SALE PARTY MASTR '!$B$5:$I$105,4,FALSE)</f>
        <v>N</v>
      </c>
      <c r="H224" s="321" t="str">
        <f>VLOOKUP(A224,'SALE PARTY MASTR '!$B$5:$I$105,5,FALSE)</f>
        <v>Regular</v>
      </c>
      <c r="I224" s="321">
        <f>VLOOKUP(A224,'SALE PARTY MASTR '!$B$5:$I$105,6,FALSE)</f>
        <v>0</v>
      </c>
      <c r="J224" s="262">
        <f>VLOOKUP(S224,'SALE HSN MASTER '!$A$6:$E$20,5,FALSE)</f>
        <v>18</v>
      </c>
      <c r="K224" s="400">
        <v>39848.76</v>
      </c>
      <c r="L224" s="184"/>
      <c r="M224" s="322">
        <f t="shared" si="18"/>
        <v>0</v>
      </c>
      <c r="N224" s="322">
        <f t="shared" si="15"/>
        <v>3586.3884000000003</v>
      </c>
      <c r="O224" s="322">
        <f t="shared" si="16"/>
        <v>3586.3884000000003</v>
      </c>
      <c r="P224" s="199">
        <f>VLOOKUP(A224,'SALE PARTY MASTR '!$B$5:$I$105,7,FALSE)</f>
        <v>2</v>
      </c>
      <c r="Q224" s="199" t="str">
        <f>VLOOKUP(A224,'SALE PARTY MASTR '!$B$5:$I$105,8,FALSE)</f>
        <v>Local Sale</v>
      </c>
      <c r="R224" s="199" t="s">
        <v>894</v>
      </c>
      <c r="S224" s="401">
        <v>85129000</v>
      </c>
      <c r="T224" s="201" t="str">
        <f>VLOOKUP(S224,'SALE HSN MASTER '!$A$6:$D$20,2,FALSE)</f>
        <v>Parts &amp; Accessories Of Motor Vehicles Other</v>
      </c>
      <c r="U224" s="201" t="str">
        <f>VLOOKUP(S224,'SALE HSN MASTER '!$A$6:$D$20,3,FALSE)</f>
        <v>NOS-NUMBERS</v>
      </c>
      <c r="V224" s="201" t="str">
        <f>VLOOKUP(S224,'SALE HSN MASTER '!$A$6:$D$20,4,FALSE)</f>
        <v>Goods</v>
      </c>
      <c r="W224" s="401">
        <v>324</v>
      </c>
    </row>
    <row r="225" spans="1:23" ht="14.4" x14ac:dyDescent="0.3">
      <c r="A225" s="423" t="s">
        <v>23</v>
      </c>
      <c r="B225" s="199" t="str">
        <f>VLOOKUP(A225,'SALE PARTY MASTR '!$B$5:$G$280,2,FALSE)</f>
        <v>Varroc Polymers Pvt.ltd.</v>
      </c>
      <c r="C225" s="397" t="s">
        <v>1198</v>
      </c>
      <c r="D225" s="398">
        <v>43150</v>
      </c>
      <c r="E225" s="320">
        <f t="shared" si="17"/>
        <v>38844.287999999993</v>
      </c>
      <c r="F225" s="321" t="str">
        <f>VLOOKUP(A225,'SALE PARTY MASTR '!$B$5:$I$105,3,FALSE)</f>
        <v>27-Maharashatra</v>
      </c>
      <c r="G225" s="321" t="str">
        <f>VLOOKUP(A225,'SALE PARTY MASTR '!$B$5:$I$105,4,FALSE)</f>
        <v>N</v>
      </c>
      <c r="H225" s="321" t="str">
        <f>VLOOKUP(A225,'SALE PARTY MASTR '!$B$5:$I$105,5,FALSE)</f>
        <v>Regular</v>
      </c>
      <c r="I225" s="321">
        <f>VLOOKUP(A225,'SALE PARTY MASTR '!$B$5:$I$105,6,FALSE)</f>
        <v>0</v>
      </c>
      <c r="J225" s="262">
        <f>VLOOKUP(S225,'SALE HSN MASTER '!$A$6:$E$20,5,FALSE)</f>
        <v>28</v>
      </c>
      <c r="K225" s="400">
        <v>30347.1</v>
      </c>
      <c r="L225" s="184"/>
      <c r="M225" s="322">
        <f t="shared" si="18"/>
        <v>0</v>
      </c>
      <c r="N225" s="322">
        <f t="shared" si="15"/>
        <v>4248.5940000000001</v>
      </c>
      <c r="O225" s="322">
        <f t="shared" si="16"/>
        <v>4248.5940000000001</v>
      </c>
      <c r="P225" s="199">
        <f>VLOOKUP(A225,'SALE PARTY MASTR '!$B$5:$I$105,7,FALSE)</f>
        <v>2</v>
      </c>
      <c r="Q225" s="199" t="str">
        <f>VLOOKUP(A225,'SALE PARTY MASTR '!$B$5:$I$105,8,FALSE)</f>
        <v>Local Sale</v>
      </c>
      <c r="R225" s="199" t="s">
        <v>897</v>
      </c>
      <c r="S225" s="401">
        <v>87081090</v>
      </c>
      <c r="T225" s="201" t="str">
        <f>VLOOKUP(S225,'SALE HSN MASTER '!$A$6:$D$20,2,FALSE)</f>
        <v>Parts &amp; Accessories Of Motor Vehicles Other</v>
      </c>
      <c r="U225" s="201" t="str">
        <f>VLOOKUP(S225,'SALE HSN MASTER '!$A$6:$D$20,3,FALSE)</f>
        <v>NOS-NUMBERS</v>
      </c>
      <c r="V225" s="201" t="str">
        <f>VLOOKUP(S225,'SALE HSN MASTER '!$A$6:$D$20,4,FALSE)</f>
        <v>Goods</v>
      </c>
      <c r="W225" s="401">
        <v>420</v>
      </c>
    </row>
    <row r="226" spans="1:23" ht="14.4" x14ac:dyDescent="0.3">
      <c r="A226" s="423" t="s">
        <v>27</v>
      </c>
      <c r="B226" s="199" t="str">
        <f>VLOOKUP(A226,'SALE PARTY MASTR '!$B$5:$G$280,2,FALSE)</f>
        <v>Rinder India Pvt Ltd.</v>
      </c>
      <c r="C226" s="397" t="s">
        <v>1199</v>
      </c>
      <c r="D226" s="398">
        <v>43150</v>
      </c>
      <c r="E226" s="320">
        <f t="shared" si="17"/>
        <v>35400</v>
      </c>
      <c r="F226" s="321" t="str">
        <f>VLOOKUP(A226,'SALE PARTY MASTR '!$B$5:$I$105,3,FALSE)</f>
        <v>27-Maharashatra</v>
      </c>
      <c r="G226" s="321" t="str">
        <f>VLOOKUP(A226,'SALE PARTY MASTR '!$B$5:$I$105,4,FALSE)</f>
        <v>N</v>
      </c>
      <c r="H226" s="321" t="str">
        <f>VLOOKUP(A226,'SALE PARTY MASTR '!$B$5:$I$105,5,FALSE)</f>
        <v>Regular</v>
      </c>
      <c r="I226" s="321">
        <f>VLOOKUP(A226,'SALE PARTY MASTR '!$B$5:$I$105,6,FALSE)</f>
        <v>0</v>
      </c>
      <c r="J226" s="262">
        <f>VLOOKUP(S226,'SALE HSN MASTER '!$A$6:$E$20,5,FALSE)</f>
        <v>18</v>
      </c>
      <c r="K226" s="400">
        <v>30000</v>
      </c>
      <c r="L226" s="184"/>
      <c r="M226" s="322">
        <f t="shared" si="18"/>
        <v>0</v>
      </c>
      <c r="N226" s="322">
        <f t="shared" si="15"/>
        <v>2700</v>
      </c>
      <c r="O226" s="322">
        <f t="shared" si="16"/>
        <v>2700</v>
      </c>
      <c r="P226" s="199">
        <f>VLOOKUP(A226,'SALE PARTY MASTR '!$B$5:$I$105,7,FALSE)</f>
        <v>2</v>
      </c>
      <c r="Q226" s="199" t="str">
        <f>VLOOKUP(A226,'SALE PARTY MASTR '!$B$5:$I$105,8,FALSE)</f>
        <v>Local Sale</v>
      </c>
      <c r="R226" s="199" t="s">
        <v>894</v>
      </c>
      <c r="S226" s="401">
        <v>85129000</v>
      </c>
      <c r="T226" s="201" t="str">
        <f>VLOOKUP(S226,'SALE HSN MASTER '!$A$6:$D$20,2,FALSE)</f>
        <v>Parts &amp; Accessories Of Motor Vehicles Other</v>
      </c>
      <c r="U226" s="201" t="str">
        <f>VLOOKUP(S226,'SALE HSN MASTER '!$A$6:$D$20,3,FALSE)</f>
        <v>NOS-NUMBERS</v>
      </c>
      <c r="V226" s="201" t="str">
        <f>VLOOKUP(S226,'SALE HSN MASTER '!$A$6:$D$20,4,FALSE)</f>
        <v>Goods</v>
      </c>
      <c r="W226" s="401">
        <v>1200</v>
      </c>
    </row>
    <row r="227" spans="1:23" ht="14.4" x14ac:dyDescent="0.3">
      <c r="A227" s="423" t="s">
        <v>22</v>
      </c>
      <c r="B227" s="199" t="str">
        <f>VLOOKUP(A227,'SALE PARTY MASTR '!$B$5:$G$280,2,FALSE)</f>
        <v>Japtech Industries</v>
      </c>
      <c r="C227" s="397" t="s">
        <v>1200</v>
      </c>
      <c r="D227" s="398">
        <v>43150</v>
      </c>
      <c r="E227" s="320">
        <f t="shared" si="17"/>
        <v>10058.556</v>
      </c>
      <c r="F227" s="321" t="str">
        <f>VLOOKUP(A227,'SALE PARTY MASTR '!$B$5:$I$105,3,FALSE)</f>
        <v>27-Maharashatra</v>
      </c>
      <c r="G227" s="321" t="str">
        <f>VLOOKUP(A227,'SALE PARTY MASTR '!$B$5:$I$105,4,FALSE)</f>
        <v>N</v>
      </c>
      <c r="H227" s="321" t="str">
        <f>VLOOKUP(A227,'SALE PARTY MASTR '!$B$5:$I$105,5,FALSE)</f>
        <v>Regular</v>
      </c>
      <c r="I227" s="321">
        <f>VLOOKUP(A227,'SALE PARTY MASTR '!$B$5:$I$105,6,FALSE)</f>
        <v>0</v>
      </c>
      <c r="J227" s="262">
        <f>VLOOKUP(S227,'SALE HSN MASTER '!$A$6:$E$20,5,FALSE)</f>
        <v>18</v>
      </c>
      <c r="K227" s="400">
        <v>8524.2000000000007</v>
      </c>
      <c r="L227" s="184"/>
      <c r="M227" s="322">
        <f t="shared" si="18"/>
        <v>0</v>
      </c>
      <c r="N227" s="322">
        <f t="shared" si="15"/>
        <v>767.178</v>
      </c>
      <c r="O227" s="322">
        <f t="shared" si="16"/>
        <v>767.178</v>
      </c>
      <c r="P227" s="199">
        <f>VLOOKUP(A227,'SALE PARTY MASTR '!$B$5:$I$105,7,FALSE)</f>
        <v>2</v>
      </c>
      <c r="Q227" s="199" t="str">
        <f>VLOOKUP(A227,'SALE PARTY MASTR '!$B$5:$I$105,8,FALSE)</f>
        <v>Local Sale</v>
      </c>
      <c r="R227" s="199" t="s">
        <v>894</v>
      </c>
      <c r="S227" s="401">
        <v>998898</v>
      </c>
      <c r="T227" s="201" t="str">
        <f>VLOOKUP(S227,'SALE HSN MASTER '!$A$6:$D$20,2,FALSE)</f>
        <v>Parts &amp; Accessories Of Motor Vehicles Other</v>
      </c>
      <c r="U227" s="201" t="str">
        <f>VLOOKUP(S227,'SALE HSN MASTER '!$A$6:$D$20,3,FALSE)</f>
        <v>NOS-NUMBERS</v>
      </c>
      <c r="V227" s="201" t="str">
        <f>VLOOKUP(S227,'SALE HSN MASTER '!$A$6:$D$20,4,FALSE)</f>
        <v>Service</v>
      </c>
      <c r="W227" s="401">
        <v>30</v>
      </c>
    </row>
    <row r="228" spans="1:23" ht="14.4" x14ac:dyDescent="0.3">
      <c r="A228" s="423" t="s">
        <v>22</v>
      </c>
      <c r="B228" s="199" t="str">
        <f>VLOOKUP(A228,'SALE PARTY MASTR '!$B$5:$G$280,2,FALSE)</f>
        <v>Japtech Industries</v>
      </c>
      <c r="C228" s="397" t="s">
        <v>1201</v>
      </c>
      <c r="D228" s="398">
        <v>43150</v>
      </c>
      <c r="E228" s="320">
        <f t="shared" si="17"/>
        <v>12388.583999999999</v>
      </c>
      <c r="F228" s="321" t="str">
        <f>VLOOKUP(A228,'SALE PARTY MASTR '!$B$5:$I$105,3,FALSE)</f>
        <v>27-Maharashatra</v>
      </c>
      <c r="G228" s="321" t="str">
        <f>VLOOKUP(A228,'SALE PARTY MASTR '!$B$5:$I$105,4,FALSE)</f>
        <v>N</v>
      </c>
      <c r="H228" s="321" t="str">
        <f>VLOOKUP(A228,'SALE PARTY MASTR '!$B$5:$I$105,5,FALSE)</f>
        <v>Regular</v>
      </c>
      <c r="I228" s="321">
        <f>VLOOKUP(A228,'SALE PARTY MASTR '!$B$5:$I$105,6,FALSE)</f>
        <v>0</v>
      </c>
      <c r="J228" s="262">
        <f>VLOOKUP(S228,'SALE HSN MASTER '!$A$6:$E$20,5,FALSE)</f>
        <v>18</v>
      </c>
      <c r="K228" s="400">
        <v>10498.8</v>
      </c>
      <c r="L228" s="184"/>
      <c r="M228" s="322">
        <f t="shared" si="18"/>
        <v>0</v>
      </c>
      <c r="N228" s="322">
        <f t="shared" si="15"/>
        <v>944.89199999999994</v>
      </c>
      <c r="O228" s="322">
        <f t="shared" si="16"/>
        <v>944.89199999999994</v>
      </c>
      <c r="P228" s="199">
        <f>VLOOKUP(A228,'SALE PARTY MASTR '!$B$5:$I$105,7,FALSE)</f>
        <v>2</v>
      </c>
      <c r="Q228" s="199" t="str">
        <f>VLOOKUP(A228,'SALE PARTY MASTR '!$B$5:$I$105,8,FALSE)</f>
        <v>Local Sale</v>
      </c>
      <c r="R228" s="199" t="s">
        <v>894</v>
      </c>
      <c r="S228" s="401">
        <v>998898</v>
      </c>
      <c r="T228" s="201" t="str">
        <f>VLOOKUP(S228,'SALE HSN MASTER '!$A$6:$D$20,2,FALSE)</f>
        <v>Parts &amp; Accessories Of Motor Vehicles Other</v>
      </c>
      <c r="U228" s="201" t="str">
        <f>VLOOKUP(S228,'SALE HSN MASTER '!$A$6:$D$20,3,FALSE)</f>
        <v>NOS-NUMBERS</v>
      </c>
      <c r="V228" s="201" t="str">
        <f>VLOOKUP(S228,'SALE HSN MASTER '!$A$6:$D$20,4,FALSE)</f>
        <v>Service</v>
      </c>
      <c r="W228" s="401">
        <v>12</v>
      </c>
    </row>
    <row r="229" spans="1:23" ht="14.4" x14ac:dyDescent="0.3">
      <c r="A229" s="423" t="s">
        <v>31</v>
      </c>
      <c r="B229" s="199" t="str">
        <f>VLOOKUP(A229,'SALE PARTY MASTR '!$B$5:$G$280,2,FALSE)</f>
        <v>Mittal Precision Auto Comps Pvt Ltd,</v>
      </c>
      <c r="C229" s="397" t="s">
        <v>1202</v>
      </c>
      <c r="D229" s="398">
        <v>43150</v>
      </c>
      <c r="E229" s="320">
        <f t="shared" si="17"/>
        <v>7109.5944</v>
      </c>
      <c r="F229" s="321" t="str">
        <f>VLOOKUP(A229,'SALE PARTY MASTR '!$B$5:$I$105,3,FALSE)</f>
        <v>27-Maharashatra</v>
      </c>
      <c r="G229" s="321" t="str">
        <f>VLOOKUP(A229,'SALE PARTY MASTR '!$B$5:$I$105,4,FALSE)</f>
        <v>N</v>
      </c>
      <c r="H229" s="321" t="str">
        <f>VLOOKUP(A229,'SALE PARTY MASTR '!$B$5:$I$105,5,FALSE)</f>
        <v>Regular</v>
      </c>
      <c r="I229" s="321">
        <f>VLOOKUP(A229,'SALE PARTY MASTR '!$B$5:$I$105,6,FALSE)</f>
        <v>0</v>
      </c>
      <c r="J229" s="262">
        <f>VLOOKUP(S229,'SALE HSN MASTER '!$A$6:$E$20,5,FALSE)</f>
        <v>18</v>
      </c>
      <c r="K229" s="400">
        <v>6025.08</v>
      </c>
      <c r="L229" s="184"/>
      <c r="M229" s="322">
        <f t="shared" si="18"/>
        <v>0</v>
      </c>
      <c r="N229" s="322">
        <f t="shared" si="15"/>
        <v>542.25720000000001</v>
      </c>
      <c r="O229" s="322">
        <f t="shared" si="16"/>
        <v>542.25720000000001</v>
      </c>
      <c r="P229" s="199">
        <f>VLOOKUP(A229,'SALE PARTY MASTR '!$B$5:$I$105,7,FALSE)</f>
        <v>2</v>
      </c>
      <c r="Q229" s="199" t="str">
        <f>VLOOKUP(A229,'SALE PARTY MASTR '!$B$5:$I$105,8,FALSE)</f>
        <v>Local Sale</v>
      </c>
      <c r="R229" s="199" t="s">
        <v>894</v>
      </c>
      <c r="S229" s="401">
        <v>998898</v>
      </c>
      <c r="T229" s="201" t="str">
        <f>VLOOKUP(S229,'SALE HSN MASTER '!$A$6:$D$20,2,FALSE)</f>
        <v>Parts &amp; Accessories Of Motor Vehicles Other</v>
      </c>
      <c r="U229" s="201" t="str">
        <f>VLOOKUP(S229,'SALE HSN MASTER '!$A$6:$D$20,3,FALSE)</f>
        <v>NOS-NUMBERS</v>
      </c>
      <c r="V229" s="201" t="str">
        <f>VLOOKUP(S229,'SALE HSN MASTER '!$A$6:$D$20,4,FALSE)</f>
        <v>Service</v>
      </c>
      <c r="W229" s="401">
        <v>12</v>
      </c>
    </row>
    <row r="230" spans="1:23" ht="14.4" x14ac:dyDescent="0.3">
      <c r="A230" s="423" t="s">
        <v>862</v>
      </c>
      <c r="B230" s="199" t="str">
        <f>VLOOKUP(A230,'SALE PARTY MASTR '!$B$5:$G$280,2,FALSE)</f>
        <v>Varroc Engineering Pvt Ltd</v>
      </c>
      <c r="C230" s="397" t="s">
        <v>1203</v>
      </c>
      <c r="D230" s="398">
        <v>43150</v>
      </c>
      <c r="E230" s="320">
        <f t="shared" si="17"/>
        <v>25569.792000000001</v>
      </c>
      <c r="F230" s="321" t="str">
        <f>VLOOKUP(A230,'SALE PARTY MASTR '!$B$5:$I$105,3,FALSE)</f>
        <v>27-Maharashatra</v>
      </c>
      <c r="G230" s="321" t="str">
        <f>VLOOKUP(A230,'SALE PARTY MASTR '!$B$5:$I$105,4,FALSE)</f>
        <v>N</v>
      </c>
      <c r="H230" s="321" t="str">
        <f>VLOOKUP(A230,'SALE PARTY MASTR '!$B$5:$I$105,5,FALSE)</f>
        <v>Regular</v>
      </c>
      <c r="I230" s="321">
        <f>VLOOKUP(A230,'SALE PARTY MASTR '!$B$5:$I$105,6,FALSE)</f>
        <v>0</v>
      </c>
      <c r="J230" s="262">
        <f>VLOOKUP(S230,'SALE HSN MASTER '!$A$6:$E$20,5,FALSE)</f>
        <v>28</v>
      </c>
      <c r="K230" s="400">
        <v>19976.400000000001</v>
      </c>
      <c r="L230" s="184"/>
      <c r="M230" s="322">
        <f t="shared" si="18"/>
        <v>0</v>
      </c>
      <c r="N230" s="322">
        <f t="shared" si="15"/>
        <v>2796.6960000000004</v>
      </c>
      <c r="O230" s="322">
        <f t="shared" si="16"/>
        <v>2796.6960000000004</v>
      </c>
      <c r="P230" s="199">
        <f>VLOOKUP(A230,'SALE PARTY MASTR '!$B$5:$I$105,7,FALSE)</f>
        <v>2</v>
      </c>
      <c r="Q230" s="199" t="str">
        <f>VLOOKUP(A230,'SALE PARTY MASTR '!$B$5:$I$105,8,FALSE)</f>
        <v>Local Sale</v>
      </c>
      <c r="R230" s="199" t="s">
        <v>897</v>
      </c>
      <c r="S230" s="401">
        <v>85119000</v>
      </c>
      <c r="T230" s="201" t="str">
        <f>VLOOKUP(S230,'SALE HSN MASTER '!$A$6:$D$20,2,FALSE)</f>
        <v>Parts &amp; Accessories Of Motor Vehicles Other</v>
      </c>
      <c r="U230" s="201" t="str">
        <f>VLOOKUP(S230,'SALE HSN MASTER '!$A$6:$D$20,3,FALSE)</f>
        <v>NOS-NUMBERS</v>
      </c>
      <c r="V230" s="201" t="str">
        <f>VLOOKUP(S230,'SALE HSN MASTER '!$A$6:$D$20,4,FALSE)</f>
        <v>Goods</v>
      </c>
      <c r="W230" s="401">
        <v>360</v>
      </c>
    </row>
    <row r="231" spans="1:23" ht="14.4" x14ac:dyDescent="0.3">
      <c r="A231" s="423" t="s">
        <v>862</v>
      </c>
      <c r="B231" s="199" t="str">
        <f>VLOOKUP(A231,'SALE PARTY MASTR '!$B$5:$G$280,2,FALSE)</f>
        <v>Varroc Engineering Pvt Ltd</v>
      </c>
      <c r="C231" s="397" t="s">
        <v>1204</v>
      </c>
      <c r="D231" s="398">
        <v>43150</v>
      </c>
      <c r="E231" s="320">
        <f t="shared" si="17"/>
        <v>18280.857599999999</v>
      </c>
      <c r="F231" s="321" t="str">
        <f>VLOOKUP(A231,'SALE PARTY MASTR '!$B$5:$I$105,3,FALSE)</f>
        <v>27-Maharashatra</v>
      </c>
      <c r="G231" s="321" t="str">
        <f>VLOOKUP(A231,'SALE PARTY MASTR '!$B$5:$I$105,4,FALSE)</f>
        <v>N</v>
      </c>
      <c r="H231" s="321" t="str">
        <f>VLOOKUP(A231,'SALE PARTY MASTR '!$B$5:$I$105,5,FALSE)</f>
        <v>Regular</v>
      </c>
      <c r="I231" s="321">
        <f>VLOOKUP(A231,'SALE PARTY MASTR '!$B$5:$I$105,6,FALSE)</f>
        <v>0</v>
      </c>
      <c r="J231" s="262">
        <f>VLOOKUP(S231,'SALE HSN MASTER '!$A$6:$E$20,5,FALSE)</f>
        <v>28</v>
      </c>
      <c r="K231" s="400">
        <v>14281.92</v>
      </c>
      <c r="L231" s="184"/>
      <c r="M231" s="322">
        <f t="shared" si="18"/>
        <v>0</v>
      </c>
      <c r="N231" s="322">
        <f t="shared" si="15"/>
        <v>1999.4688000000001</v>
      </c>
      <c r="O231" s="322">
        <f t="shared" si="16"/>
        <v>1999.4688000000001</v>
      </c>
      <c r="P231" s="199">
        <f>VLOOKUP(A231,'SALE PARTY MASTR '!$B$5:$I$105,7,FALSE)</f>
        <v>2</v>
      </c>
      <c r="Q231" s="199" t="str">
        <f>VLOOKUP(A231,'SALE PARTY MASTR '!$B$5:$I$105,8,FALSE)</f>
        <v>Local Sale</v>
      </c>
      <c r="R231" s="199" t="s">
        <v>897</v>
      </c>
      <c r="S231" s="401">
        <v>87142090</v>
      </c>
      <c r="T231" s="201" t="str">
        <f>VLOOKUP(S231,'SALE HSN MASTER '!$A$6:$D$20,2,FALSE)</f>
        <v>Parts &amp; Accessories Of Motor Vehicles Other</v>
      </c>
      <c r="U231" s="201" t="str">
        <f>VLOOKUP(S231,'SALE HSN MASTER '!$A$6:$D$20,3,FALSE)</f>
        <v>NOS-NUMBERS</v>
      </c>
      <c r="V231" s="201" t="str">
        <f>VLOOKUP(S231,'SALE HSN MASTER '!$A$6:$D$20,4,FALSE)</f>
        <v>Goods</v>
      </c>
      <c r="W231" s="401">
        <v>324</v>
      </c>
    </row>
    <row r="232" spans="1:23" ht="14.4" x14ac:dyDescent="0.3">
      <c r="A232" s="423" t="s">
        <v>23</v>
      </c>
      <c r="B232" s="199" t="str">
        <f>VLOOKUP(A232,'SALE PARTY MASTR '!$B$5:$G$280,2,FALSE)</f>
        <v>Varroc Polymers Pvt.ltd.</v>
      </c>
      <c r="C232" s="397" t="s">
        <v>1205</v>
      </c>
      <c r="D232" s="398">
        <v>43150</v>
      </c>
      <c r="E232" s="320">
        <f t="shared" si="17"/>
        <v>43283.63519999999</v>
      </c>
      <c r="F232" s="321" t="str">
        <f>VLOOKUP(A232,'SALE PARTY MASTR '!$B$5:$I$105,3,FALSE)</f>
        <v>27-Maharashatra</v>
      </c>
      <c r="G232" s="321" t="str">
        <f>VLOOKUP(A232,'SALE PARTY MASTR '!$B$5:$I$105,4,FALSE)</f>
        <v>N</v>
      </c>
      <c r="H232" s="321" t="str">
        <f>VLOOKUP(A232,'SALE PARTY MASTR '!$B$5:$I$105,5,FALSE)</f>
        <v>Regular</v>
      </c>
      <c r="I232" s="321">
        <f>VLOOKUP(A232,'SALE PARTY MASTR '!$B$5:$I$105,6,FALSE)</f>
        <v>0</v>
      </c>
      <c r="J232" s="262">
        <f>VLOOKUP(S232,'SALE HSN MASTER '!$A$6:$E$20,5,FALSE)</f>
        <v>28</v>
      </c>
      <c r="K232" s="400">
        <v>33815.339999999997</v>
      </c>
      <c r="L232" s="184"/>
      <c r="M232" s="322">
        <f t="shared" si="18"/>
        <v>0</v>
      </c>
      <c r="N232" s="322">
        <f t="shared" si="15"/>
        <v>4734.1476000000002</v>
      </c>
      <c r="O232" s="322">
        <f t="shared" si="16"/>
        <v>4734.1476000000002</v>
      </c>
      <c r="P232" s="199">
        <f>VLOOKUP(A232,'SALE PARTY MASTR '!$B$5:$I$105,7,FALSE)</f>
        <v>2</v>
      </c>
      <c r="Q232" s="199" t="str">
        <f>VLOOKUP(A232,'SALE PARTY MASTR '!$B$5:$I$105,8,FALSE)</f>
        <v>Local Sale</v>
      </c>
      <c r="R232" s="199" t="s">
        <v>897</v>
      </c>
      <c r="S232" s="401">
        <v>87081090</v>
      </c>
      <c r="T232" s="201" t="str">
        <f>VLOOKUP(S232,'SALE HSN MASTER '!$A$6:$D$20,2,FALSE)</f>
        <v>Parts &amp; Accessories Of Motor Vehicles Other</v>
      </c>
      <c r="U232" s="201" t="str">
        <f>VLOOKUP(S232,'SALE HSN MASTER '!$A$6:$D$20,3,FALSE)</f>
        <v>NOS-NUMBERS</v>
      </c>
      <c r="V232" s="201" t="str">
        <f>VLOOKUP(S232,'SALE HSN MASTER '!$A$6:$D$20,4,FALSE)</f>
        <v>Goods</v>
      </c>
      <c r="W232" s="401">
        <v>468</v>
      </c>
    </row>
    <row r="233" spans="1:23" ht="14.4" x14ac:dyDescent="0.3">
      <c r="A233" s="423" t="s">
        <v>31</v>
      </c>
      <c r="B233" s="199" t="str">
        <f>VLOOKUP(A233,'SALE PARTY MASTR '!$B$5:$G$280,2,FALSE)</f>
        <v>Mittal Precision Auto Comps Pvt Ltd,</v>
      </c>
      <c r="C233" s="397" t="s">
        <v>1206</v>
      </c>
      <c r="D233" s="398">
        <v>43150</v>
      </c>
      <c r="E233" s="320">
        <f t="shared" si="17"/>
        <v>6811.243199999999</v>
      </c>
      <c r="F233" s="321" t="str">
        <f>VLOOKUP(A233,'SALE PARTY MASTR '!$B$5:$I$105,3,FALSE)</f>
        <v>27-Maharashatra</v>
      </c>
      <c r="G233" s="321" t="str">
        <f>VLOOKUP(A233,'SALE PARTY MASTR '!$B$5:$I$105,4,FALSE)</f>
        <v>N</v>
      </c>
      <c r="H233" s="321" t="str">
        <f>VLOOKUP(A233,'SALE PARTY MASTR '!$B$5:$I$105,5,FALSE)</f>
        <v>Regular</v>
      </c>
      <c r="I233" s="321">
        <f>VLOOKUP(A233,'SALE PARTY MASTR '!$B$5:$I$105,6,FALSE)</f>
        <v>0</v>
      </c>
      <c r="J233" s="262">
        <f>VLOOKUP(S233,'SALE HSN MASTER '!$A$6:$E$20,5,FALSE)</f>
        <v>18</v>
      </c>
      <c r="K233" s="400">
        <v>5772.24</v>
      </c>
      <c r="L233" s="184"/>
      <c r="M233" s="322">
        <f t="shared" si="18"/>
        <v>0</v>
      </c>
      <c r="N233" s="322">
        <f t="shared" si="15"/>
        <v>519.50159999999994</v>
      </c>
      <c r="O233" s="322">
        <f t="shared" si="16"/>
        <v>519.50159999999994</v>
      </c>
      <c r="P233" s="199">
        <f>VLOOKUP(A233,'SALE PARTY MASTR '!$B$5:$I$105,7,FALSE)</f>
        <v>2</v>
      </c>
      <c r="Q233" s="199" t="str">
        <f>VLOOKUP(A233,'SALE PARTY MASTR '!$B$5:$I$105,8,FALSE)</f>
        <v>Local Sale</v>
      </c>
      <c r="R233" s="199" t="s">
        <v>894</v>
      </c>
      <c r="S233" s="401">
        <v>998898</v>
      </c>
      <c r="T233" s="201" t="str">
        <f>VLOOKUP(S233,'SALE HSN MASTER '!$A$6:$D$20,2,FALSE)</f>
        <v>Parts &amp; Accessories Of Motor Vehicles Other</v>
      </c>
      <c r="U233" s="201" t="str">
        <f>VLOOKUP(S233,'SALE HSN MASTER '!$A$6:$D$20,3,FALSE)</f>
        <v>NOS-NUMBERS</v>
      </c>
      <c r="V233" s="201" t="str">
        <f>VLOOKUP(S233,'SALE HSN MASTER '!$A$6:$D$20,4,FALSE)</f>
        <v>Service</v>
      </c>
      <c r="W233" s="401">
        <v>12</v>
      </c>
    </row>
    <row r="234" spans="1:23" ht="14.4" x14ac:dyDescent="0.3">
      <c r="A234" s="423" t="s">
        <v>32</v>
      </c>
      <c r="B234" s="199" t="str">
        <f>VLOOKUP(A234,'SALE PARTY MASTR '!$B$5:$G$280,2,FALSE)</f>
        <v>Pricol Ltd (Formerly Pricol Pune Ltd)</v>
      </c>
      <c r="C234" s="397" t="s">
        <v>1207</v>
      </c>
      <c r="D234" s="398">
        <v>43150</v>
      </c>
      <c r="E234" s="320">
        <f t="shared" si="17"/>
        <v>42448.384000000005</v>
      </c>
      <c r="F234" s="321" t="str">
        <f>VLOOKUP(A234,'SALE PARTY MASTR '!$B$5:$I$105,3,FALSE)</f>
        <v>27-Maharashatra</v>
      </c>
      <c r="G234" s="321" t="str">
        <f>VLOOKUP(A234,'SALE PARTY MASTR '!$B$5:$I$105,4,FALSE)</f>
        <v>N</v>
      </c>
      <c r="H234" s="321" t="str">
        <f>VLOOKUP(A234,'SALE PARTY MASTR '!$B$5:$I$105,5,FALSE)</f>
        <v>Regular</v>
      </c>
      <c r="I234" s="321">
        <f>VLOOKUP(A234,'SALE PARTY MASTR '!$B$5:$I$105,6,FALSE)</f>
        <v>0</v>
      </c>
      <c r="J234" s="262">
        <f>VLOOKUP(S234,'SALE HSN MASTER '!$A$6:$E$20,5,FALSE)</f>
        <v>28</v>
      </c>
      <c r="K234" s="400">
        <v>33162.800000000003</v>
      </c>
      <c r="L234" s="184"/>
      <c r="M234" s="322">
        <f t="shared" si="18"/>
        <v>0</v>
      </c>
      <c r="N234" s="322">
        <f t="shared" si="15"/>
        <v>4642.7920000000013</v>
      </c>
      <c r="O234" s="322">
        <f t="shared" si="16"/>
        <v>4642.7920000000013</v>
      </c>
      <c r="P234" s="199">
        <f>VLOOKUP(A234,'SALE PARTY MASTR '!$B$5:$I$105,7,FALSE)</f>
        <v>2</v>
      </c>
      <c r="Q234" s="199" t="str">
        <f>VLOOKUP(A234,'SALE PARTY MASTR '!$B$5:$I$105,8,FALSE)</f>
        <v>Local Sale</v>
      </c>
      <c r="R234" s="199" t="s">
        <v>894</v>
      </c>
      <c r="S234" s="401">
        <v>87141090</v>
      </c>
      <c r="T234" s="201" t="str">
        <f>VLOOKUP(S234,'SALE HSN MASTER '!$A$6:$D$20,2,FALSE)</f>
        <v>Parts &amp; Accessories Of Motor Vehicles Other</v>
      </c>
      <c r="U234" s="201" t="str">
        <f>VLOOKUP(S234,'SALE HSN MASTER '!$A$6:$D$20,3,FALSE)</f>
        <v>NOS-NUMBERS</v>
      </c>
      <c r="V234" s="201" t="str">
        <f>VLOOKUP(S234,'SALE HSN MASTER '!$A$6:$D$20,4,FALSE)</f>
        <v>Goods</v>
      </c>
      <c r="W234" s="401">
        <v>440</v>
      </c>
    </row>
    <row r="235" spans="1:23" ht="14.4" x14ac:dyDescent="0.3">
      <c r="A235" s="423" t="s">
        <v>32</v>
      </c>
      <c r="B235" s="199" t="str">
        <f>VLOOKUP(A235,'SALE PARTY MASTR '!$B$5:$G$280,2,FALSE)</f>
        <v>Pricol Ltd (Formerly Pricol Pune Ltd)</v>
      </c>
      <c r="C235" s="397" t="s">
        <v>1208</v>
      </c>
      <c r="D235" s="398">
        <v>43150</v>
      </c>
      <c r="E235" s="320">
        <f t="shared" si="17"/>
        <v>65014.272000000004</v>
      </c>
      <c r="F235" s="321" t="str">
        <f>VLOOKUP(A235,'SALE PARTY MASTR '!$B$5:$I$105,3,FALSE)</f>
        <v>27-Maharashatra</v>
      </c>
      <c r="G235" s="321" t="str">
        <f>VLOOKUP(A235,'SALE PARTY MASTR '!$B$5:$I$105,4,FALSE)</f>
        <v>N</v>
      </c>
      <c r="H235" s="321" t="str">
        <f>VLOOKUP(A235,'SALE PARTY MASTR '!$B$5:$I$105,5,FALSE)</f>
        <v>Regular</v>
      </c>
      <c r="I235" s="321">
        <f>VLOOKUP(A235,'SALE PARTY MASTR '!$B$5:$I$105,6,FALSE)</f>
        <v>0</v>
      </c>
      <c r="J235" s="262">
        <f>VLOOKUP(S235,'SALE HSN MASTER '!$A$6:$E$20,5,FALSE)</f>
        <v>28</v>
      </c>
      <c r="K235" s="400">
        <v>50792.4</v>
      </c>
      <c r="L235" s="184"/>
      <c r="M235" s="322">
        <f t="shared" si="18"/>
        <v>0</v>
      </c>
      <c r="N235" s="322">
        <f t="shared" si="15"/>
        <v>7110.9360000000006</v>
      </c>
      <c r="O235" s="322">
        <f t="shared" si="16"/>
        <v>7110.9360000000006</v>
      </c>
      <c r="P235" s="199">
        <f>VLOOKUP(A235,'SALE PARTY MASTR '!$B$5:$I$105,7,FALSE)</f>
        <v>2</v>
      </c>
      <c r="Q235" s="199" t="str">
        <f>VLOOKUP(A235,'SALE PARTY MASTR '!$B$5:$I$105,8,FALSE)</f>
        <v>Local Sale</v>
      </c>
      <c r="R235" s="199" t="s">
        <v>894</v>
      </c>
      <c r="S235" s="401">
        <v>87141090</v>
      </c>
      <c r="T235" s="201" t="str">
        <f>VLOOKUP(S235,'SALE HSN MASTER '!$A$6:$D$20,2,FALSE)</f>
        <v>Parts &amp; Accessories Of Motor Vehicles Other</v>
      </c>
      <c r="U235" s="201" t="str">
        <f>VLOOKUP(S235,'SALE HSN MASTER '!$A$6:$D$20,3,FALSE)</f>
        <v>NOS-NUMBERS</v>
      </c>
      <c r="V235" s="201" t="str">
        <f>VLOOKUP(S235,'SALE HSN MASTER '!$A$6:$D$20,4,FALSE)</f>
        <v>Goods</v>
      </c>
      <c r="W235" s="401">
        <v>1080</v>
      </c>
    </row>
    <row r="236" spans="1:23" ht="14.4" x14ac:dyDescent="0.3">
      <c r="A236" s="423" t="s">
        <v>23</v>
      </c>
      <c r="B236" s="199" t="str">
        <f>VLOOKUP(A236,'SALE PARTY MASTR '!$B$5:$G$280,2,FALSE)</f>
        <v>Varroc Polymers Pvt.ltd.</v>
      </c>
      <c r="C236" s="397" t="s">
        <v>1209</v>
      </c>
      <c r="D236" s="398">
        <v>43150</v>
      </c>
      <c r="E236" s="320">
        <f t="shared" si="17"/>
        <v>18867.225600000002</v>
      </c>
      <c r="F236" s="321" t="str">
        <f>VLOOKUP(A236,'SALE PARTY MASTR '!$B$5:$I$105,3,FALSE)</f>
        <v>27-Maharashatra</v>
      </c>
      <c r="G236" s="321" t="str">
        <f>VLOOKUP(A236,'SALE PARTY MASTR '!$B$5:$I$105,4,FALSE)</f>
        <v>N</v>
      </c>
      <c r="H236" s="321" t="str">
        <f>VLOOKUP(A236,'SALE PARTY MASTR '!$B$5:$I$105,5,FALSE)</f>
        <v>Regular</v>
      </c>
      <c r="I236" s="321">
        <f>VLOOKUP(A236,'SALE PARTY MASTR '!$B$5:$I$105,6,FALSE)</f>
        <v>0</v>
      </c>
      <c r="J236" s="262">
        <f>VLOOKUP(S236,'SALE HSN MASTER '!$A$6:$E$20,5,FALSE)</f>
        <v>28</v>
      </c>
      <c r="K236" s="400">
        <v>14740.02</v>
      </c>
      <c r="L236" s="184"/>
      <c r="M236" s="322">
        <f t="shared" si="18"/>
        <v>0</v>
      </c>
      <c r="N236" s="322">
        <f t="shared" si="15"/>
        <v>2063.6028000000001</v>
      </c>
      <c r="O236" s="322">
        <f t="shared" si="16"/>
        <v>2063.6028000000001</v>
      </c>
      <c r="P236" s="199">
        <f>VLOOKUP(A236,'SALE PARTY MASTR '!$B$5:$I$105,7,FALSE)</f>
        <v>2</v>
      </c>
      <c r="Q236" s="199" t="str">
        <f>VLOOKUP(A236,'SALE PARTY MASTR '!$B$5:$I$105,8,FALSE)</f>
        <v>Local Sale</v>
      </c>
      <c r="R236" s="199" t="s">
        <v>897</v>
      </c>
      <c r="S236" s="401">
        <v>87081090</v>
      </c>
      <c r="T236" s="201" t="str">
        <f>VLOOKUP(S236,'SALE HSN MASTER '!$A$6:$D$20,2,FALSE)</f>
        <v>Parts &amp; Accessories Of Motor Vehicles Other</v>
      </c>
      <c r="U236" s="201" t="str">
        <f>VLOOKUP(S236,'SALE HSN MASTER '!$A$6:$D$20,3,FALSE)</f>
        <v>NOS-NUMBERS</v>
      </c>
      <c r="V236" s="201" t="str">
        <f>VLOOKUP(S236,'SALE HSN MASTER '!$A$6:$D$20,4,FALSE)</f>
        <v>Goods</v>
      </c>
      <c r="W236" s="401">
        <v>204</v>
      </c>
    </row>
    <row r="237" spans="1:23" ht="14.4" x14ac:dyDescent="0.3">
      <c r="A237" s="423" t="s">
        <v>23</v>
      </c>
      <c r="B237" s="199" t="str">
        <f>VLOOKUP(A237,'SALE PARTY MASTR '!$B$5:$G$280,2,FALSE)</f>
        <v>Varroc Polymers Pvt.ltd.</v>
      </c>
      <c r="C237" s="397" t="s">
        <v>1210</v>
      </c>
      <c r="D237" s="398">
        <v>43150</v>
      </c>
      <c r="E237" s="320">
        <f t="shared" si="17"/>
        <v>32737.279999999999</v>
      </c>
      <c r="F237" s="321" t="str">
        <f>VLOOKUP(A237,'SALE PARTY MASTR '!$B$5:$I$105,3,FALSE)</f>
        <v>27-Maharashatra</v>
      </c>
      <c r="G237" s="321" t="str">
        <f>VLOOKUP(A237,'SALE PARTY MASTR '!$B$5:$I$105,4,FALSE)</f>
        <v>N</v>
      </c>
      <c r="H237" s="321" t="str">
        <f>VLOOKUP(A237,'SALE PARTY MASTR '!$B$5:$I$105,5,FALSE)</f>
        <v>Regular</v>
      </c>
      <c r="I237" s="321">
        <f>VLOOKUP(A237,'SALE PARTY MASTR '!$B$5:$I$105,6,FALSE)</f>
        <v>0</v>
      </c>
      <c r="J237" s="262">
        <f>VLOOKUP(S237,'SALE HSN MASTER '!$A$6:$E$20,5,FALSE)</f>
        <v>28</v>
      </c>
      <c r="K237" s="400">
        <v>25576</v>
      </c>
      <c r="L237" s="184"/>
      <c r="M237" s="322">
        <f t="shared" si="18"/>
        <v>0</v>
      </c>
      <c r="N237" s="322">
        <f t="shared" si="15"/>
        <v>3580.6400000000003</v>
      </c>
      <c r="O237" s="322">
        <f t="shared" si="16"/>
        <v>3580.6400000000003</v>
      </c>
      <c r="P237" s="199">
        <f>VLOOKUP(A237,'SALE PARTY MASTR '!$B$5:$I$105,7,FALSE)</f>
        <v>2</v>
      </c>
      <c r="Q237" s="199" t="str">
        <f>VLOOKUP(A237,'SALE PARTY MASTR '!$B$5:$I$105,8,FALSE)</f>
        <v>Local Sale</v>
      </c>
      <c r="R237" s="199" t="s">
        <v>894</v>
      </c>
      <c r="S237" s="401">
        <v>87141090</v>
      </c>
      <c r="T237" s="201" t="str">
        <f>VLOOKUP(S237,'SALE HSN MASTER '!$A$6:$D$20,2,FALSE)</f>
        <v>Parts &amp; Accessories Of Motor Vehicles Other</v>
      </c>
      <c r="U237" s="201" t="str">
        <f>VLOOKUP(S237,'SALE HSN MASTER '!$A$6:$D$20,3,FALSE)</f>
        <v>NOS-NUMBERS</v>
      </c>
      <c r="V237" s="201" t="str">
        <f>VLOOKUP(S237,'SALE HSN MASTER '!$A$6:$D$20,4,FALSE)</f>
        <v>Goods</v>
      </c>
      <c r="W237" s="401">
        <v>544</v>
      </c>
    </row>
    <row r="238" spans="1:23" ht="14.4" x14ac:dyDescent="0.3">
      <c r="A238" s="423" t="s">
        <v>28</v>
      </c>
      <c r="B238" s="199" t="str">
        <f>VLOOKUP(A238,'SALE PARTY MASTR '!$B$5:$G$280,2,FALSE)</f>
        <v>Lumax Auto Technologies Ltd.</v>
      </c>
      <c r="C238" s="397" t="s">
        <v>1211</v>
      </c>
      <c r="D238" s="398">
        <v>43150</v>
      </c>
      <c r="E238" s="320">
        <f t="shared" si="17"/>
        <v>47021.536800000009</v>
      </c>
      <c r="F238" s="321" t="str">
        <f>VLOOKUP(A238,'SALE PARTY MASTR '!$B$5:$I$105,3,FALSE)</f>
        <v>27-Maharashatra</v>
      </c>
      <c r="G238" s="321" t="str">
        <f>VLOOKUP(A238,'SALE PARTY MASTR '!$B$5:$I$105,4,FALSE)</f>
        <v>N</v>
      </c>
      <c r="H238" s="321" t="str">
        <f>VLOOKUP(A238,'SALE PARTY MASTR '!$B$5:$I$105,5,FALSE)</f>
        <v>Regular</v>
      </c>
      <c r="I238" s="321">
        <f>VLOOKUP(A238,'SALE PARTY MASTR '!$B$5:$I$105,6,FALSE)</f>
        <v>0</v>
      </c>
      <c r="J238" s="262">
        <f>VLOOKUP(S238,'SALE HSN MASTER '!$A$6:$E$20,5,FALSE)</f>
        <v>18</v>
      </c>
      <c r="K238" s="400">
        <v>39848.76</v>
      </c>
      <c r="L238" s="184"/>
      <c r="M238" s="322">
        <f t="shared" si="18"/>
        <v>0</v>
      </c>
      <c r="N238" s="322">
        <f t="shared" si="15"/>
        <v>3586.3884000000003</v>
      </c>
      <c r="O238" s="322">
        <f t="shared" si="16"/>
        <v>3586.3884000000003</v>
      </c>
      <c r="P238" s="199">
        <f>VLOOKUP(A238,'SALE PARTY MASTR '!$B$5:$I$105,7,FALSE)</f>
        <v>2</v>
      </c>
      <c r="Q238" s="199" t="str">
        <f>VLOOKUP(A238,'SALE PARTY MASTR '!$B$5:$I$105,8,FALSE)</f>
        <v>Local Sale</v>
      </c>
      <c r="R238" s="199" t="s">
        <v>894</v>
      </c>
      <c r="S238" s="401">
        <v>85129000</v>
      </c>
      <c r="T238" s="201" t="str">
        <f>VLOOKUP(S238,'SALE HSN MASTER '!$A$6:$D$20,2,FALSE)</f>
        <v>Parts &amp; Accessories Of Motor Vehicles Other</v>
      </c>
      <c r="U238" s="201" t="str">
        <f>VLOOKUP(S238,'SALE HSN MASTER '!$A$6:$D$20,3,FALSE)</f>
        <v>NOS-NUMBERS</v>
      </c>
      <c r="V238" s="201" t="str">
        <f>VLOOKUP(S238,'SALE HSN MASTER '!$A$6:$D$20,4,FALSE)</f>
        <v>Goods</v>
      </c>
      <c r="W238" s="401">
        <v>324</v>
      </c>
    </row>
    <row r="239" spans="1:23" ht="14.4" x14ac:dyDescent="0.3">
      <c r="A239" s="423" t="s">
        <v>23</v>
      </c>
      <c r="B239" s="199" t="str">
        <f>VLOOKUP(A239,'SALE PARTY MASTR '!$B$5:$G$280,2,FALSE)</f>
        <v>Varroc Polymers Pvt.ltd.</v>
      </c>
      <c r="C239" s="397" t="s">
        <v>1212</v>
      </c>
      <c r="D239" s="398">
        <v>43150</v>
      </c>
      <c r="E239" s="320">
        <f t="shared" si="17"/>
        <v>38844.287999999993</v>
      </c>
      <c r="F239" s="321" t="str">
        <f>VLOOKUP(A239,'SALE PARTY MASTR '!$B$5:$I$105,3,FALSE)</f>
        <v>27-Maharashatra</v>
      </c>
      <c r="G239" s="321" t="str">
        <f>VLOOKUP(A239,'SALE PARTY MASTR '!$B$5:$I$105,4,FALSE)</f>
        <v>N</v>
      </c>
      <c r="H239" s="321" t="str">
        <f>VLOOKUP(A239,'SALE PARTY MASTR '!$B$5:$I$105,5,FALSE)</f>
        <v>Regular</v>
      </c>
      <c r="I239" s="321">
        <f>VLOOKUP(A239,'SALE PARTY MASTR '!$B$5:$I$105,6,FALSE)</f>
        <v>0</v>
      </c>
      <c r="J239" s="262">
        <f>VLOOKUP(S239,'SALE HSN MASTER '!$A$6:$E$20,5,FALSE)</f>
        <v>28</v>
      </c>
      <c r="K239" s="400">
        <v>30347.1</v>
      </c>
      <c r="L239" s="184"/>
      <c r="M239" s="322">
        <f t="shared" si="18"/>
        <v>0</v>
      </c>
      <c r="N239" s="322">
        <f t="shared" si="15"/>
        <v>4248.5940000000001</v>
      </c>
      <c r="O239" s="322">
        <f t="shared" si="16"/>
        <v>4248.5940000000001</v>
      </c>
      <c r="P239" s="199">
        <f>VLOOKUP(A239,'SALE PARTY MASTR '!$B$5:$I$105,7,FALSE)</f>
        <v>2</v>
      </c>
      <c r="Q239" s="199" t="str">
        <f>VLOOKUP(A239,'SALE PARTY MASTR '!$B$5:$I$105,8,FALSE)</f>
        <v>Local Sale</v>
      </c>
      <c r="R239" s="199" t="s">
        <v>897</v>
      </c>
      <c r="S239" s="401">
        <v>87081090</v>
      </c>
      <c r="T239" s="201" t="str">
        <f>VLOOKUP(S239,'SALE HSN MASTER '!$A$6:$D$20,2,FALSE)</f>
        <v>Parts &amp; Accessories Of Motor Vehicles Other</v>
      </c>
      <c r="U239" s="201" t="str">
        <f>VLOOKUP(S239,'SALE HSN MASTER '!$A$6:$D$20,3,FALSE)</f>
        <v>NOS-NUMBERS</v>
      </c>
      <c r="V239" s="201" t="str">
        <f>VLOOKUP(S239,'SALE HSN MASTER '!$A$6:$D$20,4,FALSE)</f>
        <v>Goods</v>
      </c>
      <c r="W239" s="401">
        <v>420</v>
      </c>
    </row>
    <row r="240" spans="1:23" ht="14.4" x14ac:dyDescent="0.3">
      <c r="A240" s="423" t="s">
        <v>31</v>
      </c>
      <c r="B240" s="199" t="str">
        <f>VLOOKUP(A240,'SALE PARTY MASTR '!$B$5:$G$280,2,FALSE)</f>
        <v>Mittal Precision Auto Comps Pvt Ltd,</v>
      </c>
      <c r="C240" s="397" t="s">
        <v>1213</v>
      </c>
      <c r="D240" s="398">
        <v>43151</v>
      </c>
      <c r="E240" s="320">
        <f t="shared" si="17"/>
        <v>6960.4187999999995</v>
      </c>
      <c r="F240" s="321" t="str">
        <f>VLOOKUP(A240,'SALE PARTY MASTR '!$B$5:$I$105,3,FALSE)</f>
        <v>27-Maharashatra</v>
      </c>
      <c r="G240" s="321" t="str">
        <f>VLOOKUP(A240,'SALE PARTY MASTR '!$B$5:$I$105,4,FALSE)</f>
        <v>N</v>
      </c>
      <c r="H240" s="321" t="str">
        <f>VLOOKUP(A240,'SALE PARTY MASTR '!$B$5:$I$105,5,FALSE)</f>
        <v>Regular</v>
      </c>
      <c r="I240" s="321">
        <f>VLOOKUP(A240,'SALE PARTY MASTR '!$B$5:$I$105,6,FALSE)</f>
        <v>0</v>
      </c>
      <c r="J240" s="262">
        <f>VLOOKUP(S240,'SALE HSN MASTER '!$A$6:$E$20,5,FALSE)</f>
        <v>18</v>
      </c>
      <c r="K240" s="400">
        <v>5898.66</v>
      </c>
      <c r="L240" s="184"/>
      <c r="M240" s="322">
        <f t="shared" si="18"/>
        <v>0</v>
      </c>
      <c r="N240" s="322">
        <f t="shared" si="15"/>
        <v>530.87939999999992</v>
      </c>
      <c r="O240" s="322">
        <f t="shared" si="16"/>
        <v>530.87939999999992</v>
      </c>
      <c r="P240" s="199">
        <f>VLOOKUP(A240,'SALE PARTY MASTR '!$B$5:$I$105,7,FALSE)</f>
        <v>2</v>
      </c>
      <c r="Q240" s="199" t="str">
        <f>VLOOKUP(A240,'SALE PARTY MASTR '!$B$5:$I$105,8,FALSE)</f>
        <v>Local Sale</v>
      </c>
      <c r="R240" s="199" t="s">
        <v>894</v>
      </c>
      <c r="S240" s="401">
        <v>998898</v>
      </c>
      <c r="T240" s="201" t="str">
        <f>VLOOKUP(S240,'SALE HSN MASTER '!$A$6:$D$20,2,FALSE)</f>
        <v>Parts &amp; Accessories Of Motor Vehicles Other</v>
      </c>
      <c r="U240" s="201" t="str">
        <f>VLOOKUP(S240,'SALE HSN MASTER '!$A$6:$D$20,3,FALSE)</f>
        <v>NOS-NUMBERS</v>
      </c>
      <c r="V240" s="201" t="str">
        <f>VLOOKUP(S240,'SALE HSN MASTER '!$A$6:$D$20,4,FALSE)</f>
        <v>Service</v>
      </c>
      <c r="W240" s="401">
        <v>12</v>
      </c>
    </row>
    <row r="241" spans="1:23" ht="14.4" x14ac:dyDescent="0.3">
      <c r="A241" s="423" t="s">
        <v>30</v>
      </c>
      <c r="B241" s="199" t="str">
        <f>VLOOKUP(A241,'SALE PARTY MASTR '!$B$5:$G$280,2,FALSE)</f>
        <v>Alpha Foam Ltd</v>
      </c>
      <c r="C241" s="397" t="s">
        <v>1214</v>
      </c>
      <c r="D241" s="398">
        <v>43151</v>
      </c>
      <c r="E241" s="320">
        <f t="shared" si="17"/>
        <v>1939.92</v>
      </c>
      <c r="F241" s="321" t="str">
        <f>VLOOKUP(A241,'SALE PARTY MASTR '!$B$5:$I$105,3,FALSE)</f>
        <v>27-Maharashatra</v>
      </c>
      <c r="G241" s="321" t="str">
        <f>VLOOKUP(A241,'SALE PARTY MASTR '!$B$5:$I$105,4,FALSE)</f>
        <v>N</v>
      </c>
      <c r="H241" s="321" t="str">
        <f>VLOOKUP(A241,'SALE PARTY MASTR '!$B$5:$I$105,5,FALSE)</f>
        <v>Regular</v>
      </c>
      <c r="I241" s="321">
        <f>VLOOKUP(A241,'SALE PARTY MASTR '!$B$5:$I$105,6,FALSE)</f>
        <v>0</v>
      </c>
      <c r="J241" s="262">
        <f>VLOOKUP(S241,'SALE HSN MASTER '!$A$6:$E$20,5,FALSE)</f>
        <v>18</v>
      </c>
      <c r="K241" s="400">
        <v>1644</v>
      </c>
      <c r="L241" s="184"/>
      <c r="M241" s="322">
        <f t="shared" si="18"/>
        <v>0</v>
      </c>
      <c r="N241" s="322">
        <f t="shared" si="15"/>
        <v>147.96</v>
      </c>
      <c r="O241" s="322">
        <f t="shared" si="16"/>
        <v>147.96</v>
      </c>
      <c r="P241" s="199">
        <f>VLOOKUP(A241,'SALE PARTY MASTR '!$B$5:$I$105,7,FALSE)</f>
        <v>2</v>
      </c>
      <c r="Q241" s="199" t="str">
        <f>VLOOKUP(A241,'SALE PARTY MASTR '!$B$5:$I$105,8,FALSE)</f>
        <v>Local Sale</v>
      </c>
      <c r="R241" s="199" t="s">
        <v>897</v>
      </c>
      <c r="S241" s="401">
        <v>998898</v>
      </c>
      <c r="T241" s="201" t="str">
        <f>VLOOKUP(S241,'SALE HSN MASTER '!$A$6:$D$20,2,FALSE)</f>
        <v>Parts &amp; Accessories Of Motor Vehicles Other</v>
      </c>
      <c r="U241" s="201" t="str">
        <f>VLOOKUP(S241,'SALE HSN MASTER '!$A$6:$D$20,3,FALSE)</f>
        <v>NOS-NUMBERS</v>
      </c>
      <c r="V241" s="201" t="str">
        <f>VLOOKUP(S241,'SALE HSN MASTER '!$A$6:$D$20,4,FALSE)</f>
        <v>Service</v>
      </c>
      <c r="W241" s="401">
        <v>200</v>
      </c>
    </row>
    <row r="242" spans="1:23" ht="14.4" x14ac:dyDescent="0.3">
      <c r="A242" s="423" t="s">
        <v>28</v>
      </c>
      <c r="B242" s="199" t="str">
        <f>VLOOKUP(A242,'SALE PARTY MASTR '!$B$5:$G$280,2,FALSE)</f>
        <v>Lumax Auto Technologies Ltd.</v>
      </c>
      <c r="C242" s="397" t="s">
        <v>1215</v>
      </c>
      <c r="D242" s="398">
        <v>43151</v>
      </c>
      <c r="E242" s="320">
        <f t="shared" si="17"/>
        <v>26123.076000000001</v>
      </c>
      <c r="F242" s="321" t="str">
        <f>VLOOKUP(A242,'SALE PARTY MASTR '!$B$5:$I$105,3,FALSE)</f>
        <v>27-Maharashatra</v>
      </c>
      <c r="G242" s="321" t="str">
        <f>VLOOKUP(A242,'SALE PARTY MASTR '!$B$5:$I$105,4,FALSE)</f>
        <v>N</v>
      </c>
      <c r="H242" s="321" t="str">
        <f>VLOOKUP(A242,'SALE PARTY MASTR '!$B$5:$I$105,5,FALSE)</f>
        <v>Regular</v>
      </c>
      <c r="I242" s="321">
        <f>VLOOKUP(A242,'SALE PARTY MASTR '!$B$5:$I$105,6,FALSE)</f>
        <v>0</v>
      </c>
      <c r="J242" s="262">
        <f>VLOOKUP(S242,'SALE HSN MASTER '!$A$6:$E$20,5,FALSE)</f>
        <v>18</v>
      </c>
      <c r="K242" s="400">
        <v>22138.2</v>
      </c>
      <c r="L242" s="184"/>
      <c r="M242" s="322">
        <f t="shared" si="18"/>
        <v>0</v>
      </c>
      <c r="N242" s="322">
        <f t="shared" si="15"/>
        <v>1992.4380000000001</v>
      </c>
      <c r="O242" s="322">
        <f t="shared" si="16"/>
        <v>1992.4380000000001</v>
      </c>
      <c r="P242" s="199">
        <f>VLOOKUP(A242,'SALE PARTY MASTR '!$B$5:$I$105,7,FALSE)</f>
        <v>2</v>
      </c>
      <c r="Q242" s="199" t="str">
        <f>VLOOKUP(A242,'SALE PARTY MASTR '!$B$5:$I$105,8,FALSE)</f>
        <v>Local Sale</v>
      </c>
      <c r="R242" s="199" t="s">
        <v>897</v>
      </c>
      <c r="S242" s="401">
        <v>85129000</v>
      </c>
      <c r="T242" s="201" t="str">
        <f>VLOOKUP(S242,'SALE HSN MASTER '!$A$6:$D$20,2,FALSE)</f>
        <v>Parts &amp; Accessories Of Motor Vehicles Other</v>
      </c>
      <c r="U242" s="201" t="str">
        <f>VLOOKUP(S242,'SALE HSN MASTER '!$A$6:$D$20,3,FALSE)</f>
        <v>NOS-NUMBERS</v>
      </c>
      <c r="V242" s="201" t="str">
        <f>VLOOKUP(S242,'SALE HSN MASTER '!$A$6:$D$20,4,FALSE)</f>
        <v>Goods</v>
      </c>
      <c r="W242" s="401">
        <v>180</v>
      </c>
    </row>
    <row r="243" spans="1:23" ht="14.4" x14ac:dyDescent="0.3">
      <c r="A243" s="423" t="s">
        <v>28</v>
      </c>
      <c r="B243" s="199" t="str">
        <f>VLOOKUP(A243,'SALE PARTY MASTR '!$B$5:$G$280,2,FALSE)</f>
        <v>Lumax Auto Technologies Ltd.</v>
      </c>
      <c r="C243" s="397" t="s">
        <v>1216</v>
      </c>
      <c r="D243" s="398">
        <v>43151</v>
      </c>
      <c r="E243" s="320">
        <f t="shared" si="17"/>
        <v>33595.732799999998</v>
      </c>
      <c r="F243" s="321" t="str">
        <f>VLOOKUP(A243,'SALE PARTY MASTR '!$B$5:$I$105,3,FALSE)</f>
        <v>27-Maharashatra</v>
      </c>
      <c r="G243" s="321" t="str">
        <f>VLOOKUP(A243,'SALE PARTY MASTR '!$B$5:$I$105,4,FALSE)</f>
        <v>N</v>
      </c>
      <c r="H243" s="321" t="str">
        <f>VLOOKUP(A243,'SALE PARTY MASTR '!$B$5:$I$105,5,FALSE)</f>
        <v>Regular</v>
      </c>
      <c r="I243" s="321">
        <f>VLOOKUP(A243,'SALE PARTY MASTR '!$B$5:$I$105,6,FALSE)</f>
        <v>0</v>
      </c>
      <c r="J243" s="262">
        <f>VLOOKUP(S243,'SALE HSN MASTER '!$A$6:$E$20,5,FALSE)</f>
        <v>18</v>
      </c>
      <c r="K243" s="400">
        <v>28470.959999999999</v>
      </c>
      <c r="L243" s="184"/>
      <c r="M243" s="322">
        <f t="shared" si="18"/>
        <v>0</v>
      </c>
      <c r="N243" s="322">
        <f t="shared" si="15"/>
        <v>2562.3863999999999</v>
      </c>
      <c r="O243" s="322">
        <f t="shared" si="16"/>
        <v>2562.3863999999999</v>
      </c>
      <c r="P243" s="199">
        <f>VLOOKUP(A243,'SALE PARTY MASTR '!$B$5:$I$105,7,FALSE)</f>
        <v>2</v>
      </c>
      <c r="Q243" s="199" t="str">
        <f>VLOOKUP(A243,'SALE PARTY MASTR '!$B$5:$I$105,8,FALSE)</f>
        <v>Local Sale</v>
      </c>
      <c r="R243" s="199" t="s">
        <v>894</v>
      </c>
      <c r="S243" s="401">
        <v>85129000</v>
      </c>
      <c r="T243" s="201" t="str">
        <f>VLOOKUP(S243,'SALE HSN MASTER '!$A$6:$D$20,2,FALSE)</f>
        <v>Parts &amp; Accessories Of Motor Vehicles Other</v>
      </c>
      <c r="U243" s="201" t="str">
        <f>VLOOKUP(S243,'SALE HSN MASTER '!$A$6:$D$20,3,FALSE)</f>
        <v>NOS-NUMBERS</v>
      </c>
      <c r="V243" s="201" t="str">
        <f>VLOOKUP(S243,'SALE HSN MASTER '!$A$6:$D$20,4,FALSE)</f>
        <v>Goods</v>
      </c>
      <c r="W243" s="401">
        <v>441</v>
      </c>
    </row>
    <row r="244" spans="1:23" ht="14.4" x14ac:dyDescent="0.3">
      <c r="A244" s="423" t="s">
        <v>27</v>
      </c>
      <c r="B244" s="199" t="str">
        <f>VLOOKUP(A244,'SALE PARTY MASTR '!$B$5:$G$280,2,FALSE)</f>
        <v>Rinder India Pvt Ltd.</v>
      </c>
      <c r="C244" s="397" t="s">
        <v>1217</v>
      </c>
      <c r="D244" s="398">
        <v>43151</v>
      </c>
      <c r="E244" s="320">
        <f t="shared" si="17"/>
        <v>35400</v>
      </c>
      <c r="F244" s="321" t="str">
        <f>VLOOKUP(A244,'SALE PARTY MASTR '!$B$5:$I$105,3,FALSE)</f>
        <v>27-Maharashatra</v>
      </c>
      <c r="G244" s="321" t="str">
        <f>VLOOKUP(A244,'SALE PARTY MASTR '!$B$5:$I$105,4,FALSE)</f>
        <v>N</v>
      </c>
      <c r="H244" s="321" t="str">
        <f>VLOOKUP(A244,'SALE PARTY MASTR '!$B$5:$I$105,5,FALSE)</f>
        <v>Regular</v>
      </c>
      <c r="I244" s="321">
        <f>VLOOKUP(A244,'SALE PARTY MASTR '!$B$5:$I$105,6,FALSE)</f>
        <v>0</v>
      </c>
      <c r="J244" s="262">
        <f>VLOOKUP(S244,'SALE HSN MASTER '!$A$6:$E$20,5,FALSE)</f>
        <v>18</v>
      </c>
      <c r="K244" s="400">
        <v>30000</v>
      </c>
      <c r="L244" s="184"/>
      <c r="M244" s="322">
        <f t="shared" si="18"/>
        <v>0</v>
      </c>
      <c r="N244" s="322">
        <f t="shared" si="15"/>
        <v>2700</v>
      </c>
      <c r="O244" s="322">
        <f t="shared" si="16"/>
        <v>2700</v>
      </c>
      <c r="P244" s="199">
        <f>VLOOKUP(A244,'SALE PARTY MASTR '!$B$5:$I$105,7,FALSE)</f>
        <v>2</v>
      </c>
      <c r="Q244" s="199" t="str">
        <f>VLOOKUP(A244,'SALE PARTY MASTR '!$B$5:$I$105,8,FALSE)</f>
        <v>Local Sale</v>
      </c>
      <c r="R244" s="199" t="s">
        <v>897</v>
      </c>
      <c r="S244" s="401">
        <v>85129000</v>
      </c>
      <c r="T244" s="201" t="str">
        <f>VLOOKUP(S244,'SALE HSN MASTER '!$A$6:$D$20,2,FALSE)</f>
        <v>Parts &amp; Accessories Of Motor Vehicles Other</v>
      </c>
      <c r="U244" s="201" t="str">
        <f>VLOOKUP(S244,'SALE HSN MASTER '!$A$6:$D$20,3,FALSE)</f>
        <v>NOS-NUMBERS</v>
      </c>
      <c r="V244" s="201" t="str">
        <f>VLOOKUP(S244,'SALE HSN MASTER '!$A$6:$D$20,4,FALSE)</f>
        <v>Goods</v>
      </c>
      <c r="W244" s="401">
        <v>1200</v>
      </c>
    </row>
    <row r="245" spans="1:23" ht="14.4" x14ac:dyDescent="0.3">
      <c r="A245" s="423" t="s">
        <v>24</v>
      </c>
      <c r="B245" s="199" t="str">
        <f>VLOOKUP(A245,'SALE PARTY MASTR '!$B$5:$G$280,2,FALSE)</f>
        <v>Tata Autocomp Systems LTD.(X1)</v>
      </c>
      <c r="C245" s="397" t="s">
        <v>1218</v>
      </c>
      <c r="D245" s="398">
        <v>43151</v>
      </c>
      <c r="E245" s="320">
        <f t="shared" si="17"/>
        <v>89277.132800000007</v>
      </c>
      <c r="F245" s="321" t="str">
        <f>VLOOKUP(A245,'SALE PARTY MASTR '!$B$5:$I$105,3,FALSE)</f>
        <v>27-Maharashatra</v>
      </c>
      <c r="G245" s="321" t="str">
        <f>VLOOKUP(A245,'SALE PARTY MASTR '!$B$5:$I$105,4,FALSE)</f>
        <v>N</v>
      </c>
      <c r="H245" s="321" t="str">
        <f>VLOOKUP(A245,'SALE PARTY MASTR '!$B$5:$I$105,5,FALSE)</f>
        <v>Regular</v>
      </c>
      <c r="I245" s="321">
        <f>VLOOKUP(A245,'SALE PARTY MASTR '!$B$5:$I$105,6,FALSE)</f>
        <v>0</v>
      </c>
      <c r="J245" s="262">
        <f>VLOOKUP(S245,'SALE HSN MASTER '!$A$6:$E$20,5,FALSE)</f>
        <v>28</v>
      </c>
      <c r="K245" s="400">
        <v>69747.759999999995</v>
      </c>
      <c r="L245" s="184"/>
      <c r="M245" s="322">
        <f t="shared" si="18"/>
        <v>0</v>
      </c>
      <c r="N245" s="322">
        <f t="shared" si="15"/>
        <v>9764.6864000000005</v>
      </c>
      <c r="O245" s="322">
        <f t="shared" si="16"/>
        <v>9764.6864000000005</v>
      </c>
      <c r="P245" s="199">
        <f>VLOOKUP(A245,'SALE PARTY MASTR '!$B$5:$I$105,7,FALSE)</f>
        <v>2</v>
      </c>
      <c r="Q245" s="199" t="str">
        <f>VLOOKUP(A245,'SALE PARTY MASTR '!$B$5:$I$105,8,FALSE)</f>
        <v>Local Sale</v>
      </c>
      <c r="R245" s="199" t="s">
        <v>897</v>
      </c>
      <c r="S245" s="401">
        <v>87089900</v>
      </c>
      <c r="T245" s="201" t="str">
        <f>VLOOKUP(S245,'SALE HSN MASTER '!$A$6:$D$20,2,FALSE)</f>
        <v>Parts &amp; Accessories Of Motor Vehicles Other</v>
      </c>
      <c r="U245" s="201" t="str">
        <f>VLOOKUP(S245,'SALE HSN MASTER '!$A$6:$D$20,3,FALSE)</f>
        <v>NOS-NUMBERS</v>
      </c>
      <c r="V245" s="201" t="str">
        <f>VLOOKUP(S245,'SALE HSN MASTER '!$A$6:$D$20,4,FALSE)</f>
        <v>Goods</v>
      </c>
      <c r="W245" s="401">
        <v>376</v>
      </c>
    </row>
    <row r="246" spans="1:23" ht="14.4" x14ac:dyDescent="0.3">
      <c r="A246" s="423" t="s">
        <v>23</v>
      </c>
      <c r="B246" s="199" t="str">
        <f>VLOOKUP(A246,'SALE PARTY MASTR '!$B$5:$G$280,2,FALSE)</f>
        <v>Varroc Polymers Pvt.ltd.</v>
      </c>
      <c r="C246" s="397" t="s">
        <v>1219</v>
      </c>
      <c r="D246" s="398">
        <v>43151</v>
      </c>
      <c r="E246" s="320">
        <f t="shared" si="17"/>
        <v>37734.451200000003</v>
      </c>
      <c r="F246" s="321" t="str">
        <f>VLOOKUP(A246,'SALE PARTY MASTR '!$B$5:$I$105,3,FALSE)</f>
        <v>27-Maharashatra</v>
      </c>
      <c r="G246" s="321" t="str">
        <f>VLOOKUP(A246,'SALE PARTY MASTR '!$B$5:$I$105,4,FALSE)</f>
        <v>N</v>
      </c>
      <c r="H246" s="321" t="str">
        <f>VLOOKUP(A246,'SALE PARTY MASTR '!$B$5:$I$105,5,FALSE)</f>
        <v>Regular</v>
      </c>
      <c r="I246" s="321">
        <f>VLOOKUP(A246,'SALE PARTY MASTR '!$B$5:$I$105,6,FALSE)</f>
        <v>0</v>
      </c>
      <c r="J246" s="262">
        <f>VLOOKUP(S246,'SALE HSN MASTER '!$A$6:$E$20,5,FALSE)</f>
        <v>28</v>
      </c>
      <c r="K246" s="400">
        <v>29480.04</v>
      </c>
      <c r="L246" s="184"/>
      <c r="M246" s="322">
        <f t="shared" si="18"/>
        <v>0</v>
      </c>
      <c r="N246" s="322">
        <f t="shared" si="15"/>
        <v>4127.2056000000002</v>
      </c>
      <c r="O246" s="322">
        <f t="shared" si="16"/>
        <v>4127.2056000000002</v>
      </c>
      <c r="P246" s="199">
        <f>VLOOKUP(A246,'SALE PARTY MASTR '!$B$5:$I$105,7,FALSE)</f>
        <v>2</v>
      </c>
      <c r="Q246" s="199" t="str">
        <f>VLOOKUP(A246,'SALE PARTY MASTR '!$B$5:$I$105,8,FALSE)</f>
        <v>Local Sale</v>
      </c>
      <c r="R246" s="199" t="s">
        <v>894</v>
      </c>
      <c r="S246" s="401">
        <v>87081090</v>
      </c>
      <c r="T246" s="201" t="str">
        <f>VLOOKUP(S246,'SALE HSN MASTER '!$A$6:$D$20,2,FALSE)</f>
        <v>Parts &amp; Accessories Of Motor Vehicles Other</v>
      </c>
      <c r="U246" s="201" t="str">
        <f>VLOOKUP(S246,'SALE HSN MASTER '!$A$6:$D$20,3,FALSE)</f>
        <v>NOS-NUMBERS</v>
      </c>
      <c r="V246" s="201" t="str">
        <f>VLOOKUP(S246,'SALE HSN MASTER '!$A$6:$D$20,4,FALSE)</f>
        <v>Goods</v>
      </c>
      <c r="W246" s="401">
        <v>408</v>
      </c>
    </row>
    <row r="247" spans="1:23" ht="14.4" x14ac:dyDescent="0.3">
      <c r="A247" s="423" t="s">
        <v>969</v>
      </c>
      <c r="B247" s="199" t="str">
        <f ca="1">VLOOKUP(A247,'SALE PARTY MASTR '!$B$5:$G$280,2,FALSE)</f>
        <v>Membrane Filers (India) Pvt.Ltd</v>
      </c>
      <c r="C247" s="397" t="s">
        <v>1220</v>
      </c>
      <c r="D247" s="398">
        <v>43151</v>
      </c>
      <c r="E247" s="320">
        <f t="shared" si="17"/>
        <v>39294</v>
      </c>
      <c r="F247" s="321" t="str">
        <f>VLOOKUP(A247,'SALE PARTY MASTR '!$B$5:$I$105,3,FALSE)</f>
        <v>27-Maharashatra</v>
      </c>
      <c r="G247" s="321" t="str">
        <f>VLOOKUP(A247,'SALE PARTY MASTR '!$B$5:$I$105,4,FALSE)</f>
        <v>N</v>
      </c>
      <c r="H247" s="321" t="str">
        <f>VLOOKUP(A247,'SALE PARTY MASTR '!$B$5:$I$105,5,FALSE)</f>
        <v>Regular</v>
      </c>
      <c r="I247" s="321">
        <f>VLOOKUP(A247,'SALE PARTY MASTR '!$B$5:$I$105,6,FALSE)</f>
        <v>0</v>
      </c>
      <c r="J247" s="262">
        <f>VLOOKUP(S247,'SALE HSN MASTER '!$A$6:$E$20,5,FALSE)</f>
        <v>18</v>
      </c>
      <c r="K247" s="400">
        <v>33300</v>
      </c>
      <c r="L247" s="184"/>
      <c r="M247" s="322">
        <f t="shared" si="18"/>
        <v>0</v>
      </c>
      <c r="N247" s="322">
        <f t="shared" si="15"/>
        <v>2997</v>
      </c>
      <c r="O247" s="322">
        <f t="shared" si="16"/>
        <v>2997</v>
      </c>
      <c r="P247" s="199">
        <f>VLOOKUP(A247,'SALE PARTY MASTR '!$B$5:$I$105,7,FALSE)</f>
        <v>2</v>
      </c>
      <c r="Q247" s="199" t="str">
        <f>VLOOKUP(A247,'SALE PARTY MASTR '!$B$5:$I$105,8,FALSE)</f>
        <v>Local Sale</v>
      </c>
      <c r="R247" s="199" t="s">
        <v>897</v>
      </c>
      <c r="S247" s="401">
        <v>8421</v>
      </c>
      <c r="T247" s="201" t="str">
        <f>VLOOKUP(S247,'SALE HSN MASTER '!$A$6:$D$20,2,FALSE)</f>
        <v>Parts &amp; Accessories Of Motor Vehicles Other</v>
      </c>
      <c r="U247" s="201" t="str">
        <f>VLOOKUP(S247,'SALE HSN MASTER '!$A$6:$D$20,3,FALSE)</f>
        <v>NOS-NUMBERS</v>
      </c>
      <c r="V247" s="201" t="str">
        <f>VLOOKUP(S247,'SALE HSN MASTER '!$A$6:$D$20,4,FALSE)</f>
        <v>Goods</v>
      </c>
      <c r="W247" s="401">
        <v>74</v>
      </c>
    </row>
    <row r="248" spans="1:23" ht="14.4" x14ac:dyDescent="0.3">
      <c r="A248" s="423" t="s">
        <v>31</v>
      </c>
      <c r="B248" s="199" t="str">
        <f>VLOOKUP(A248,'SALE PARTY MASTR '!$B$5:$G$280,2,FALSE)</f>
        <v>Mittal Precision Auto Comps Pvt Ltd,</v>
      </c>
      <c r="C248" s="397" t="s">
        <v>1221</v>
      </c>
      <c r="D248" s="398">
        <v>43151</v>
      </c>
      <c r="E248" s="320">
        <f t="shared" si="17"/>
        <v>6811.243199999999</v>
      </c>
      <c r="F248" s="321" t="str">
        <f>VLOOKUP(A248,'SALE PARTY MASTR '!$B$5:$I$105,3,FALSE)</f>
        <v>27-Maharashatra</v>
      </c>
      <c r="G248" s="321" t="str">
        <f>VLOOKUP(A248,'SALE PARTY MASTR '!$B$5:$I$105,4,FALSE)</f>
        <v>N</v>
      </c>
      <c r="H248" s="321" t="str">
        <f>VLOOKUP(A248,'SALE PARTY MASTR '!$B$5:$I$105,5,FALSE)</f>
        <v>Regular</v>
      </c>
      <c r="I248" s="321">
        <f>VLOOKUP(A248,'SALE PARTY MASTR '!$B$5:$I$105,6,FALSE)</f>
        <v>0</v>
      </c>
      <c r="J248" s="262">
        <f>VLOOKUP(S248,'SALE HSN MASTER '!$A$6:$E$20,5,FALSE)</f>
        <v>18</v>
      </c>
      <c r="K248" s="400">
        <v>5772.24</v>
      </c>
      <c r="L248" s="184"/>
      <c r="M248" s="322">
        <f t="shared" si="18"/>
        <v>0</v>
      </c>
      <c r="N248" s="322">
        <f t="shared" si="15"/>
        <v>519.50159999999994</v>
      </c>
      <c r="O248" s="322">
        <f t="shared" si="16"/>
        <v>519.50159999999994</v>
      </c>
      <c r="P248" s="199">
        <f>VLOOKUP(A248,'SALE PARTY MASTR '!$B$5:$I$105,7,FALSE)</f>
        <v>2</v>
      </c>
      <c r="Q248" s="199" t="str">
        <f>VLOOKUP(A248,'SALE PARTY MASTR '!$B$5:$I$105,8,FALSE)</f>
        <v>Local Sale</v>
      </c>
      <c r="R248" s="199" t="s">
        <v>894</v>
      </c>
      <c r="S248" s="401">
        <v>998898</v>
      </c>
      <c r="T248" s="201" t="str">
        <f>VLOOKUP(S248,'SALE HSN MASTER '!$A$6:$D$20,2,FALSE)</f>
        <v>Parts &amp; Accessories Of Motor Vehicles Other</v>
      </c>
      <c r="U248" s="201" t="str">
        <f>VLOOKUP(S248,'SALE HSN MASTER '!$A$6:$D$20,3,FALSE)</f>
        <v>NOS-NUMBERS</v>
      </c>
      <c r="V248" s="201" t="str">
        <f>VLOOKUP(S248,'SALE HSN MASTER '!$A$6:$D$20,4,FALSE)</f>
        <v>Service</v>
      </c>
      <c r="W248" s="401">
        <v>12</v>
      </c>
    </row>
    <row r="249" spans="1:23" ht="14.4" x14ac:dyDescent="0.3">
      <c r="A249" s="423" t="s">
        <v>31</v>
      </c>
      <c r="B249" s="199" t="str">
        <f>VLOOKUP(A249,'SALE PARTY MASTR '!$B$5:$G$280,2,FALSE)</f>
        <v>Mittal Precision Auto Comps Pvt Ltd,</v>
      </c>
      <c r="C249" s="397" t="s">
        <v>1222</v>
      </c>
      <c r="D249" s="398">
        <v>43151</v>
      </c>
      <c r="E249" s="320">
        <f t="shared" si="17"/>
        <v>6811.243199999999</v>
      </c>
      <c r="F249" s="321" t="str">
        <f>VLOOKUP(A249,'SALE PARTY MASTR '!$B$5:$I$105,3,FALSE)</f>
        <v>27-Maharashatra</v>
      </c>
      <c r="G249" s="321" t="str">
        <f>VLOOKUP(A249,'SALE PARTY MASTR '!$B$5:$I$105,4,FALSE)</f>
        <v>N</v>
      </c>
      <c r="H249" s="321" t="str">
        <f>VLOOKUP(A249,'SALE PARTY MASTR '!$B$5:$I$105,5,FALSE)</f>
        <v>Regular</v>
      </c>
      <c r="I249" s="321">
        <f>VLOOKUP(A249,'SALE PARTY MASTR '!$B$5:$I$105,6,FALSE)</f>
        <v>0</v>
      </c>
      <c r="J249" s="262">
        <f>VLOOKUP(S249,'SALE HSN MASTER '!$A$6:$E$20,5,FALSE)</f>
        <v>18</v>
      </c>
      <c r="K249" s="400">
        <v>5772.24</v>
      </c>
      <c r="L249" s="184"/>
      <c r="M249" s="322">
        <f t="shared" si="18"/>
        <v>0</v>
      </c>
      <c r="N249" s="322">
        <f t="shared" si="15"/>
        <v>519.50159999999994</v>
      </c>
      <c r="O249" s="322">
        <f t="shared" si="16"/>
        <v>519.50159999999994</v>
      </c>
      <c r="P249" s="199">
        <f>VLOOKUP(A249,'SALE PARTY MASTR '!$B$5:$I$105,7,FALSE)</f>
        <v>2</v>
      </c>
      <c r="Q249" s="199" t="str">
        <f>VLOOKUP(A249,'SALE PARTY MASTR '!$B$5:$I$105,8,FALSE)</f>
        <v>Local Sale</v>
      </c>
      <c r="R249" s="199" t="s">
        <v>897</v>
      </c>
      <c r="S249" s="401">
        <v>998898</v>
      </c>
      <c r="T249" s="201" t="str">
        <f>VLOOKUP(S249,'SALE HSN MASTER '!$A$6:$D$20,2,FALSE)</f>
        <v>Parts &amp; Accessories Of Motor Vehicles Other</v>
      </c>
      <c r="U249" s="201" t="str">
        <f>VLOOKUP(S249,'SALE HSN MASTER '!$A$6:$D$20,3,FALSE)</f>
        <v>NOS-NUMBERS</v>
      </c>
      <c r="V249" s="201" t="str">
        <f>VLOOKUP(S249,'SALE HSN MASTER '!$A$6:$D$20,4,FALSE)</f>
        <v>Service</v>
      </c>
      <c r="W249" s="401">
        <v>12</v>
      </c>
    </row>
    <row r="250" spans="1:23" ht="14.4" x14ac:dyDescent="0.3">
      <c r="A250" s="423" t="s">
        <v>23</v>
      </c>
      <c r="B250" s="199" t="str">
        <f>VLOOKUP(A250,'SALE PARTY MASTR '!$B$5:$G$280,2,FALSE)</f>
        <v>Varroc Polymers Pvt.ltd.</v>
      </c>
      <c r="C250" s="397" t="s">
        <v>1223</v>
      </c>
      <c r="D250" s="398">
        <v>43151</v>
      </c>
      <c r="E250" s="320">
        <f t="shared" si="17"/>
        <v>38844.287999999993</v>
      </c>
      <c r="F250" s="321" t="str">
        <f>VLOOKUP(A250,'SALE PARTY MASTR '!$B$5:$I$105,3,FALSE)</f>
        <v>27-Maharashatra</v>
      </c>
      <c r="G250" s="321" t="str">
        <f>VLOOKUP(A250,'SALE PARTY MASTR '!$B$5:$I$105,4,FALSE)</f>
        <v>N</v>
      </c>
      <c r="H250" s="321" t="str">
        <f>VLOOKUP(A250,'SALE PARTY MASTR '!$B$5:$I$105,5,FALSE)</f>
        <v>Regular</v>
      </c>
      <c r="I250" s="321">
        <f>VLOOKUP(A250,'SALE PARTY MASTR '!$B$5:$I$105,6,FALSE)</f>
        <v>0</v>
      </c>
      <c r="J250" s="262">
        <f>VLOOKUP(S250,'SALE HSN MASTER '!$A$6:$E$20,5,FALSE)</f>
        <v>28</v>
      </c>
      <c r="K250" s="400">
        <v>30347.1</v>
      </c>
      <c r="L250" s="184"/>
      <c r="M250" s="322">
        <f t="shared" si="18"/>
        <v>0</v>
      </c>
      <c r="N250" s="322">
        <f t="shared" si="15"/>
        <v>4248.5940000000001</v>
      </c>
      <c r="O250" s="322">
        <f t="shared" si="16"/>
        <v>4248.5940000000001</v>
      </c>
      <c r="P250" s="199">
        <f>VLOOKUP(A250,'SALE PARTY MASTR '!$B$5:$I$105,7,FALSE)</f>
        <v>2</v>
      </c>
      <c r="Q250" s="199" t="str">
        <f>VLOOKUP(A250,'SALE PARTY MASTR '!$B$5:$I$105,8,FALSE)</f>
        <v>Local Sale</v>
      </c>
      <c r="R250" s="199" t="s">
        <v>897</v>
      </c>
      <c r="S250" s="401">
        <v>87081090</v>
      </c>
      <c r="T250" s="201" t="str">
        <f>VLOOKUP(S250,'SALE HSN MASTER '!$A$6:$D$20,2,FALSE)</f>
        <v>Parts &amp; Accessories Of Motor Vehicles Other</v>
      </c>
      <c r="U250" s="201" t="str">
        <f>VLOOKUP(S250,'SALE HSN MASTER '!$A$6:$D$20,3,FALSE)</f>
        <v>NOS-NUMBERS</v>
      </c>
      <c r="V250" s="201" t="str">
        <f>VLOOKUP(S250,'SALE HSN MASTER '!$A$6:$D$20,4,FALSE)</f>
        <v>Goods</v>
      </c>
      <c r="W250" s="401">
        <v>420</v>
      </c>
    </row>
    <row r="251" spans="1:23" ht="14.4" x14ac:dyDescent="0.3">
      <c r="A251" s="423" t="s">
        <v>862</v>
      </c>
      <c r="B251" s="199" t="str">
        <f>VLOOKUP(A251,'SALE PARTY MASTR '!$B$5:$G$280,2,FALSE)</f>
        <v>Varroc Engineering Pvt Ltd</v>
      </c>
      <c r="C251" s="397" t="s">
        <v>1224</v>
      </c>
      <c r="D251" s="398">
        <v>43151</v>
      </c>
      <c r="E251" s="320">
        <f t="shared" si="17"/>
        <v>25569.792000000001</v>
      </c>
      <c r="F251" s="321" t="str">
        <f>VLOOKUP(A251,'SALE PARTY MASTR '!$B$5:$I$105,3,FALSE)</f>
        <v>27-Maharashatra</v>
      </c>
      <c r="G251" s="321" t="str">
        <f>VLOOKUP(A251,'SALE PARTY MASTR '!$B$5:$I$105,4,FALSE)</f>
        <v>N</v>
      </c>
      <c r="H251" s="321" t="str">
        <f>VLOOKUP(A251,'SALE PARTY MASTR '!$B$5:$I$105,5,FALSE)</f>
        <v>Regular</v>
      </c>
      <c r="I251" s="321">
        <f>VLOOKUP(A251,'SALE PARTY MASTR '!$B$5:$I$105,6,FALSE)</f>
        <v>0</v>
      </c>
      <c r="J251" s="262">
        <f>VLOOKUP(S251,'SALE HSN MASTER '!$A$6:$E$20,5,FALSE)</f>
        <v>28</v>
      </c>
      <c r="K251" s="400">
        <v>19976.400000000001</v>
      </c>
      <c r="L251" s="184"/>
      <c r="M251" s="322">
        <f t="shared" si="18"/>
        <v>0</v>
      </c>
      <c r="N251" s="322">
        <f t="shared" si="15"/>
        <v>2796.6960000000004</v>
      </c>
      <c r="O251" s="322">
        <f t="shared" si="16"/>
        <v>2796.6960000000004</v>
      </c>
      <c r="P251" s="199">
        <f>VLOOKUP(A251,'SALE PARTY MASTR '!$B$5:$I$105,7,FALSE)</f>
        <v>2</v>
      </c>
      <c r="Q251" s="199" t="str">
        <f>VLOOKUP(A251,'SALE PARTY MASTR '!$B$5:$I$105,8,FALSE)</f>
        <v>Local Sale</v>
      </c>
      <c r="R251" s="199" t="s">
        <v>897</v>
      </c>
      <c r="S251" s="401">
        <v>85119000</v>
      </c>
      <c r="T251" s="201" t="str">
        <f>VLOOKUP(S251,'SALE HSN MASTER '!$A$6:$D$20,2,FALSE)</f>
        <v>Parts &amp; Accessories Of Motor Vehicles Other</v>
      </c>
      <c r="U251" s="201" t="str">
        <f>VLOOKUP(S251,'SALE HSN MASTER '!$A$6:$D$20,3,FALSE)</f>
        <v>NOS-NUMBERS</v>
      </c>
      <c r="V251" s="201" t="str">
        <f>VLOOKUP(S251,'SALE HSN MASTER '!$A$6:$D$20,4,FALSE)</f>
        <v>Goods</v>
      </c>
      <c r="W251" s="401">
        <v>360</v>
      </c>
    </row>
    <row r="252" spans="1:23" ht="14.4" x14ac:dyDescent="0.3">
      <c r="A252" s="423" t="s">
        <v>862</v>
      </c>
      <c r="B252" s="199" t="str">
        <f>VLOOKUP(A252,'SALE PARTY MASTR '!$B$5:$G$280,2,FALSE)</f>
        <v>Varroc Engineering Pvt Ltd</v>
      </c>
      <c r="C252" s="397" t="s">
        <v>1225</v>
      </c>
      <c r="D252" s="398">
        <v>43151</v>
      </c>
      <c r="E252" s="320">
        <f t="shared" si="17"/>
        <v>18280.857599999999</v>
      </c>
      <c r="F252" s="321" t="str">
        <f>VLOOKUP(A252,'SALE PARTY MASTR '!$B$5:$I$105,3,FALSE)</f>
        <v>27-Maharashatra</v>
      </c>
      <c r="G252" s="321" t="str">
        <f>VLOOKUP(A252,'SALE PARTY MASTR '!$B$5:$I$105,4,FALSE)</f>
        <v>N</v>
      </c>
      <c r="H252" s="321" t="str">
        <f>VLOOKUP(A252,'SALE PARTY MASTR '!$B$5:$I$105,5,FALSE)</f>
        <v>Regular</v>
      </c>
      <c r="I252" s="321">
        <f>VLOOKUP(A252,'SALE PARTY MASTR '!$B$5:$I$105,6,FALSE)</f>
        <v>0</v>
      </c>
      <c r="J252" s="262">
        <f>VLOOKUP(S252,'SALE HSN MASTER '!$A$6:$E$20,5,FALSE)</f>
        <v>28</v>
      </c>
      <c r="K252" s="400">
        <v>14281.92</v>
      </c>
      <c r="L252" s="184"/>
      <c r="M252" s="322">
        <f t="shared" si="18"/>
        <v>0</v>
      </c>
      <c r="N252" s="322">
        <f t="shared" si="15"/>
        <v>1999.4688000000001</v>
      </c>
      <c r="O252" s="322">
        <f t="shared" si="16"/>
        <v>1999.4688000000001</v>
      </c>
      <c r="P252" s="199">
        <f>VLOOKUP(A252,'SALE PARTY MASTR '!$B$5:$I$105,7,FALSE)</f>
        <v>2</v>
      </c>
      <c r="Q252" s="199" t="str">
        <f>VLOOKUP(A252,'SALE PARTY MASTR '!$B$5:$I$105,8,FALSE)</f>
        <v>Local Sale</v>
      </c>
      <c r="R252" s="199" t="s">
        <v>897</v>
      </c>
      <c r="S252" s="401">
        <v>87142090</v>
      </c>
      <c r="T252" s="201" t="str">
        <f>VLOOKUP(S252,'SALE HSN MASTER '!$A$6:$D$20,2,FALSE)</f>
        <v>Parts &amp; Accessories Of Motor Vehicles Other</v>
      </c>
      <c r="U252" s="201" t="str">
        <f>VLOOKUP(S252,'SALE HSN MASTER '!$A$6:$D$20,3,FALSE)</f>
        <v>NOS-NUMBERS</v>
      </c>
      <c r="V252" s="201" t="str">
        <f>VLOOKUP(S252,'SALE HSN MASTER '!$A$6:$D$20,4,FALSE)</f>
        <v>Goods</v>
      </c>
      <c r="W252" s="401">
        <v>324</v>
      </c>
    </row>
    <row r="253" spans="1:23" ht="14.4" x14ac:dyDescent="0.3">
      <c r="A253" s="423" t="s">
        <v>32</v>
      </c>
      <c r="B253" s="199" t="str">
        <f>VLOOKUP(A253,'SALE PARTY MASTR '!$B$5:$G$280,2,FALSE)</f>
        <v>Pricol Ltd (Formerly Pricol Pune Ltd)</v>
      </c>
      <c r="C253" s="397" t="s">
        <v>1226</v>
      </c>
      <c r="D253" s="398">
        <v>43151</v>
      </c>
      <c r="E253" s="320">
        <f t="shared" si="17"/>
        <v>34614.080000000002</v>
      </c>
      <c r="F253" s="321" t="str">
        <f>VLOOKUP(A253,'SALE PARTY MASTR '!$B$5:$I$105,3,FALSE)</f>
        <v>27-Maharashatra</v>
      </c>
      <c r="G253" s="321" t="str">
        <f>VLOOKUP(A253,'SALE PARTY MASTR '!$B$5:$I$105,4,FALSE)</f>
        <v>N</v>
      </c>
      <c r="H253" s="321" t="str">
        <f>VLOOKUP(A253,'SALE PARTY MASTR '!$B$5:$I$105,5,FALSE)</f>
        <v>Regular</v>
      </c>
      <c r="I253" s="321">
        <f>VLOOKUP(A253,'SALE PARTY MASTR '!$B$5:$I$105,6,FALSE)</f>
        <v>0</v>
      </c>
      <c r="J253" s="262">
        <f>VLOOKUP(S253,'SALE HSN MASTER '!$A$6:$E$20,5,FALSE)</f>
        <v>28</v>
      </c>
      <c r="K253" s="400">
        <v>27042.25</v>
      </c>
      <c r="L253" s="184"/>
      <c r="M253" s="322">
        <f t="shared" si="18"/>
        <v>0</v>
      </c>
      <c r="N253" s="322">
        <f t="shared" si="15"/>
        <v>3785.9150000000004</v>
      </c>
      <c r="O253" s="322">
        <f t="shared" si="16"/>
        <v>3785.9150000000004</v>
      </c>
      <c r="P253" s="199">
        <f>VLOOKUP(A253,'SALE PARTY MASTR '!$B$5:$I$105,7,FALSE)</f>
        <v>2</v>
      </c>
      <c r="Q253" s="199" t="str">
        <f>VLOOKUP(A253,'SALE PARTY MASTR '!$B$5:$I$105,8,FALSE)</f>
        <v>Local Sale</v>
      </c>
      <c r="R253" s="199" t="s">
        <v>897</v>
      </c>
      <c r="S253" s="401">
        <v>87141090</v>
      </c>
      <c r="T253" s="201" t="str">
        <f>VLOOKUP(S253,'SALE HSN MASTER '!$A$6:$D$20,2,FALSE)</f>
        <v>Parts &amp; Accessories Of Motor Vehicles Other</v>
      </c>
      <c r="U253" s="201" t="str">
        <f>VLOOKUP(S253,'SALE HSN MASTER '!$A$6:$D$20,3,FALSE)</f>
        <v>NOS-NUMBERS</v>
      </c>
      <c r="V253" s="201" t="str">
        <f>VLOOKUP(S253,'SALE HSN MASTER '!$A$6:$D$20,4,FALSE)</f>
        <v>Goods</v>
      </c>
      <c r="W253" s="401">
        <v>575</v>
      </c>
    </row>
    <row r="254" spans="1:23" ht="14.4" x14ac:dyDescent="0.3">
      <c r="A254" s="423" t="s">
        <v>32</v>
      </c>
      <c r="B254" s="199" t="str">
        <f>VLOOKUP(A254,'SALE PARTY MASTR '!$B$5:$G$280,2,FALSE)</f>
        <v>Pricol Ltd (Formerly Pricol Pune Ltd)</v>
      </c>
      <c r="C254" s="397" t="s">
        <v>1227</v>
      </c>
      <c r="D254" s="398">
        <v>43151</v>
      </c>
      <c r="E254" s="320">
        <f t="shared" si="17"/>
        <v>15435.776000000002</v>
      </c>
      <c r="F254" s="321" t="str">
        <f>VLOOKUP(A254,'SALE PARTY MASTR '!$B$5:$I$105,3,FALSE)</f>
        <v>27-Maharashatra</v>
      </c>
      <c r="G254" s="321" t="str">
        <f>VLOOKUP(A254,'SALE PARTY MASTR '!$B$5:$I$105,4,FALSE)</f>
        <v>N</v>
      </c>
      <c r="H254" s="321" t="str">
        <f>VLOOKUP(A254,'SALE PARTY MASTR '!$B$5:$I$105,5,FALSE)</f>
        <v>Regular</v>
      </c>
      <c r="I254" s="321">
        <f>VLOOKUP(A254,'SALE PARTY MASTR '!$B$5:$I$105,6,FALSE)</f>
        <v>0</v>
      </c>
      <c r="J254" s="262">
        <f>VLOOKUP(S254,'SALE HSN MASTER '!$A$6:$E$20,5,FALSE)</f>
        <v>28</v>
      </c>
      <c r="K254" s="400">
        <v>12059.2</v>
      </c>
      <c r="L254" s="184"/>
      <c r="M254" s="322">
        <f t="shared" si="18"/>
        <v>0</v>
      </c>
      <c r="N254" s="322">
        <f t="shared" si="15"/>
        <v>1688.2880000000002</v>
      </c>
      <c r="O254" s="322">
        <f t="shared" si="16"/>
        <v>1688.2880000000002</v>
      </c>
      <c r="P254" s="199">
        <f>VLOOKUP(A254,'SALE PARTY MASTR '!$B$5:$I$105,7,FALSE)</f>
        <v>2</v>
      </c>
      <c r="Q254" s="199" t="str">
        <f>VLOOKUP(A254,'SALE PARTY MASTR '!$B$5:$I$105,8,FALSE)</f>
        <v>Local Sale</v>
      </c>
      <c r="R254" s="199" t="s">
        <v>897</v>
      </c>
      <c r="S254" s="401">
        <v>87141090</v>
      </c>
      <c r="T254" s="201" t="str">
        <f>VLOOKUP(S254,'SALE HSN MASTER '!$A$6:$D$20,2,FALSE)</f>
        <v>Parts &amp; Accessories Of Motor Vehicles Other</v>
      </c>
      <c r="U254" s="201" t="str">
        <f>VLOOKUP(S254,'SALE HSN MASTER '!$A$6:$D$20,3,FALSE)</f>
        <v>NOS-NUMBERS</v>
      </c>
      <c r="V254" s="201" t="str">
        <f>VLOOKUP(S254,'SALE HSN MASTER '!$A$6:$D$20,4,FALSE)</f>
        <v>Goods</v>
      </c>
      <c r="W254" s="401">
        <v>160</v>
      </c>
    </row>
    <row r="255" spans="1:23" ht="14.4" x14ac:dyDescent="0.3">
      <c r="A255" s="423" t="s">
        <v>36</v>
      </c>
      <c r="B255" s="199" t="str">
        <f>VLOOKUP(A255,'SALE PARTY MASTR '!$B$5:$G$280,2,FALSE)</f>
        <v>Bamboo India</v>
      </c>
      <c r="C255" s="397" t="s">
        <v>1228</v>
      </c>
      <c r="D255" s="398">
        <v>43152</v>
      </c>
      <c r="E255" s="320">
        <f t="shared" si="17"/>
        <v>3540</v>
      </c>
      <c r="F255" s="321" t="str">
        <f>VLOOKUP(A255,'SALE PARTY MASTR '!$B$5:$I$105,3,FALSE)</f>
        <v>27-Maharashatra</v>
      </c>
      <c r="G255" s="321" t="str">
        <f>VLOOKUP(A255,'SALE PARTY MASTR '!$B$5:$I$105,4,FALSE)</f>
        <v>N</v>
      </c>
      <c r="H255" s="321" t="str">
        <f>VLOOKUP(A255,'SALE PARTY MASTR '!$B$5:$I$105,5,FALSE)</f>
        <v>Regular</v>
      </c>
      <c r="I255" s="321">
        <f>VLOOKUP(A255,'SALE PARTY MASTR '!$B$5:$I$105,6,FALSE)</f>
        <v>0</v>
      </c>
      <c r="J255" s="262">
        <f>VLOOKUP(S255,'SALE HSN MASTER '!$A$6:$E$20,5,FALSE)</f>
        <v>18</v>
      </c>
      <c r="K255" s="400">
        <v>3000</v>
      </c>
      <c r="L255" s="184"/>
      <c r="M255" s="322">
        <f t="shared" si="18"/>
        <v>0</v>
      </c>
      <c r="N255" s="322">
        <f t="shared" si="15"/>
        <v>270</v>
      </c>
      <c r="O255" s="322">
        <f t="shared" si="16"/>
        <v>270</v>
      </c>
      <c r="P255" s="199">
        <f>VLOOKUP(A255,'SALE PARTY MASTR '!$B$5:$I$105,7,FALSE)</f>
        <v>2</v>
      </c>
      <c r="Q255" s="199" t="str">
        <f>VLOOKUP(A255,'SALE PARTY MASTR '!$B$5:$I$105,8,FALSE)</f>
        <v>Local Sale</v>
      </c>
      <c r="R255" s="199" t="s">
        <v>897</v>
      </c>
      <c r="S255" s="401">
        <v>998898</v>
      </c>
      <c r="T255" s="201" t="str">
        <f>VLOOKUP(S255,'SALE HSN MASTER '!$A$6:$D$20,2,FALSE)</f>
        <v>Parts &amp; Accessories Of Motor Vehicles Other</v>
      </c>
      <c r="U255" s="201" t="str">
        <f>VLOOKUP(S255,'SALE HSN MASTER '!$A$6:$D$20,3,FALSE)</f>
        <v>NOS-NUMBERS</v>
      </c>
      <c r="V255" s="201" t="str">
        <f>VLOOKUP(S255,'SALE HSN MASTER '!$A$6:$D$20,4,FALSE)</f>
        <v>Service</v>
      </c>
      <c r="W255" s="401">
        <v>200</v>
      </c>
    </row>
    <row r="256" spans="1:23" ht="14.4" x14ac:dyDescent="0.3">
      <c r="A256" s="423" t="s">
        <v>23</v>
      </c>
      <c r="B256" s="199" t="str">
        <f>VLOOKUP(A256,'SALE PARTY MASTR '!$B$5:$G$280,2,FALSE)</f>
        <v>Varroc Polymers Pvt.ltd.</v>
      </c>
      <c r="C256" s="397" t="s">
        <v>1229</v>
      </c>
      <c r="D256" s="398">
        <v>43152</v>
      </c>
      <c r="E256" s="320">
        <f t="shared" si="17"/>
        <v>37734.451200000003</v>
      </c>
      <c r="F256" s="321" t="str">
        <f>VLOOKUP(A256,'SALE PARTY MASTR '!$B$5:$I$105,3,FALSE)</f>
        <v>27-Maharashatra</v>
      </c>
      <c r="G256" s="321" t="str">
        <f>VLOOKUP(A256,'SALE PARTY MASTR '!$B$5:$I$105,4,FALSE)</f>
        <v>N</v>
      </c>
      <c r="H256" s="321" t="str">
        <f>VLOOKUP(A256,'SALE PARTY MASTR '!$B$5:$I$105,5,FALSE)</f>
        <v>Regular</v>
      </c>
      <c r="I256" s="321">
        <f>VLOOKUP(A256,'SALE PARTY MASTR '!$B$5:$I$105,6,FALSE)</f>
        <v>0</v>
      </c>
      <c r="J256" s="262">
        <f>VLOOKUP(S256,'SALE HSN MASTER '!$A$6:$E$20,5,FALSE)</f>
        <v>28</v>
      </c>
      <c r="K256" s="400">
        <v>29480.04</v>
      </c>
      <c r="L256" s="184"/>
      <c r="M256" s="322">
        <f t="shared" si="18"/>
        <v>0</v>
      </c>
      <c r="N256" s="322">
        <f t="shared" si="15"/>
        <v>4127.2056000000002</v>
      </c>
      <c r="O256" s="322">
        <f t="shared" si="16"/>
        <v>4127.2056000000002</v>
      </c>
      <c r="P256" s="199">
        <f>VLOOKUP(A256,'SALE PARTY MASTR '!$B$5:$I$105,7,FALSE)</f>
        <v>2</v>
      </c>
      <c r="Q256" s="199" t="str">
        <f>VLOOKUP(A256,'SALE PARTY MASTR '!$B$5:$I$105,8,FALSE)</f>
        <v>Local Sale</v>
      </c>
      <c r="R256" s="199" t="s">
        <v>894</v>
      </c>
      <c r="S256" s="401">
        <v>87081090</v>
      </c>
      <c r="T256" s="201" t="str">
        <f>VLOOKUP(S256,'SALE HSN MASTER '!$A$6:$D$20,2,FALSE)</f>
        <v>Parts &amp; Accessories Of Motor Vehicles Other</v>
      </c>
      <c r="U256" s="201" t="str">
        <f>VLOOKUP(S256,'SALE HSN MASTER '!$A$6:$D$20,3,FALSE)</f>
        <v>NOS-NUMBERS</v>
      </c>
      <c r="V256" s="201" t="str">
        <f>VLOOKUP(S256,'SALE HSN MASTER '!$A$6:$D$20,4,FALSE)</f>
        <v>Goods</v>
      </c>
      <c r="W256" s="401">
        <v>408</v>
      </c>
    </row>
    <row r="257" spans="1:23" ht="14.4" x14ac:dyDescent="0.3">
      <c r="A257" s="423" t="s">
        <v>23</v>
      </c>
      <c r="B257" s="199" t="str">
        <f>VLOOKUP(A257,'SALE PARTY MASTR '!$B$5:$G$280,2,FALSE)</f>
        <v>Varroc Polymers Pvt.ltd.</v>
      </c>
      <c r="C257" s="397" t="s">
        <v>1230</v>
      </c>
      <c r="D257" s="398">
        <v>43152</v>
      </c>
      <c r="E257" s="320">
        <f t="shared" si="17"/>
        <v>7489.92</v>
      </c>
      <c r="F257" s="321" t="str">
        <f>VLOOKUP(A257,'SALE PARTY MASTR '!$B$5:$I$105,3,FALSE)</f>
        <v>27-Maharashatra</v>
      </c>
      <c r="G257" s="321" t="str">
        <f>VLOOKUP(A257,'SALE PARTY MASTR '!$B$5:$I$105,4,FALSE)</f>
        <v>N</v>
      </c>
      <c r="H257" s="321" t="str">
        <f>VLOOKUP(A257,'SALE PARTY MASTR '!$B$5:$I$105,5,FALSE)</f>
        <v>Regular</v>
      </c>
      <c r="I257" s="321">
        <f>VLOOKUP(A257,'SALE PARTY MASTR '!$B$5:$I$105,6,FALSE)</f>
        <v>0</v>
      </c>
      <c r="J257" s="262">
        <f>VLOOKUP(S257,'SALE HSN MASTER '!$A$6:$E$20,5,FALSE)</f>
        <v>28</v>
      </c>
      <c r="K257" s="400">
        <v>5851.5</v>
      </c>
      <c r="L257" s="184"/>
      <c r="M257" s="322">
        <f t="shared" si="18"/>
        <v>0</v>
      </c>
      <c r="N257" s="322">
        <f t="shared" si="15"/>
        <v>819.21</v>
      </c>
      <c r="O257" s="322">
        <f t="shared" si="16"/>
        <v>819.21</v>
      </c>
      <c r="P257" s="199">
        <f>VLOOKUP(A257,'SALE PARTY MASTR '!$B$5:$I$105,7,FALSE)</f>
        <v>2</v>
      </c>
      <c r="Q257" s="199" t="str">
        <f>VLOOKUP(A257,'SALE PARTY MASTR '!$B$5:$I$105,8,FALSE)</f>
        <v>Local Sale</v>
      </c>
      <c r="R257" s="199" t="s">
        <v>894</v>
      </c>
      <c r="S257" s="401">
        <v>87141090</v>
      </c>
      <c r="T257" s="201" t="str">
        <f>VLOOKUP(S257,'SALE HSN MASTER '!$A$6:$D$20,2,FALSE)</f>
        <v>Parts &amp; Accessories Of Motor Vehicles Other</v>
      </c>
      <c r="U257" s="201" t="str">
        <f>VLOOKUP(S257,'SALE HSN MASTER '!$A$6:$D$20,3,FALSE)</f>
        <v>NOS-NUMBERS</v>
      </c>
      <c r="V257" s="201" t="str">
        <f>VLOOKUP(S257,'SALE HSN MASTER '!$A$6:$D$20,4,FALSE)</f>
        <v>Goods</v>
      </c>
      <c r="W257" s="401">
        <v>166</v>
      </c>
    </row>
    <row r="258" spans="1:23" ht="14.4" x14ac:dyDescent="0.3">
      <c r="A258" s="423" t="s">
        <v>27</v>
      </c>
      <c r="B258" s="199" t="str">
        <f>VLOOKUP(A258,'SALE PARTY MASTR '!$B$5:$G$280,2,FALSE)</f>
        <v>Rinder India Pvt Ltd.</v>
      </c>
      <c r="C258" s="397" t="s">
        <v>1231</v>
      </c>
      <c r="D258" s="398">
        <v>43152</v>
      </c>
      <c r="E258" s="320">
        <f t="shared" si="17"/>
        <v>35400</v>
      </c>
      <c r="F258" s="321" t="str">
        <f>VLOOKUP(A258,'SALE PARTY MASTR '!$B$5:$I$105,3,FALSE)</f>
        <v>27-Maharashatra</v>
      </c>
      <c r="G258" s="321" t="str">
        <f>VLOOKUP(A258,'SALE PARTY MASTR '!$B$5:$I$105,4,FALSE)</f>
        <v>N</v>
      </c>
      <c r="H258" s="321" t="str">
        <f>VLOOKUP(A258,'SALE PARTY MASTR '!$B$5:$I$105,5,FALSE)</f>
        <v>Regular</v>
      </c>
      <c r="I258" s="321">
        <f>VLOOKUP(A258,'SALE PARTY MASTR '!$B$5:$I$105,6,FALSE)</f>
        <v>0</v>
      </c>
      <c r="J258" s="262">
        <f>VLOOKUP(S258,'SALE HSN MASTER '!$A$6:$E$20,5,FALSE)</f>
        <v>18</v>
      </c>
      <c r="K258" s="400">
        <v>30000</v>
      </c>
      <c r="L258" s="184"/>
      <c r="M258" s="322">
        <f t="shared" si="18"/>
        <v>0</v>
      </c>
      <c r="N258" s="322">
        <f t="shared" si="15"/>
        <v>2700</v>
      </c>
      <c r="O258" s="322">
        <f t="shared" si="16"/>
        <v>2700</v>
      </c>
      <c r="P258" s="199">
        <f>VLOOKUP(A258,'SALE PARTY MASTR '!$B$5:$I$105,7,FALSE)</f>
        <v>2</v>
      </c>
      <c r="Q258" s="199" t="str">
        <f>VLOOKUP(A258,'SALE PARTY MASTR '!$B$5:$I$105,8,FALSE)</f>
        <v>Local Sale</v>
      </c>
      <c r="R258" s="199" t="s">
        <v>897</v>
      </c>
      <c r="S258" s="401">
        <v>85129000</v>
      </c>
      <c r="T258" s="201" t="str">
        <f>VLOOKUP(S258,'SALE HSN MASTER '!$A$6:$D$20,2,FALSE)</f>
        <v>Parts &amp; Accessories Of Motor Vehicles Other</v>
      </c>
      <c r="U258" s="201" t="str">
        <f>VLOOKUP(S258,'SALE HSN MASTER '!$A$6:$D$20,3,FALSE)</f>
        <v>NOS-NUMBERS</v>
      </c>
      <c r="V258" s="201" t="str">
        <f>VLOOKUP(S258,'SALE HSN MASTER '!$A$6:$D$20,4,FALSE)</f>
        <v>Goods</v>
      </c>
      <c r="W258" s="401">
        <v>1200</v>
      </c>
    </row>
    <row r="259" spans="1:23" ht="14.4" x14ac:dyDescent="0.3">
      <c r="A259" s="423" t="s">
        <v>862</v>
      </c>
      <c r="B259" s="199" t="str">
        <f>VLOOKUP(A259,'SALE PARTY MASTR '!$B$5:$G$280,2,FALSE)</f>
        <v>Varroc Engineering Pvt Ltd</v>
      </c>
      <c r="C259" s="397" t="s">
        <v>1232</v>
      </c>
      <c r="D259" s="398">
        <v>43152</v>
      </c>
      <c r="E259" s="320">
        <f t="shared" si="17"/>
        <v>339367.96159999992</v>
      </c>
      <c r="F259" s="321" t="str">
        <f>VLOOKUP(A259,'SALE PARTY MASTR '!$B$5:$I$105,3,FALSE)</f>
        <v>27-Maharashatra</v>
      </c>
      <c r="G259" s="321" t="str">
        <f>VLOOKUP(A259,'SALE PARTY MASTR '!$B$5:$I$105,4,FALSE)</f>
        <v>N</v>
      </c>
      <c r="H259" s="321" t="str">
        <f>VLOOKUP(A259,'SALE PARTY MASTR '!$B$5:$I$105,5,FALSE)</f>
        <v>Regular</v>
      </c>
      <c r="I259" s="321">
        <f>VLOOKUP(A259,'SALE PARTY MASTR '!$B$5:$I$105,6,FALSE)</f>
        <v>0</v>
      </c>
      <c r="J259" s="262">
        <f>VLOOKUP(S259,'SALE HSN MASTER '!$A$6:$E$20,5,FALSE)</f>
        <v>28</v>
      </c>
      <c r="K259" s="400">
        <v>265131.21999999997</v>
      </c>
      <c r="L259" s="184"/>
      <c r="M259" s="322">
        <f t="shared" si="18"/>
        <v>0</v>
      </c>
      <c r="N259" s="322">
        <f t="shared" si="15"/>
        <v>37118.370799999997</v>
      </c>
      <c r="O259" s="322">
        <f t="shared" si="16"/>
        <v>37118.370799999997</v>
      </c>
      <c r="P259" s="199">
        <f>VLOOKUP(A259,'SALE PARTY MASTR '!$B$5:$I$105,7,FALSE)</f>
        <v>2</v>
      </c>
      <c r="Q259" s="199" t="str">
        <f>VLOOKUP(A259,'SALE PARTY MASTR '!$B$5:$I$105,8,FALSE)</f>
        <v>Local Sale</v>
      </c>
      <c r="R259" s="199" t="s">
        <v>897</v>
      </c>
      <c r="S259" s="401">
        <v>85119000</v>
      </c>
      <c r="T259" s="201" t="str">
        <f>VLOOKUP(S259,'SALE HSN MASTER '!$A$6:$D$20,2,FALSE)</f>
        <v>Parts &amp; Accessories Of Motor Vehicles Other</v>
      </c>
      <c r="U259" s="201" t="str">
        <f>VLOOKUP(S259,'SALE HSN MASTER '!$A$6:$D$20,3,FALSE)</f>
        <v>NOS-NUMBERS</v>
      </c>
      <c r="V259" s="201" t="str">
        <f>VLOOKUP(S259,'SALE HSN MASTER '!$A$6:$D$20,4,FALSE)</f>
        <v>Goods</v>
      </c>
      <c r="W259" s="401">
        <v>4778</v>
      </c>
    </row>
    <row r="260" spans="1:23" ht="14.4" x14ac:dyDescent="0.3">
      <c r="A260" s="423" t="s">
        <v>862</v>
      </c>
      <c r="B260" s="199" t="str">
        <f>VLOOKUP(A260,'SALE PARTY MASTR '!$B$5:$G$280,2,FALSE)</f>
        <v>Varroc Engineering Pvt Ltd</v>
      </c>
      <c r="C260" s="397" t="s">
        <v>1233</v>
      </c>
      <c r="D260" s="398">
        <v>43152</v>
      </c>
      <c r="E260" s="320">
        <f t="shared" si="17"/>
        <v>405112.83200000005</v>
      </c>
      <c r="F260" s="321" t="str">
        <f>VLOOKUP(A260,'SALE PARTY MASTR '!$B$5:$I$105,3,FALSE)</f>
        <v>27-Maharashatra</v>
      </c>
      <c r="G260" s="321" t="str">
        <f>VLOOKUP(A260,'SALE PARTY MASTR '!$B$5:$I$105,4,FALSE)</f>
        <v>N</v>
      </c>
      <c r="H260" s="321" t="str">
        <f>VLOOKUP(A260,'SALE PARTY MASTR '!$B$5:$I$105,5,FALSE)</f>
        <v>Regular</v>
      </c>
      <c r="I260" s="321">
        <f>VLOOKUP(A260,'SALE PARTY MASTR '!$B$5:$I$105,6,FALSE)</f>
        <v>0</v>
      </c>
      <c r="J260" s="262">
        <f>VLOOKUP(S260,'SALE HSN MASTER '!$A$6:$E$20,5,FALSE)</f>
        <v>28</v>
      </c>
      <c r="K260" s="400">
        <v>316494.40000000002</v>
      </c>
      <c r="L260" s="184"/>
      <c r="M260" s="322">
        <f t="shared" si="18"/>
        <v>0</v>
      </c>
      <c r="N260" s="322">
        <f t="shared" si="15"/>
        <v>44309.216000000008</v>
      </c>
      <c r="O260" s="322">
        <f t="shared" si="16"/>
        <v>44309.216000000008</v>
      </c>
      <c r="P260" s="199">
        <f>VLOOKUP(A260,'SALE PARTY MASTR '!$B$5:$I$105,7,FALSE)</f>
        <v>2</v>
      </c>
      <c r="Q260" s="199" t="str">
        <f>VLOOKUP(A260,'SALE PARTY MASTR '!$B$5:$I$105,8,FALSE)</f>
        <v>Local Sale</v>
      </c>
      <c r="R260" s="199" t="s">
        <v>897</v>
      </c>
      <c r="S260" s="401">
        <v>87142090</v>
      </c>
      <c r="T260" s="201" t="str">
        <f>VLOOKUP(S260,'SALE HSN MASTER '!$A$6:$D$20,2,FALSE)</f>
        <v>Parts &amp; Accessories Of Motor Vehicles Other</v>
      </c>
      <c r="U260" s="201" t="str">
        <f>VLOOKUP(S260,'SALE HSN MASTER '!$A$6:$D$20,3,FALSE)</f>
        <v>NOS-NUMBERS</v>
      </c>
      <c r="V260" s="201" t="str">
        <f>VLOOKUP(S260,'SALE HSN MASTER '!$A$6:$D$20,4,FALSE)</f>
        <v>Goods</v>
      </c>
      <c r="W260" s="401">
        <v>7180</v>
      </c>
    </row>
    <row r="261" spans="1:23" ht="14.4" x14ac:dyDescent="0.3">
      <c r="A261" s="423" t="s">
        <v>28</v>
      </c>
      <c r="B261" s="199" t="str">
        <f>VLOOKUP(A261,'SALE PARTY MASTR '!$B$5:$G$280,2,FALSE)</f>
        <v>Lumax Auto Technologies Ltd.</v>
      </c>
      <c r="C261" s="397" t="s">
        <v>1234</v>
      </c>
      <c r="D261" s="398">
        <v>43152</v>
      </c>
      <c r="E261" s="320">
        <f t="shared" si="17"/>
        <v>22930.255599999997</v>
      </c>
      <c r="F261" s="321" t="str">
        <f>VLOOKUP(A261,'SALE PARTY MASTR '!$B$5:$I$105,3,FALSE)</f>
        <v>27-Maharashatra</v>
      </c>
      <c r="G261" s="321" t="str">
        <f>VLOOKUP(A261,'SALE PARTY MASTR '!$B$5:$I$105,4,FALSE)</f>
        <v>N</v>
      </c>
      <c r="H261" s="321" t="str">
        <f>VLOOKUP(A261,'SALE PARTY MASTR '!$B$5:$I$105,5,FALSE)</f>
        <v>Regular</v>
      </c>
      <c r="I261" s="321">
        <f>VLOOKUP(A261,'SALE PARTY MASTR '!$B$5:$I$105,6,FALSE)</f>
        <v>0</v>
      </c>
      <c r="J261" s="262">
        <f>VLOOKUP(S261,'SALE HSN MASTER '!$A$6:$E$20,5,FALSE)</f>
        <v>18</v>
      </c>
      <c r="K261" s="400">
        <v>19432.419999999998</v>
      </c>
      <c r="L261" s="184"/>
      <c r="M261" s="322">
        <f t="shared" si="18"/>
        <v>0</v>
      </c>
      <c r="N261" s="322">
        <f t="shared" si="15"/>
        <v>1748.9177999999997</v>
      </c>
      <c r="O261" s="322">
        <f t="shared" si="16"/>
        <v>1748.9177999999997</v>
      </c>
      <c r="P261" s="199">
        <f>VLOOKUP(A261,'SALE PARTY MASTR '!$B$5:$I$105,7,FALSE)</f>
        <v>2</v>
      </c>
      <c r="Q261" s="199" t="str">
        <f>VLOOKUP(A261,'SALE PARTY MASTR '!$B$5:$I$105,8,FALSE)</f>
        <v>Local Sale</v>
      </c>
      <c r="R261" s="199" t="s">
        <v>897</v>
      </c>
      <c r="S261" s="401">
        <v>85129000</v>
      </c>
      <c r="T261" s="201" t="str">
        <f>VLOOKUP(S261,'SALE HSN MASTER '!$A$6:$D$20,2,FALSE)</f>
        <v>Parts &amp; Accessories Of Motor Vehicles Other</v>
      </c>
      <c r="U261" s="201" t="str">
        <f>VLOOKUP(S261,'SALE HSN MASTER '!$A$6:$D$20,3,FALSE)</f>
        <v>NOS-NUMBERS</v>
      </c>
      <c r="V261" s="201" t="str">
        <f>VLOOKUP(S261,'SALE HSN MASTER '!$A$6:$D$20,4,FALSE)</f>
        <v>Goods</v>
      </c>
      <c r="W261" s="401">
        <v>158</v>
      </c>
    </row>
    <row r="262" spans="1:23" ht="14.4" x14ac:dyDescent="0.3">
      <c r="A262" s="423" t="s">
        <v>31</v>
      </c>
      <c r="B262" s="199" t="str">
        <f>VLOOKUP(A262,'SALE PARTY MASTR '!$B$5:$G$280,2,FALSE)</f>
        <v>Mittal Precision Auto Comps Pvt Ltd,</v>
      </c>
      <c r="C262" s="397" t="s">
        <v>1235</v>
      </c>
      <c r="D262" s="398">
        <v>43152</v>
      </c>
      <c r="E262" s="320">
        <f t="shared" si="17"/>
        <v>6811.243199999999</v>
      </c>
      <c r="F262" s="321" t="str">
        <f>VLOOKUP(A262,'SALE PARTY MASTR '!$B$5:$I$105,3,FALSE)</f>
        <v>27-Maharashatra</v>
      </c>
      <c r="G262" s="321" t="str">
        <f>VLOOKUP(A262,'SALE PARTY MASTR '!$B$5:$I$105,4,FALSE)</f>
        <v>N</v>
      </c>
      <c r="H262" s="321" t="str">
        <f>VLOOKUP(A262,'SALE PARTY MASTR '!$B$5:$I$105,5,FALSE)</f>
        <v>Regular</v>
      </c>
      <c r="I262" s="321">
        <f>VLOOKUP(A262,'SALE PARTY MASTR '!$B$5:$I$105,6,FALSE)</f>
        <v>0</v>
      </c>
      <c r="J262" s="262">
        <f>VLOOKUP(S262,'SALE HSN MASTER '!$A$6:$E$20,5,FALSE)</f>
        <v>18</v>
      </c>
      <c r="K262" s="400">
        <v>5772.24</v>
      </c>
      <c r="L262" s="184"/>
      <c r="M262" s="322">
        <f t="shared" si="18"/>
        <v>0</v>
      </c>
      <c r="N262" s="322">
        <f t="shared" si="15"/>
        <v>519.50159999999994</v>
      </c>
      <c r="O262" s="322">
        <f t="shared" si="16"/>
        <v>519.50159999999994</v>
      </c>
      <c r="P262" s="199">
        <f>VLOOKUP(A262,'SALE PARTY MASTR '!$B$5:$I$105,7,FALSE)</f>
        <v>2</v>
      </c>
      <c r="Q262" s="199" t="str">
        <f>VLOOKUP(A262,'SALE PARTY MASTR '!$B$5:$I$105,8,FALSE)</f>
        <v>Local Sale</v>
      </c>
      <c r="R262" s="199" t="s">
        <v>894</v>
      </c>
      <c r="S262" s="401">
        <v>998898</v>
      </c>
      <c r="T262" s="201" t="str">
        <f>VLOOKUP(S262,'SALE HSN MASTER '!$A$6:$D$20,2,FALSE)</f>
        <v>Parts &amp; Accessories Of Motor Vehicles Other</v>
      </c>
      <c r="U262" s="201" t="str">
        <f>VLOOKUP(S262,'SALE HSN MASTER '!$A$6:$D$20,3,FALSE)</f>
        <v>NOS-NUMBERS</v>
      </c>
      <c r="V262" s="201" t="str">
        <f>VLOOKUP(S262,'SALE HSN MASTER '!$A$6:$D$20,4,FALSE)</f>
        <v>Service</v>
      </c>
      <c r="W262" s="401">
        <v>12</v>
      </c>
    </row>
    <row r="263" spans="1:23" ht="14.4" x14ac:dyDescent="0.3">
      <c r="A263" s="423" t="s">
        <v>23</v>
      </c>
      <c r="B263" s="199" t="str">
        <f>VLOOKUP(A263,'SALE PARTY MASTR '!$B$5:$G$280,2,FALSE)</f>
        <v>Varroc Polymers Pvt.ltd.</v>
      </c>
      <c r="C263" s="397" t="s">
        <v>1236</v>
      </c>
      <c r="D263" s="398">
        <v>43152</v>
      </c>
      <c r="E263" s="320">
        <f t="shared" si="17"/>
        <v>45503.308800000006</v>
      </c>
      <c r="F263" s="321" t="str">
        <f>VLOOKUP(A263,'SALE PARTY MASTR '!$B$5:$I$105,3,FALSE)</f>
        <v>27-Maharashatra</v>
      </c>
      <c r="G263" s="321" t="str">
        <f>VLOOKUP(A263,'SALE PARTY MASTR '!$B$5:$I$105,4,FALSE)</f>
        <v>N</v>
      </c>
      <c r="H263" s="321" t="str">
        <f>VLOOKUP(A263,'SALE PARTY MASTR '!$B$5:$I$105,5,FALSE)</f>
        <v>Regular</v>
      </c>
      <c r="I263" s="321">
        <f>VLOOKUP(A263,'SALE PARTY MASTR '!$B$5:$I$105,6,FALSE)</f>
        <v>0</v>
      </c>
      <c r="J263" s="262">
        <f>VLOOKUP(S263,'SALE HSN MASTER '!$A$6:$E$20,5,FALSE)</f>
        <v>28</v>
      </c>
      <c r="K263" s="400">
        <v>35549.46</v>
      </c>
      <c r="L263" s="184"/>
      <c r="M263" s="322">
        <f t="shared" si="18"/>
        <v>0</v>
      </c>
      <c r="N263" s="322">
        <f t="shared" si="15"/>
        <v>4976.9244000000008</v>
      </c>
      <c r="O263" s="322">
        <f t="shared" si="16"/>
        <v>4976.9244000000008</v>
      </c>
      <c r="P263" s="199">
        <f>VLOOKUP(A263,'SALE PARTY MASTR '!$B$5:$I$105,7,FALSE)</f>
        <v>2</v>
      </c>
      <c r="Q263" s="199" t="str">
        <f>VLOOKUP(A263,'SALE PARTY MASTR '!$B$5:$I$105,8,FALSE)</f>
        <v>Local Sale</v>
      </c>
      <c r="R263" s="199" t="s">
        <v>894</v>
      </c>
      <c r="S263" s="401">
        <v>87081090</v>
      </c>
      <c r="T263" s="201" t="str">
        <f>VLOOKUP(S263,'SALE HSN MASTER '!$A$6:$D$20,2,FALSE)</f>
        <v>Parts &amp; Accessories Of Motor Vehicles Other</v>
      </c>
      <c r="U263" s="201" t="str">
        <f>VLOOKUP(S263,'SALE HSN MASTER '!$A$6:$D$20,3,FALSE)</f>
        <v>NOS-NUMBERS</v>
      </c>
      <c r="V263" s="201" t="str">
        <f>VLOOKUP(S263,'SALE HSN MASTER '!$A$6:$D$20,4,FALSE)</f>
        <v>Goods</v>
      </c>
      <c r="W263" s="401">
        <v>492</v>
      </c>
    </row>
    <row r="264" spans="1:23" ht="14.4" x14ac:dyDescent="0.3">
      <c r="A264" s="423" t="s">
        <v>23</v>
      </c>
      <c r="B264" s="199" t="str">
        <f>VLOOKUP(A264,'SALE PARTY MASTR '!$B$5:$G$280,2,FALSE)</f>
        <v>Varroc Polymers Pvt.ltd.</v>
      </c>
      <c r="C264" s="397" t="s">
        <v>1237</v>
      </c>
      <c r="D264" s="398">
        <v>43152</v>
      </c>
      <c r="E264" s="320">
        <f t="shared" si="17"/>
        <v>6935.0400000000009</v>
      </c>
      <c r="F264" s="321" t="str">
        <f>VLOOKUP(A264,'SALE PARTY MASTR '!$B$5:$I$105,3,FALSE)</f>
        <v>27-Maharashatra</v>
      </c>
      <c r="G264" s="321" t="str">
        <f>VLOOKUP(A264,'SALE PARTY MASTR '!$B$5:$I$105,4,FALSE)</f>
        <v>N</v>
      </c>
      <c r="H264" s="321" t="str">
        <f>VLOOKUP(A264,'SALE PARTY MASTR '!$B$5:$I$105,5,FALSE)</f>
        <v>Regular</v>
      </c>
      <c r="I264" s="321">
        <f>VLOOKUP(A264,'SALE PARTY MASTR '!$B$5:$I$105,6,FALSE)</f>
        <v>0</v>
      </c>
      <c r="J264" s="262">
        <f>VLOOKUP(S264,'SALE HSN MASTER '!$A$6:$E$20,5,FALSE)</f>
        <v>28</v>
      </c>
      <c r="K264" s="400">
        <v>5418</v>
      </c>
      <c r="L264" s="184"/>
      <c r="M264" s="322">
        <f t="shared" si="18"/>
        <v>0</v>
      </c>
      <c r="N264" s="322">
        <f t="shared" si="15"/>
        <v>758.5200000000001</v>
      </c>
      <c r="O264" s="322">
        <f t="shared" si="16"/>
        <v>758.5200000000001</v>
      </c>
      <c r="P264" s="199">
        <f>VLOOKUP(A264,'SALE PARTY MASTR '!$B$5:$I$105,7,FALSE)</f>
        <v>2</v>
      </c>
      <c r="Q264" s="199" t="str">
        <f>VLOOKUP(A264,'SALE PARTY MASTR '!$B$5:$I$105,8,FALSE)</f>
        <v>Local Sale</v>
      </c>
      <c r="R264" s="199" t="s">
        <v>894</v>
      </c>
      <c r="S264" s="401">
        <v>87141090</v>
      </c>
      <c r="T264" s="201" t="str">
        <f>VLOOKUP(S264,'SALE HSN MASTER '!$A$6:$D$20,2,FALSE)</f>
        <v>Parts &amp; Accessories Of Motor Vehicles Other</v>
      </c>
      <c r="U264" s="201" t="str">
        <f>VLOOKUP(S264,'SALE HSN MASTER '!$A$6:$D$20,3,FALSE)</f>
        <v>NOS-NUMBERS</v>
      </c>
      <c r="V264" s="201" t="str">
        <f>VLOOKUP(S264,'SALE HSN MASTER '!$A$6:$D$20,4,FALSE)</f>
        <v>Goods</v>
      </c>
      <c r="W264" s="401">
        <v>72</v>
      </c>
    </row>
    <row r="265" spans="1:23" ht="14.4" x14ac:dyDescent="0.3">
      <c r="A265" s="423" t="s">
        <v>25</v>
      </c>
      <c r="B265" s="199" t="str">
        <f>VLOOKUP(A265,'SALE PARTY MASTR '!$B$5:$G$280,2,FALSE)</f>
        <v>VE Commercial vehicles Ltd</v>
      </c>
      <c r="C265" s="397" t="s">
        <v>1238</v>
      </c>
      <c r="D265" s="398">
        <v>43152</v>
      </c>
      <c r="E265" s="320">
        <f t="shared" si="17"/>
        <v>62536.32</v>
      </c>
      <c r="F265" s="321" t="str">
        <f>VLOOKUP(A265,'SALE PARTY MASTR '!$B$5:$I$105,3,FALSE)</f>
        <v>23-Madhya Pradesh</v>
      </c>
      <c r="G265" s="321" t="str">
        <f>VLOOKUP(A265,'SALE PARTY MASTR '!$B$5:$I$105,4,FALSE)</f>
        <v>N</v>
      </c>
      <c r="H265" s="321" t="str">
        <f>VLOOKUP(A265,'SALE PARTY MASTR '!$B$5:$I$105,5,FALSE)</f>
        <v>Regular</v>
      </c>
      <c r="I265" s="321">
        <f>VLOOKUP(A265,'SALE PARTY MASTR '!$B$5:$I$105,6,FALSE)</f>
        <v>0</v>
      </c>
      <c r="J265" s="262">
        <f>VLOOKUP(S265,'SALE HSN MASTER '!$A$6:$E$20,5,FALSE)</f>
        <v>28</v>
      </c>
      <c r="K265" s="400">
        <v>48856.5</v>
      </c>
      <c r="L265" s="184"/>
      <c r="M265" s="322">
        <f t="shared" si="18"/>
        <v>13679.82</v>
      </c>
      <c r="N265" s="322">
        <f t="shared" ref="N265:N328" si="19">+IF(P265=1,0,IF(Q265="Local Sale",IF(J265=18,K265*0.09,IF(J265=12,K265*0.06,IF(J265=5,K265*0.025,IF(J265=28,K265*0.14,IF(J265=3,K265*0.015,0))))),0))</f>
        <v>0</v>
      </c>
      <c r="O265" s="322">
        <f t="shared" ref="O265:O328" si="20">+IF(P265=1,0,IF(Q265="Local Sale",IF(J265=18,K265*0.09,IF(J265=12,K265*0.06,IF(J265=5,K265*0.025,IF(J265=28,K265*0.14,IF(J265=3,K265*0.015,0))))),0))</f>
        <v>0</v>
      </c>
      <c r="P265" s="199">
        <f>VLOOKUP(A265,'SALE PARTY MASTR '!$B$5:$I$105,7,FALSE)</f>
        <v>2</v>
      </c>
      <c r="Q265" s="199" t="str">
        <f>VLOOKUP(A265,'SALE PARTY MASTR '!$B$5:$I$105,8,FALSE)</f>
        <v>Oms Sale</v>
      </c>
      <c r="R265" s="199" t="s">
        <v>903</v>
      </c>
      <c r="S265" s="401">
        <v>87081090</v>
      </c>
      <c r="T265" s="201" t="str">
        <f>VLOOKUP(S265,'SALE HSN MASTER '!$A$6:$D$20,2,FALSE)</f>
        <v>Parts &amp; Accessories Of Motor Vehicles Other</v>
      </c>
      <c r="U265" s="201" t="str">
        <f>VLOOKUP(S265,'SALE HSN MASTER '!$A$6:$D$20,3,FALSE)</f>
        <v>NOS-NUMBERS</v>
      </c>
      <c r="V265" s="201" t="str">
        <f>VLOOKUP(S265,'SALE HSN MASTER '!$A$6:$D$20,4,FALSE)</f>
        <v>Goods</v>
      </c>
      <c r="W265" s="401">
        <v>150</v>
      </c>
    </row>
    <row r="266" spans="1:23" ht="14.4" x14ac:dyDescent="0.3">
      <c r="A266" s="423" t="s">
        <v>25</v>
      </c>
      <c r="B266" s="199" t="str">
        <f>VLOOKUP(A266,'SALE PARTY MASTR '!$B$5:$G$280,2,FALSE)</f>
        <v>VE Commercial vehicles Ltd</v>
      </c>
      <c r="C266" s="397" t="s">
        <v>1239</v>
      </c>
      <c r="D266" s="398">
        <v>43152</v>
      </c>
      <c r="E266" s="320">
        <f t="shared" si="17"/>
        <v>29236.223999999998</v>
      </c>
      <c r="F266" s="321" t="str">
        <f>VLOOKUP(A266,'SALE PARTY MASTR '!$B$5:$I$105,3,FALSE)</f>
        <v>23-Madhya Pradesh</v>
      </c>
      <c r="G266" s="321" t="str">
        <f>VLOOKUP(A266,'SALE PARTY MASTR '!$B$5:$I$105,4,FALSE)</f>
        <v>N</v>
      </c>
      <c r="H266" s="321" t="str">
        <f>VLOOKUP(A266,'SALE PARTY MASTR '!$B$5:$I$105,5,FALSE)</f>
        <v>Regular</v>
      </c>
      <c r="I266" s="321">
        <f>VLOOKUP(A266,'SALE PARTY MASTR '!$B$5:$I$105,6,FALSE)</f>
        <v>0</v>
      </c>
      <c r="J266" s="262">
        <f>VLOOKUP(S266,'SALE HSN MASTER '!$A$6:$E$20,5,FALSE)</f>
        <v>28</v>
      </c>
      <c r="K266" s="400">
        <v>22840.799999999999</v>
      </c>
      <c r="L266" s="184"/>
      <c r="M266" s="322">
        <f t="shared" si="18"/>
        <v>6395.424</v>
      </c>
      <c r="N266" s="322">
        <f t="shared" si="19"/>
        <v>0</v>
      </c>
      <c r="O266" s="322">
        <f t="shared" si="20"/>
        <v>0</v>
      </c>
      <c r="P266" s="199">
        <f>VLOOKUP(A266,'SALE PARTY MASTR '!$B$5:$I$105,7,FALSE)</f>
        <v>2</v>
      </c>
      <c r="Q266" s="199" t="str">
        <f>VLOOKUP(A266,'SALE PARTY MASTR '!$B$5:$I$105,8,FALSE)</f>
        <v>Oms Sale</v>
      </c>
      <c r="R266" s="199" t="s">
        <v>903</v>
      </c>
      <c r="S266" s="401">
        <v>87081090</v>
      </c>
      <c r="T266" s="201" t="str">
        <f>VLOOKUP(S266,'SALE HSN MASTER '!$A$6:$D$20,2,FALSE)</f>
        <v>Parts &amp; Accessories Of Motor Vehicles Other</v>
      </c>
      <c r="U266" s="201" t="str">
        <f>VLOOKUP(S266,'SALE HSN MASTER '!$A$6:$D$20,3,FALSE)</f>
        <v>NOS-NUMBERS</v>
      </c>
      <c r="V266" s="201" t="str">
        <f>VLOOKUP(S266,'SALE HSN MASTER '!$A$6:$D$20,4,FALSE)</f>
        <v>Goods</v>
      </c>
      <c r="W266" s="401">
        <v>12</v>
      </c>
    </row>
    <row r="267" spans="1:23" ht="14.4" x14ac:dyDescent="0.3">
      <c r="A267" s="423" t="s">
        <v>25</v>
      </c>
      <c r="B267" s="199" t="str">
        <f>VLOOKUP(A267,'SALE PARTY MASTR '!$B$5:$G$280,2,FALSE)</f>
        <v>VE Commercial vehicles Ltd</v>
      </c>
      <c r="C267" s="397" t="s">
        <v>1240</v>
      </c>
      <c r="D267" s="398">
        <v>43152</v>
      </c>
      <c r="E267" s="320">
        <f t="shared" si="17"/>
        <v>19892.736000000001</v>
      </c>
      <c r="F267" s="321" t="str">
        <f>VLOOKUP(A267,'SALE PARTY MASTR '!$B$5:$I$105,3,FALSE)</f>
        <v>23-Madhya Pradesh</v>
      </c>
      <c r="G267" s="321" t="str">
        <f>VLOOKUP(A267,'SALE PARTY MASTR '!$B$5:$I$105,4,FALSE)</f>
        <v>N</v>
      </c>
      <c r="H267" s="321" t="str">
        <f>VLOOKUP(A267,'SALE PARTY MASTR '!$B$5:$I$105,5,FALSE)</f>
        <v>Regular</v>
      </c>
      <c r="I267" s="321">
        <f>VLOOKUP(A267,'SALE PARTY MASTR '!$B$5:$I$105,6,FALSE)</f>
        <v>0</v>
      </c>
      <c r="J267" s="262">
        <f>VLOOKUP(S267,'SALE HSN MASTER '!$A$6:$E$20,5,FALSE)</f>
        <v>28</v>
      </c>
      <c r="K267" s="400">
        <v>15541.2</v>
      </c>
      <c r="L267" s="184"/>
      <c r="M267" s="322">
        <f t="shared" si="18"/>
        <v>4351.5360000000001</v>
      </c>
      <c r="N267" s="322">
        <f t="shared" si="19"/>
        <v>0</v>
      </c>
      <c r="O267" s="322">
        <f t="shared" si="20"/>
        <v>0</v>
      </c>
      <c r="P267" s="199">
        <f>VLOOKUP(A267,'SALE PARTY MASTR '!$B$5:$I$105,7,FALSE)</f>
        <v>2</v>
      </c>
      <c r="Q267" s="199" t="str">
        <f>VLOOKUP(A267,'SALE PARTY MASTR '!$B$5:$I$105,8,FALSE)</f>
        <v>Oms Sale</v>
      </c>
      <c r="R267" s="199" t="s">
        <v>903</v>
      </c>
      <c r="S267" s="401">
        <v>87081090</v>
      </c>
      <c r="T267" s="201" t="str">
        <f>VLOOKUP(S267,'SALE HSN MASTER '!$A$6:$D$20,2,FALSE)</f>
        <v>Parts &amp; Accessories Of Motor Vehicles Other</v>
      </c>
      <c r="U267" s="201" t="str">
        <f>VLOOKUP(S267,'SALE HSN MASTER '!$A$6:$D$20,3,FALSE)</f>
        <v>NOS-NUMBERS</v>
      </c>
      <c r="V267" s="201" t="str">
        <f>VLOOKUP(S267,'SALE HSN MASTER '!$A$6:$D$20,4,FALSE)</f>
        <v>Goods</v>
      </c>
      <c r="W267" s="401">
        <v>12</v>
      </c>
    </row>
    <row r="268" spans="1:23" ht="14.4" x14ac:dyDescent="0.3">
      <c r="A268" s="423" t="s">
        <v>978</v>
      </c>
      <c r="B268" s="199" t="str">
        <f>VLOOKUP(A268,'SALE PARTY MASTR '!$B$5:$G$280,2,FALSE)</f>
        <v>Force Motors Limited</v>
      </c>
      <c r="C268" s="397" t="s">
        <v>1241</v>
      </c>
      <c r="D268" s="398">
        <v>43152</v>
      </c>
      <c r="E268" s="320">
        <f t="shared" si="17"/>
        <v>9298.4</v>
      </c>
      <c r="F268" s="321" t="str">
        <f>VLOOKUP(A268,'SALE PARTY MASTR '!$B$5:$I$105,3,FALSE)</f>
        <v>23-Madhya Pradesh</v>
      </c>
      <c r="G268" s="321" t="str">
        <f>VLOOKUP(A268,'SALE PARTY MASTR '!$B$5:$I$105,4,FALSE)</f>
        <v>N</v>
      </c>
      <c r="H268" s="321" t="str">
        <f>VLOOKUP(A268,'SALE PARTY MASTR '!$B$5:$I$105,5,FALSE)</f>
        <v>Regular</v>
      </c>
      <c r="I268" s="321">
        <f>VLOOKUP(A268,'SALE PARTY MASTR '!$B$5:$I$105,6,FALSE)</f>
        <v>0</v>
      </c>
      <c r="J268" s="262">
        <f>VLOOKUP(S268,'SALE HSN MASTER '!$A$6:$E$20,5,FALSE)</f>
        <v>18</v>
      </c>
      <c r="K268" s="400">
        <v>7880</v>
      </c>
      <c r="L268" s="184"/>
      <c r="M268" s="322">
        <f t="shared" si="18"/>
        <v>1418.4</v>
      </c>
      <c r="N268" s="322">
        <f t="shared" si="19"/>
        <v>0</v>
      </c>
      <c r="O268" s="322">
        <f t="shared" si="20"/>
        <v>0</v>
      </c>
      <c r="P268" s="199">
        <f>VLOOKUP(A268,'SALE PARTY MASTR '!$B$5:$I$105,7,FALSE)</f>
        <v>2</v>
      </c>
      <c r="Q268" s="199" t="str">
        <f>VLOOKUP(A268,'SALE PARTY MASTR '!$B$5:$I$105,8,FALSE)</f>
        <v>Oms Sale</v>
      </c>
      <c r="R268" s="199" t="s">
        <v>908</v>
      </c>
      <c r="S268" s="401">
        <v>998898</v>
      </c>
      <c r="T268" s="201" t="str">
        <f>VLOOKUP(S268,'SALE HSN MASTER '!$A$6:$D$20,2,FALSE)</f>
        <v>Parts &amp; Accessories Of Motor Vehicles Other</v>
      </c>
      <c r="U268" s="201" t="str">
        <f>VLOOKUP(S268,'SALE HSN MASTER '!$A$6:$D$20,3,FALSE)</f>
        <v>NOS-NUMBERS</v>
      </c>
      <c r="V268" s="201" t="str">
        <f>VLOOKUP(S268,'SALE HSN MASTER '!$A$6:$D$20,4,FALSE)</f>
        <v>Service</v>
      </c>
      <c r="W268" s="401">
        <v>100</v>
      </c>
    </row>
    <row r="269" spans="1:23" ht="14.4" x14ac:dyDescent="0.3">
      <c r="A269" s="423" t="s">
        <v>978</v>
      </c>
      <c r="B269" s="199" t="str">
        <f>VLOOKUP(A269,'SALE PARTY MASTR '!$B$5:$G$280,2,FALSE)</f>
        <v>Force Motors Limited</v>
      </c>
      <c r="C269" s="397" t="s">
        <v>1242</v>
      </c>
      <c r="D269" s="398">
        <v>43152</v>
      </c>
      <c r="E269" s="320">
        <f t="shared" si="17"/>
        <v>5056.5360000000001</v>
      </c>
      <c r="F269" s="321" t="str">
        <f>VLOOKUP(A269,'SALE PARTY MASTR '!$B$5:$I$105,3,FALSE)</f>
        <v>23-Madhya Pradesh</v>
      </c>
      <c r="G269" s="321" t="str">
        <f>VLOOKUP(A269,'SALE PARTY MASTR '!$B$5:$I$105,4,FALSE)</f>
        <v>N</v>
      </c>
      <c r="H269" s="321" t="str">
        <f>VLOOKUP(A269,'SALE PARTY MASTR '!$B$5:$I$105,5,FALSE)</f>
        <v>Regular</v>
      </c>
      <c r="I269" s="321">
        <f>VLOOKUP(A269,'SALE PARTY MASTR '!$B$5:$I$105,6,FALSE)</f>
        <v>0</v>
      </c>
      <c r="J269" s="262">
        <f>VLOOKUP(S269,'SALE HSN MASTER '!$A$6:$E$20,5,FALSE)</f>
        <v>18</v>
      </c>
      <c r="K269" s="400">
        <v>4285.2</v>
      </c>
      <c r="L269" s="184"/>
      <c r="M269" s="322">
        <f t="shared" si="18"/>
        <v>771.3359999999999</v>
      </c>
      <c r="N269" s="322">
        <f t="shared" si="19"/>
        <v>0</v>
      </c>
      <c r="O269" s="322">
        <f t="shared" si="20"/>
        <v>0</v>
      </c>
      <c r="P269" s="199">
        <f>VLOOKUP(A269,'SALE PARTY MASTR '!$B$5:$I$105,7,FALSE)</f>
        <v>2</v>
      </c>
      <c r="Q269" s="199" t="str">
        <f>VLOOKUP(A269,'SALE PARTY MASTR '!$B$5:$I$105,8,FALSE)</f>
        <v>Oms Sale</v>
      </c>
      <c r="R269" s="199" t="s">
        <v>908</v>
      </c>
      <c r="S269" s="401">
        <v>998898</v>
      </c>
      <c r="T269" s="201" t="str">
        <f>VLOOKUP(S269,'SALE HSN MASTER '!$A$6:$D$20,2,FALSE)</f>
        <v>Parts &amp; Accessories Of Motor Vehicles Other</v>
      </c>
      <c r="U269" s="201" t="str">
        <f>VLOOKUP(S269,'SALE HSN MASTER '!$A$6:$D$20,3,FALSE)</f>
        <v>NOS-NUMBERS</v>
      </c>
      <c r="V269" s="201" t="str">
        <f>VLOOKUP(S269,'SALE HSN MASTER '!$A$6:$D$20,4,FALSE)</f>
        <v>Service</v>
      </c>
      <c r="W269" s="401">
        <v>40</v>
      </c>
    </row>
    <row r="270" spans="1:23" ht="14.4" x14ac:dyDescent="0.3">
      <c r="A270" s="423" t="s">
        <v>978</v>
      </c>
      <c r="B270" s="199" t="str">
        <f>VLOOKUP(A270,'SALE PARTY MASTR '!$B$5:$G$280,2,FALSE)</f>
        <v>Force Motors Limited</v>
      </c>
      <c r="C270" s="397" t="s">
        <v>1243</v>
      </c>
      <c r="D270" s="398">
        <v>43152</v>
      </c>
      <c r="E270" s="320">
        <f t="shared" si="17"/>
        <v>7830.6216000000004</v>
      </c>
      <c r="F270" s="321" t="str">
        <f>VLOOKUP(A270,'SALE PARTY MASTR '!$B$5:$I$105,3,FALSE)</f>
        <v>23-Madhya Pradesh</v>
      </c>
      <c r="G270" s="321" t="str">
        <f>VLOOKUP(A270,'SALE PARTY MASTR '!$B$5:$I$105,4,FALSE)</f>
        <v>N</v>
      </c>
      <c r="H270" s="321" t="str">
        <f>VLOOKUP(A270,'SALE PARTY MASTR '!$B$5:$I$105,5,FALSE)</f>
        <v>Regular</v>
      </c>
      <c r="I270" s="321">
        <f>VLOOKUP(A270,'SALE PARTY MASTR '!$B$5:$I$105,6,FALSE)</f>
        <v>0</v>
      </c>
      <c r="J270" s="262">
        <f>VLOOKUP(S270,'SALE HSN MASTER '!$A$6:$E$20,5,FALSE)</f>
        <v>18</v>
      </c>
      <c r="K270" s="400">
        <v>6636.12</v>
      </c>
      <c r="L270" s="184"/>
      <c r="M270" s="322">
        <f t="shared" si="18"/>
        <v>1194.5016000000001</v>
      </c>
      <c r="N270" s="322">
        <f t="shared" si="19"/>
        <v>0</v>
      </c>
      <c r="O270" s="322">
        <f t="shared" si="20"/>
        <v>0</v>
      </c>
      <c r="P270" s="199">
        <f>VLOOKUP(A270,'SALE PARTY MASTR '!$B$5:$I$105,7,FALSE)</f>
        <v>2</v>
      </c>
      <c r="Q270" s="199" t="str">
        <f>VLOOKUP(A270,'SALE PARTY MASTR '!$B$5:$I$105,8,FALSE)</f>
        <v>Oms Sale</v>
      </c>
      <c r="R270" s="199" t="s">
        <v>908</v>
      </c>
      <c r="S270" s="401">
        <v>998898</v>
      </c>
      <c r="T270" s="201" t="str">
        <f>VLOOKUP(S270,'SALE HSN MASTER '!$A$6:$D$20,2,FALSE)</f>
        <v>Parts &amp; Accessories Of Motor Vehicles Other</v>
      </c>
      <c r="U270" s="201" t="str">
        <f>VLOOKUP(S270,'SALE HSN MASTER '!$A$6:$D$20,3,FALSE)</f>
        <v>NOS-NUMBERS</v>
      </c>
      <c r="V270" s="201" t="str">
        <f>VLOOKUP(S270,'SALE HSN MASTER '!$A$6:$D$20,4,FALSE)</f>
        <v>Service</v>
      </c>
      <c r="W270" s="401">
        <v>102</v>
      </c>
    </row>
    <row r="271" spans="1:23" ht="14.4" x14ac:dyDescent="0.3">
      <c r="A271" s="423" t="s">
        <v>978</v>
      </c>
      <c r="B271" s="199" t="str">
        <f>VLOOKUP(A271,'SALE PARTY MASTR '!$B$5:$G$280,2,FALSE)</f>
        <v>Force Motors Limited</v>
      </c>
      <c r="C271" s="397" t="s">
        <v>1244</v>
      </c>
      <c r="D271" s="398">
        <v>43152</v>
      </c>
      <c r="E271" s="320">
        <f t="shared" si="17"/>
        <v>7677.08</v>
      </c>
      <c r="F271" s="321" t="str">
        <f>VLOOKUP(A271,'SALE PARTY MASTR '!$B$5:$I$105,3,FALSE)</f>
        <v>23-Madhya Pradesh</v>
      </c>
      <c r="G271" s="321" t="str">
        <f>VLOOKUP(A271,'SALE PARTY MASTR '!$B$5:$I$105,4,FALSE)</f>
        <v>N</v>
      </c>
      <c r="H271" s="321" t="str">
        <f>VLOOKUP(A271,'SALE PARTY MASTR '!$B$5:$I$105,5,FALSE)</f>
        <v>Regular</v>
      </c>
      <c r="I271" s="321">
        <f>VLOOKUP(A271,'SALE PARTY MASTR '!$B$5:$I$105,6,FALSE)</f>
        <v>0</v>
      </c>
      <c r="J271" s="262">
        <f>VLOOKUP(S271,'SALE HSN MASTER '!$A$6:$E$20,5,FALSE)</f>
        <v>18</v>
      </c>
      <c r="K271" s="400">
        <v>6506</v>
      </c>
      <c r="L271" s="184"/>
      <c r="M271" s="322">
        <f t="shared" si="18"/>
        <v>1171.08</v>
      </c>
      <c r="N271" s="322">
        <f t="shared" si="19"/>
        <v>0</v>
      </c>
      <c r="O271" s="322">
        <f t="shared" si="20"/>
        <v>0</v>
      </c>
      <c r="P271" s="199">
        <f>VLOOKUP(A271,'SALE PARTY MASTR '!$B$5:$I$105,7,FALSE)</f>
        <v>2</v>
      </c>
      <c r="Q271" s="199" t="str">
        <f>VLOOKUP(A271,'SALE PARTY MASTR '!$B$5:$I$105,8,FALSE)</f>
        <v>Oms Sale</v>
      </c>
      <c r="R271" s="199" t="s">
        <v>908</v>
      </c>
      <c r="S271" s="401">
        <v>998898</v>
      </c>
      <c r="T271" s="201" t="str">
        <f>VLOOKUP(S271,'SALE HSN MASTER '!$A$6:$D$20,2,FALSE)</f>
        <v>Parts &amp; Accessories Of Motor Vehicles Other</v>
      </c>
      <c r="U271" s="201" t="str">
        <f>VLOOKUP(S271,'SALE HSN MASTER '!$A$6:$D$20,3,FALSE)</f>
        <v>NOS-NUMBERS</v>
      </c>
      <c r="V271" s="201" t="str">
        <f>VLOOKUP(S271,'SALE HSN MASTER '!$A$6:$D$20,4,FALSE)</f>
        <v>Service</v>
      </c>
      <c r="W271" s="401">
        <v>100</v>
      </c>
    </row>
    <row r="272" spans="1:23" ht="14.4" x14ac:dyDescent="0.3">
      <c r="A272" s="423" t="s">
        <v>31</v>
      </c>
      <c r="B272" s="199" t="str">
        <f>VLOOKUP(A272,'SALE PARTY MASTR '!$B$5:$G$280,2,FALSE)</f>
        <v>Mittal Precision Auto Comps Pvt Ltd,</v>
      </c>
      <c r="C272" s="397" t="s">
        <v>1245</v>
      </c>
      <c r="D272" s="398">
        <v>43152</v>
      </c>
      <c r="E272" s="320">
        <f t="shared" si="17"/>
        <v>5676.0359999999991</v>
      </c>
      <c r="F272" s="321" t="str">
        <f>VLOOKUP(A272,'SALE PARTY MASTR '!$B$5:$I$105,3,FALSE)</f>
        <v>27-Maharashatra</v>
      </c>
      <c r="G272" s="321" t="str">
        <f>VLOOKUP(A272,'SALE PARTY MASTR '!$B$5:$I$105,4,FALSE)</f>
        <v>N</v>
      </c>
      <c r="H272" s="321" t="str">
        <f>VLOOKUP(A272,'SALE PARTY MASTR '!$B$5:$I$105,5,FALSE)</f>
        <v>Regular</v>
      </c>
      <c r="I272" s="321">
        <f>VLOOKUP(A272,'SALE PARTY MASTR '!$B$5:$I$105,6,FALSE)</f>
        <v>0</v>
      </c>
      <c r="J272" s="262">
        <f>VLOOKUP(S272,'SALE HSN MASTER '!$A$6:$E$20,5,FALSE)</f>
        <v>18</v>
      </c>
      <c r="K272" s="400">
        <v>4810.2</v>
      </c>
      <c r="L272" s="184"/>
      <c r="M272" s="322">
        <f t="shared" si="18"/>
        <v>0</v>
      </c>
      <c r="N272" s="322">
        <f t="shared" si="19"/>
        <v>432.91799999999995</v>
      </c>
      <c r="O272" s="322">
        <f t="shared" si="20"/>
        <v>432.91799999999995</v>
      </c>
      <c r="P272" s="199">
        <f>VLOOKUP(A272,'SALE PARTY MASTR '!$B$5:$I$105,7,FALSE)</f>
        <v>2</v>
      </c>
      <c r="Q272" s="199" t="str">
        <f>VLOOKUP(A272,'SALE PARTY MASTR '!$B$5:$I$105,8,FALSE)</f>
        <v>Local Sale</v>
      </c>
      <c r="R272" s="199" t="s">
        <v>894</v>
      </c>
      <c r="S272" s="401">
        <v>998898</v>
      </c>
      <c r="T272" s="201" t="str">
        <f>VLOOKUP(S272,'SALE HSN MASTER '!$A$6:$D$20,2,FALSE)</f>
        <v>Parts &amp; Accessories Of Motor Vehicles Other</v>
      </c>
      <c r="U272" s="201" t="str">
        <f>VLOOKUP(S272,'SALE HSN MASTER '!$A$6:$D$20,3,FALSE)</f>
        <v>NOS-NUMBERS</v>
      </c>
      <c r="V272" s="201" t="str">
        <f>VLOOKUP(S272,'SALE HSN MASTER '!$A$6:$D$20,4,FALSE)</f>
        <v>Service</v>
      </c>
      <c r="W272" s="401">
        <v>10</v>
      </c>
    </row>
    <row r="273" spans="1:23" ht="14.4" x14ac:dyDescent="0.3">
      <c r="A273" s="423" t="s">
        <v>32</v>
      </c>
      <c r="B273" s="199" t="str">
        <f>VLOOKUP(A273,'SALE PARTY MASTR '!$B$5:$G$280,2,FALSE)</f>
        <v>Pricol Ltd (Formerly Pricol Pune Ltd)</v>
      </c>
      <c r="C273" s="397" t="s">
        <v>1246</v>
      </c>
      <c r="D273" s="398">
        <v>43152</v>
      </c>
      <c r="E273" s="320">
        <f t="shared" si="17"/>
        <v>27012.608</v>
      </c>
      <c r="F273" s="321" t="str">
        <f>VLOOKUP(A273,'SALE PARTY MASTR '!$B$5:$I$105,3,FALSE)</f>
        <v>27-Maharashatra</v>
      </c>
      <c r="G273" s="321" t="str">
        <f>VLOOKUP(A273,'SALE PARTY MASTR '!$B$5:$I$105,4,FALSE)</f>
        <v>N</v>
      </c>
      <c r="H273" s="321" t="str">
        <f>VLOOKUP(A273,'SALE PARTY MASTR '!$B$5:$I$105,5,FALSE)</f>
        <v>Regular</v>
      </c>
      <c r="I273" s="321">
        <f>VLOOKUP(A273,'SALE PARTY MASTR '!$B$5:$I$105,6,FALSE)</f>
        <v>0</v>
      </c>
      <c r="J273" s="262">
        <f>VLOOKUP(S273,'SALE HSN MASTER '!$A$6:$E$20,5,FALSE)</f>
        <v>28</v>
      </c>
      <c r="K273" s="400">
        <v>21103.599999999999</v>
      </c>
      <c r="L273" s="184"/>
      <c r="M273" s="322">
        <f t="shared" si="18"/>
        <v>0</v>
      </c>
      <c r="N273" s="322">
        <f t="shared" si="19"/>
        <v>2954.5039999999999</v>
      </c>
      <c r="O273" s="322">
        <f t="shared" si="20"/>
        <v>2954.5039999999999</v>
      </c>
      <c r="P273" s="199">
        <f>VLOOKUP(A273,'SALE PARTY MASTR '!$B$5:$I$105,7,FALSE)</f>
        <v>2</v>
      </c>
      <c r="Q273" s="199" t="str">
        <f>VLOOKUP(A273,'SALE PARTY MASTR '!$B$5:$I$105,8,FALSE)</f>
        <v>Local Sale</v>
      </c>
      <c r="R273" s="199" t="s">
        <v>897</v>
      </c>
      <c r="S273" s="401">
        <v>87141090</v>
      </c>
      <c r="T273" s="201" t="str">
        <f>VLOOKUP(S273,'SALE HSN MASTER '!$A$6:$D$20,2,FALSE)</f>
        <v>Parts &amp; Accessories Of Motor Vehicles Other</v>
      </c>
      <c r="U273" s="201" t="str">
        <f>VLOOKUP(S273,'SALE HSN MASTER '!$A$6:$D$20,3,FALSE)</f>
        <v>NOS-NUMBERS</v>
      </c>
      <c r="V273" s="201" t="str">
        <f>VLOOKUP(S273,'SALE HSN MASTER '!$A$6:$D$20,4,FALSE)</f>
        <v>Goods</v>
      </c>
      <c r="W273" s="401">
        <v>280</v>
      </c>
    </row>
    <row r="274" spans="1:23" ht="14.4" x14ac:dyDescent="0.3">
      <c r="A274" s="423" t="s">
        <v>32</v>
      </c>
      <c r="B274" s="199" t="str">
        <f>VLOOKUP(A274,'SALE PARTY MASTR '!$B$5:$G$280,2,FALSE)</f>
        <v>Pricol Ltd (Formerly Pricol Pune Ltd)</v>
      </c>
      <c r="C274" s="397" t="s">
        <v>1247</v>
      </c>
      <c r="D274" s="398">
        <v>43152</v>
      </c>
      <c r="E274" s="320">
        <f t="shared" si="17"/>
        <v>46954.752</v>
      </c>
      <c r="F274" s="321" t="str">
        <f>VLOOKUP(A274,'SALE PARTY MASTR '!$B$5:$I$105,3,FALSE)</f>
        <v>27-Maharashatra</v>
      </c>
      <c r="G274" s="321" t="str">
        <f>VLOOKUP(A274,'SALE PARTY MASTR '!$B$5:$I$105,4,FALSE)</f>
        <v>N</v>
      </c>
      <c r="H274" s="321" t="str">
        <f>VLOOKUP(A274,'SALE PARTY MASTR '!$B$5:$I$105,5,FALSE)</f>
        <v>Regular</v>
      </c>
      <c r="I274" s="321">
        <f>VLOOKUP(A274,'SALE PARTY MASTR '!$B$5:$I$105,6,FALSE)</f>
        <v>0</v>
      </c>
      <c r="J274" s="262">
        <f>VLOOKUP(S274,'SALE HSN MASTER '!$A$6:$E$20,5,FALSE)</f>
        <v>28</v>
      </c>
      <c r="K274" s="400">
        <v>36683.4</v>
      </c>
      <c r="L274" s="184"/>
      <c r="M274" s="322">
        <f t="shared" si="18"/>
        <v>0</v>
      </c>
      <c r="N274" s="322">
        <f t="shared" si="19"/>
        <v>5135.6760000000004</v>
      </c>
      <c r="O274" s="322">
        <f t="shared" si="20"/>
        <v>5135.6760000000004</v>
      </c>
      <c r="P274" s="199">
        <f>VLOOKUP(A274,'SALE PARTY MASTR '!$B$5:$I$105,7,FALSE)</f>
        <v>2</v>
      </c>
      <c r="Q274" s="199" t="str">
        <f>VLOOKUP(A274,'SALE PARTY MASTR '!$B$5:$I$105,8,FALSE)</f>
        <v>Local Sale</v>
      </c>
      <c r="R274" s="199" t="s">
        <v>897</v>
      </c>
      <c r="S274" s="401">
        <v>87141090</v>
      </c>
      <c r="T274" s="201" t="str">
        <f>VLOOKUP(S274,'SALE HSN MASTER '!$A$6:$D$20,2,FALSE)</f>
        <v>Parts &amp; Accessories Of Motor Vehicles Other</v>
      </c>
      <c r="U274" s="201" t="str">
        <f>VLOOKUP(S274,'SALE HSN MASTER '!$A$6:$D$20,3,FALSE)</f>
        <v>NOS-NUMBERS</v>
      </c>
      <c r="V274" s="201" t="str">
        <f>VLOOKUP(S274,'SALE HSN MASTER '!$A$6:$D$20,4,FALSE)</f>
        <v>Goods</v>
      </c>
      <c r="W274" s="401">
        <v>780</v>
      </c>
    </row>
    <row r="275" spans="1:23" ht="14.4" x14ac:dyDescent="0.3">
      <c r="A275" s="423" t="s">
        <v>23</v>
      </c>
      <c r="B275" s="199" t="str">
        <f>VLOOKUP(A275,'SALE PARTY MASTR '!$B$5:$G$280,2,FALSE)</f>
        <v>Varroc Polymers Pvt.ltd.</v>
      </c>
      <c r="C275" s="397" t="s">
        <v>1248</v>
      </c>
      <c r="D275" s="398">
        <v>43152</v>
      </c>
      <c r="E275" s="320">
        <f t="shared" si="17"/>
        <v>34404.940800000004</v>
      </c>
      <c r="F275" s="321" t="str">
        <f>VLOOKUP(A275,'SALE PARTY MASTR '!$B$5:$I$105,3,FALSE)</f>
        <v>27-Maharashatra</v>
      </c>
      <c r="G275" s="321" t="str">
        <f>VLOOKUP(A275,'SALE PARTY MASTR '!$B$5:$I$105,4,FALSE)</f>
        <v>N</v>
      </c>
      <c r="H275" s="321" t="str">
        <f>VLOOKUP(A275,'SALE PARTY MASTR '!$B$5:$I$105,5,FALSE)</f>
        <v>Regular</v>
      </c>
      <c r="I275" s="321">
        <f>VLOOKUP(A275,'SALE PARTY MASTR '!$B$5:$I$105,6,FALSE)</f>
        <v>0</v>
      </c>
      <c r="J275" s="262">
        <f>VLOOKUP(S275,'SALE HSN MASTER '!$A$6:$E$20,5,FALSE)</f>
        <v>28</v>
      </c>
      <c r="K275" s="400">
        <v>26878.86</v>
      </c>
      <c r="L275" s="184"/>
      <c r="M275" s="322">
        <f t="shared" si="18"/>
        <v>0</v>
      </c>
      <c r="N275" s="322">
        <f t="shared" si="19"/>
        <v>3763.0404000000003</v>
      </c>
      <c r="O275" s="322">
        <f t="shared" si="20"/>
        <v>3763.0404000000003</v>
      </c>
      <c r="P275" s="199">
        <f>VLOOKUP(A275,'SALE PARTY MASTR '!$B$5:$I$105,7,FALSE)</f>
        <v>2</v>
      </c>
      <c r="Q275" s="199" t="str">
        <f>VLOOKUP(A275,'SALE PARTY MASTR '!$B$5:$I$105,8,FALSE)</f>
        <v>Local Sale</v>
      </c>
      <c r="R275" s="199" t="s">
        <v>897</v>
      </c>
      <c r="S275" s="401">
        <v>87081090</v>
      </c>
      <c r="T275" s="201" t="str">
        <f>VLOOKUP(S275,'SALE HSN MASTER '!$A$6:$D$20,2,FALSE)</f>
        <v>Parts &amp; Accessories Of Motor Vehicles Other</v>
      </c>
      <c r="U275" s="201" t="str">
        <f>VLOOKUP(S275,'SALE HSN MASTER '!$A$6:$D$20,3,FALSE)</f>
        <v>NOS-NUMBERS</v>
      </c>
      <c r="V275" s="201" t="str">
        <f>VLOOKUP(S275,'SALE HSN MASTER '!$A$6:$D$20,4,FALSE)</f>
        <v>Goods</v>
      </c>
      <c r="W275" s="401">
        <v>372</v>
      </c>
    </row>
    <row r="276" spans="1:23" ht="14.4" x14ac:dyDescent="0.3">
      <c r="A276" s="423" t="s">
        <v>26</v>
      </c>
      <c r="B276" s="199" t="str">
        <f>VLOOKUP(A276,'SALE PARTY MASTR '!$B$5:$G$280,2,FALSE)</f>
        <v>Lumax Ancillary Limited.</v>
      </c>
      <c r="C276" s="397" t="s">
        <v>1249</v>
      </c>
      <c r="D276" s="398">
        <v>43152</v>
      </c>
      <c r="E276" s="320">
        <f t="shared" si="17"/>
        <v>18086.400000000001</v>
      </c>
      <c r="F276" s="321" t="str">
        <f>VLOOKUP(A276,'SALE PARTY MASTR '!$B$5:$I$105,3,FALSE)</f>
        <v>27-Maharashatra</v>
      </c>
      <c r="G276" s="321" t="str">
        <f>VLOOKUP(A276,'SALE PARTY MASTR '!$B$5:$I$105,4,FALSE)</f>
        <v>N</v>
      </c>
      <c r="H276" s="321" t="str">
        <f>VLOOKUP(A276,'SALE PARTY MASTR '!$B$5:$I$105,5,FALSE)</f>
        <v>Regular</v>
      </c>
      <c r="I276" s="321">
        <f>VLOOKUP(A276,'SALE PARTY MASTR '!$B$5:$I$105,6,FALSE)</f>
        <v>0</v>
      </c>
      <c r="J276" s="262">
        <f>VLOOKUP(S276,'SALE HSN MASTER '!$A$6:$E$20,5,FALSE)</f>
        <v>28</v>
      </c>
      <c r="K276" s="400">
        <v>14130</v>
      </c>
      <c r="L276" s="184"/>
      <c r="M276" s="322">
        <f t="shared" si="18"/>
        <v>0</v>
      </c>
      <c r="N276" s="322">
        <f t="shared" si="19"/>
        <v>1978.2000000000003</v>
      </c>
      <c r="O276" s="322">
        <f t="shared" si="20"/>
        <v>1978.2000000000003</v>
      </c>
      <c r="P276" s="199">
        <f>VLOOKUP(A276,'SALE PARTY MASTR '!$B$5:$I$105,7,FALSE)</f>
        <v>2</v>
      </c>
      <c r="Q276" s="199" t="str">
        <f>VLOOKUP(A276,'SALE PARTY MASTR '!$B$5:$I$105,8,FALSE)</f>
        <v>Local Sale</v>
      </c>
      <c r="R276" s="199" t="s">
        <v>897</v>
      </c>
      <c r="S276" s="401">
        <v>87141090</v>
      </c>
      <c r="T276" s="201" t="str">
        <f>VLOOKUP(S276,'SALE HSN MASTER '!$A$6:$D$20,2,FALSE)</f>
        <v>Parts &amp; Accessories Of Motor Vehicles Other</v>
      </c>
      <c r="U276" s="201" t="str">
        <f>VLOOKUP(S276,'SALE HSN MASTER '!$A$6:$D$20,3,FALSE)</f>
        <v>NOS-NUMBERS</v>
      </c>
      <c r="V276" s="201" t="str">
        <f>VLOOKUP(S276,'SALE HSN MASTER '!$A$6:$D$20,4,FALSE)</f>
        <v>Goods</v>
      </c>
      <c r="W276" s="401">
        <v>600</v>
      </c>
    </row>
    <row r="277" spans="1:23" ht="14.4" x14ac:dyDescent="0.3">
      <c r="A277" s="423" t="s">
        <v>23</v>
      </c>
      <c r="B277" s="199" t="str">
        <f>VLOOKUP(A277,'SALE PARTY MASTR '!$B$5:$G$280,2,FALSE)</f>
        <v>Varroc Polymers Pvt.ltd.</v>
      </c>
      <c r="C277" s="397" t="s">
        <v>1250</v>
      </c>
      <c r="D277" s="398">
        <v>43152</v>
      </c>
      <c r="E277" s="320">
        <f t="shared" si="17"/>
        <v>10828.8</v>
      </c>
      <c r="F277" s="321" t="str">
        <f>VLOOKUP(A277,'SALE PARTY MASTR '!$B$5:$I$105,3,FALSE)</f>
        <v>27-Maharashatra</v>
      </c>
      <c r="G277" s="321" t="str">
        <f>VLOOKUP(A277,'SALE PARTY MASTR '!$B$5:$I$105,4,FALSE)</f>
        <v>N</v>
      </c>
      <c r="H277" s="321" t="str">
        <f>VLOOKUP(A277,'SALE PARTY MASTR '!$B$5:$I$105,5,FALSE)</f>
        <v>Regular</v>
      </c>
      <c r="I277" s="321">
        <f>VLOOKUP(A277,'SALE PARTY MASTR '!$B$5:$I$105,6,FALSE)</f>
        <v>0</v>
      </c>
      <c r="J277" s="262">
        <f>VLOOKUP(S277,'SALE HSN MASTER '!$A$6:$E$20,5,FALSE)</f>
        <v>28</v>
      </c>
      <c r="K277" s="400">
        <v>8460</v>
      </c>
      <c r="L277" s="184"/>
      <c r="M277" s="322">
        <f t="shared" si="18"/>
        <v>0</v>
      </c>
      <c r="N277" s="322">
        <f t="shared" si="19"/>
        <v>1184.4000000000001</v>
      </c>
      <c r="O277" s="322">
        <f t="shared" si="20"/>
        <v>1184.4000000000001</v>
      </c>
      <c r="P277" s="199">
        <f>VLOOKUP(A277,'SALE PARTY MASTR '!$B$5:$I$105,7,FALSE)</f>
        <v>2</v>
      </c>
      <c r="Q277" s="199" t="str">
        <f>VLOOKUP(A277,'SALE PARTY MASTR '!$B$5:$I$105,8,FALSE)</f>
        <v>Local Sale</v>
      </c>
      <c r="R277" s="199" t="s">
        <v>897</v>
      </c>
      <c r="S277" s="401">
        <v>87141090</v>
      </c>
      <c r="T277" s="201" t="str">
        <f>VLOOKUP(S277,'SALE HSN MASTER '!$A$6:$D$20,2,FALSE)</f>
        <v>Parts &amp; Accessories Of Motor Vehicles Other</v>
      </c>
      <c r="U277" s="201" t="str">
        <f>VLOOKUP(S277,'SALE HSN MASTER '!$A$6:$D$20,3,FALSE)</f>
        <v>NOS-NUMBERS</v>
      </c>
      <c r="V277" s="201" t="str">
        <f>VLOOKUP(S277,'SALE HSN MASTER '!$A$6:$D$20,4,FALSE)</f>
        <v>Goods</v>
      </c>
      <c r="W277" s="401">
        <v>240</v>
      </c>
    </row>
    <row r="278" spans="1:23" ht="14.4" x14ac:dyDescent="0.3">
      <c r="A278" s="423" t="s">
        <v>23</v>
      </c>
      <c r="B278" s="199" t="str">
        <f>VLOOKUP(A278,'SALE PARTY MASTR '!$B$5:$G$280,2,FALSE)</f>
        <v>Varroc Polymers Pvt.ltd.</v>
      </c>
      <c r="C278" s="397" t="s">
        <v>1251</v>
      </c>
      <c r="D278" s="398">
        <v>43152</v>
      </c>
      <c r="E278" s="320">
        <f t="shared" si="17"/>
        <v>5270.7840000000006</v>
      </c>
      <c r="F278" s="321" t="str">
        <f>VLOOKUP(A278,'SALE PARTY MASTR '!$B$5:$I$105,3,FALSE)</f>
        <v>27-Maharashatra</v>
      </c>
      <c r="G278" s="321" t="str">
        <f>VLOOKUP(A278,'SALE PARTY MASTR '!$B$5:$I$105,4,FALSE)</f>
        <v>N</v>
      </c>
      <c r="H278" s="321" t="str">
        <f>VLOOKUP(A278,'SALE PARTY MASTR '!$B$5:$I$105,5,FALSE)</f>
        <v>Regular</v>
      </c>
      <c r="I278" s="321">
        <f>VLOOKUP(A278,'SALE PARTY MASTR '!$B$5:$I$105,6,FALSE)</f>
        <v>0</v>
      </c>
      <c r="J278" s="262">
        <f>VLOOKUP(S278,'SALE HSN MASTER '!$A$6:$E$20,5,FALSE)</f>
        <v>28</v>
      </c>
      <c r="K278" s="400">
        <v>4117.8</v>
      </c>
      <c r="L278" s="184"/>
      <c r="M278" s="322">
        <f t="shared" si="18"/>
        <v>0</v>
      </c>
      <c r="N278" s="322">
        <f t="shared" si="19"/>
        <v>576.49200000000008</v>
      </c>
      <c r="O278" s="322">
        <f t="shared" si="20"/>
        <v>576.49200000000008</v>
      </c>
      <c r="P278" s="199">
        <f>VLOOKUP(A278,'SALE PARTY MASTR '!$B$5:$I$105,7,FALSE)</f>
        <v>2</v>
      </c>
      <c r="Q278" s="199" t="str">
        <f>VLOOKUP(A278,'SALE PARTY MASTR '!$B$5:$I$105,8,FALSE)</f>
        <v>Local Sale</v>
      </c>
      <c r="R278" s="199" t="s">
        <v>897</v>
      </c>
      <c r="S278" s="401">
        <v>87081090</v>
      </c>
      <c r="T278" s="201" t="str">
        <f>VLOOKUP(S278,'SALE HSN MASTER '!$A$6:$D$20,2,FALSE)</f>
        <v>Parts &amp; Accessories Of Motor Vehicles Other</v>
      </c>
      <c r="U278" s="201" t="str">
        <f>VLOOKUP(S278,'SALE HSN MASTER '!$A$6:$D$20,3,FALSE)</f>
        <v>NOS-NUMBERS</v>
      </c>
      <c r="V278" s="201" t="str">
        <f>VLOOKUP(S278,'SALE HSN MASTER '!$A$6:$D$20,4,FALSE)</f>
        <v>Goods</v>
      </c>
      <c r="W278" s="401">
        <v>30</v>
      </c>
    </row>
    <row r="279" spans="1:23" ht="14.4" x14ac:dyDescent="0.3">
      <c r="A279" s="423" t="s">
        <v>27</v>
      </c>
      <c r="B279" s="199" t="str">
        <f>VLOOKUP(A279,'SALE PARTY MASTR '!$B$5:$G$280,2,FALSE)</f>
        <v>Rinder India Pvt Ltd.</v>
      </c>
      <c r="C279" s="397" t="s">
        <v>1252</v>
      </c>
      <c r="D279" s="398">
        <v>43153</v>
      </c>
      <c r="E279" s="320">
        <f t="shared" si="17"/>
        <v>42480</v>
      </c>
      <c r="F279" s="321" t="str">
        <f>VLOOKUP(A279,'SALE PARTY MASTR '!$B$5:$I$105,3,FALSE)</f>
        <v>27-Maharashatra</v>
      </c>
      <c r="G279" s="321" t="str">
        <f>VLOOKUP(A279,'SALE PARTY MASTR '!$B$5:$I$105,4,FALSE)</f>
        <v>N</v>
      </c>
      <c r="H279" s="321" t="str">
        <f>VLOOKUP(A279,'SALE PARTY MASTR '!$B$5:$I$105,5,FALSE)</f>
        <v>Regular</v>
      </c>
      <c r="I279" s="321">
        <f>VLOOKUP(A279,'SALE PARTY MASTR '!$B$5:$I$105,6,FALSE)</f>
        <v>0</v>
      </c>
      <c r="J279" s="262">
        <f>VLOOKUP(S279,'SALE HSN MASTER '!$A$6:$E$20,5,FALSE)</f>
        <v>18</v>
      </c>
      <c r="K279" s="400">
        <v>36000</v>
      </c>
      <c r="L279" s="184"/>
      <c r="M279" s="322">
        <f t="shared" si="18"/>
        <v>0</v>
      </c>
      <c r="N279" s="322">
        <f t="shared" si="19"/>
        <v>3240</v>
      </c>
      <c r="O279" s="322">
        <f t="shared" si="20"/>
        <v>3240</v>
      </c>
      <c r="P279" s="199">
        <f>VLOOKUP(A279,'SALE PARTY MASTR '!$B$5:$I$105,7,FALSE)</f>
        <v>2</v>
      </c>
      <c r="Q279" s="199" t="str">
        <f>VLOOKUP(A279,'SALE PARTY MASTR '!$B$5:$I$105,8,FALSE)</f>
        <v>Local Sale</v>
      </c>
      <c r="R279" s="199" t="s">
        <v>894</v>
      </c>
      <c r="S279" s="401">
        <v>85129000</v>
      </c>
      <c r="T279" s="201" t="str">
        <f>VLOOKUP(S279,'SALE HSN MASTER '!$A$6:$D$20,2,FALSE)</f>
        <v>Parts &amp; Accessories Of Motor Vehicles Other</v>
      </c>
      <c r="U279" s="201" t="str">
        <f>VLOOKUP(S279,'SALE HSN MASTER '!$A$6:$D$20,3,FALSE)</f>
        <v>NOS-NUMBERS</v>
      </c>
      <c r="V279" s="201" t="str">
        <f>VLOOKUP(S279,'SALE HSN MASTER '!$A$6:$D$20,4,FALSE)</f>
        <v>Goods</v>
      </c>
      <c r="W279" s="401">
        <v>1440</v>
      </c>
    </row>
    <row r="280" spans="1:23" ht="14.4" x14ac:dyDescent="0.3">
      <c r="A280" s="423" t="s">
        <v>23</v>
      </c>
      <c r="B280" s="199" t="str">
        <f>VLOOKUP(A280,'SALE PARTY MASTR '!$B$5:$G$280,2,FALSE)</f>
        <v>Varroc Polymers Pvt.ltd.</v>
      </c>
      <c r="C280" s="397" t="s">
        <v>1253</v>
      </c>
      <c r="D280" s="398">
        <v>43153</v>
      </c>
      <c r="E280" s="320">
        <f t="shared" si="17"/>
        <v>38844.287999999993</v>
      </c>
      <c r="F280" s="321" t="str">
        <f>VLOOKUP(A280,'SALE PARTY MASTR '!$B$5:$I$105,3,FALSE)</f>
        <v>27-Maharashatra</v>
      </c>
      <c r="G280" s="321" t="str">
        <f>VLOOKUP(A280,'SALE PARTY MASTR '!$B$5:$I$105,4,FALSE)</f>
        <v>N</v>
      </c>
      <c r="H280" s="321" t="str">
        <f>VLOOKUP(A280,'SALE PARTY MASTR '!$B$5:$I$105,5,FALSE)</f>
        <v>Regular</v>
      </c>
      <c r="I280" s="321">
        <f>VLOOKUP(A280,'SALE PARTY MASTR '!$B$5:$I$105,6,FALSE)</f>
        <v>0</v>
      </c>
      <c r="J280" s="262">
        <f>VLOOKUP(S280,'SALE HSN MASTER '!$A$6:$E$20,5,FALSE)</f>
        <v>28</v>
      </c>
      <c r="K280" s="400">
        <v>30347.1</v>
      </c>
      <c r="L280" s="184"/>
      <c r="M280" s="322">
        <f t="shared" si="18"/>
        <v>0</v>
      </c>
      <c r="N280" s="322">
        <f t="shared" si="19"/>
        <v>4248.5940000000001</v>
      </c>
      <c r="O280" s="322">
        <f t="shared" si="20"/>
        <v>4248.5940000000001</v>
      </c>
      <c r="P280" s="199">
        <f>VLOOKUP(A280,'SALE PARTY MASTR '!$B$5:$I$105,7,FALSE)</f>
        <v>2</v>
      </c>
      <c r="Q280" s="199" t="str">
        <f>VLOOKUP(A280,'SALE PARTY MASTR '!$B$5:$I$105,8,FALSE)</f>
        <v>Local Sale</v>
      </c>
      <c r="R280" s="199" t="s">
        <v>897</v>
      </c>
      <c r="S280" s="401">
        <v>87081090</v>
      </c>
      <c r="T280" s="201" t="str">
        <f>VLOOKUP(S280,'SALE HSN MASTER '!$A$6:$D$20,2,FALSE)</f>
        <v>Parts &amp; Accessories Of Motor Vehicles Other</v>
      </c>
      <c r="U280" s="201" t="str">
        <f>VLOOKUP(S280,'SALE HSN MASTER '!$A$6:$D$20,3,FALSE)</f>
        <v>NOS-NUMBERS</v>
      </c>
      <c r="V280" s="201" t="str">
        <f>VLOOKUP(S280,'SALE HSN MASTER '!$A$6:$D$20,4,FALSE)</f>
        <v>Goods</v>
      </c>
      <c r="W280" s="401">
        <v>420</v>
      </c>
    </row>
    <row r="281" spans="1:23" ht="14.4" x14ac:dyDescent="0.3">
      <c r="A281" s="423" t="s">
        <v>24</v>
      </c>
      <c r="B281" s="199" t="str">
        <f>VLOOKUP(A281,'SALE PARTY MASTR '!$B$5:$G$280,2,FALSE)</f>
        <v>Tata Autocomp Systems LTD.(X1)</v>
      </c>
      <c r="C281" s="397" t="s">
        <v>1254</v>
      </c>
      <c r="D281" s="398">
        <v>43153</v>
      </c>
      <c r="E281" s="320">
        <f t="shared" si="17"/>
        <v>36018.124799999998</v>
      </c>
      <c r="F281" s="321" t="str">
        <f>VLOOKUP(A281,'SALE PARTY MASTR '!$B$5:$I$105,3,FALSE)</f>
        <v>27-Maharashatra</v>
      </c>
      <c r="G281" s="321" t="str">
        <f>VLOOKUP(A281,'SALE PARTY MASTR '!$B$5:$I$105,4,FALSE)</f>
        <v>N</v>
      </c>
      <c r="H281" s="321" t="str">
        <f>VLOOKUP(A281,'SALE PARTY MASTR '!$B$5:$I$105,5,FALSE)</f>
        <v>Regular</v>
      </c>
      <c r="I281" s="321">
        <f>VLOOKUP(A281,'SALE PARTY MASTR '!$B$5:$I$105,6,FALSE)</f>
        <v>0</v>
      </c>
      <c r="J281" s="262">
        <f>VLOOKUP(S281,'SALE HSN MASTER '!$A$6:$E$20,5,FALSE)</f>
        <v>28</v>
      </c>
      <c r="K281" s="400">
        <v>28139.16</v>
      </c>
      <c r="L281" s="184"/>
      <c r="M281" s="322">
        <f t="shared" si="18"/>
        <v>0</v>
      </c>
      <c r="N281" s="322">
        <f t="shared" si="19"/>
        <v>3939.4824000000003</v>
      </c>
      <c r="O281" s="322">
        <f t="shared" si="20"/>
        <v>3939.4824000000003</v>
      </c>
      <c r="P281" s="199">
        <f>VLOOKUP(A281,'SALE PARTY MASTR '!$B$5:$I$105,7,FALSE)</f>
        <v>2</v>
      </c>
      <c r="Q281" s="199" t="str">
        <f>VLOOKUP(A281,'SALE PARTY MASTR '!$B$5:$I$105,8,FALSE)</f>
        <v>Local Sale</v>
      </c>
      <c r="R281" s="199" t="s">
        <v>897</v>
      </c>
      <c r="S281" s="401">
        <v>87089900</v>
      </c>
      <c r="T281" s="201" t="str">
        <f>VLOOKUP(S281,'SALE HSN MASTER '!$A$6:$D$20,2,FALSE)</f>
        <v>Parts &amp; Accessories Of Motor Vehicles Other</v>
      </c>
      <c r="U281" s="201" t="str">
        <f>VLOOKUP(S281,'SALE HSN MASTER '!$A$6:$D$20,3,FALSE)</f>
        <v>NOS-NUMBERS</v>
      </c>
      <c r="V281" s="201" t="str">
        <f>VLOOKUP(S281,'SALE HSN MASTER '!$A$6:$D$20,4,FALSE)</f>
        <v>Goods</v>
      </c>
      <c r="W281" s="401">
        <v>84</v>
      </c>
    </row>
    <row r="282" spans="1:23" ht="14.4" x14ac:dyDescent="0.3">
      <c r="A282" s="423" t="s">
        <v>28</v>
      </c>
      <c r="B282" s="199" t="str">
        <f>VLOOKUP(A282,'SALE PARTY MASTR '!$B$5:$G$280,2,FALSE)</f>
        <v>Lumax Auto Technologies Ltd.</v>
      </c>
      <c r="C282" s="397" t="s">
        <v>1255</v>
      </c>
      <c r="D282" s="398">
        <v>43153</v>
      </c>
      <c r="E282" s="320">
        <f t="shared" si="17"/>
        <v>54713.331400000003</v>
      </c>
      <c r="F282" s="321" t="str">
        <f>VLOOKUP(A282,'SALE PARTY MASTR '!$B$5:$I$105,3,FALSE)</f>
        <v>27-Maharashatra</v>
      </c>
      <c r="G282" s="321" t="str">
        <f>VLOOKUP(A282,'SALE PARTY MASTR '!$B$5:$I$105,4,FALSE)</f>
        <v>N</v>
      </c>
      <c r="H282" s="321" t="str">
        <f>VLOOKUP(A282,'SALE PARTY MASTR '!$B$5:$I$105,5,FALSE)</f>
        <v>Regular</v>
      </c>
      <c r="I282" s="321">
        <f>VLOOKUP(A282,'SALE PARTY MASTR '!$B$5:$I$105,6,FALSE)</f>
        <v>0</v>
      </c>
      <c r="J282" s="262">
        <f>VLOOKUP(S282,'SALE HSN MASTER '!$A$6:$E$20,5,FALSE)</f>
        <v>18</v>
      </c>
      <c r="K282" s="400">
        <v>46367.23</v>
      </c>
      <c r="L282" s="184"/>
      <c r="M282" s="322">
        <f t="shared" si="18"/>
        <v>0</v>
      </c>
      <c r="N282" s="322">
        <f t="shared" si="19"/>
        <v>4173.0506999999998</v>
      </c>
      <c r="O282" s="322">
        <f t="shared" si="20"/>
        <v>4173.0506999999998</v>
      </c>
      <c r="P282" s="199">
        <f>VLOOKUP(A282,'SALE PARTY MASTR '!$B$5:$I$105,7,FALSE)</f>
        <v>2</v>
      </c>
      <c r="Q282" s="199" t="str">
        <f>VLOOKUP(A282,'SALE PARTY MASTR '!$B$5:$I$105,8,FALSE)</f>
        <v>Local Sale</v>
      </c>
      <c r="R282" s="199" t="s">
        <v>894</v>
      </c>
      <c r="S282" s="401">
        <v>85129000</v>
      </c>
      <c r="T282" s="201" t="str">
        <f>VLOOKUP(S282,'SALE HSN MASTER '!$A$6:$D$20,2,FALSE)</f>
        <v>Parts &amp; Accessories Of Motor Vehicles Other</v>
      </c>
      <c r="U282" s="201" t="str">
        <f>VLOOKUP(S282,'SALE HSN MASTER '!$A$6:$D$20,3,FALSE)</f>
        <v>NOS-NUMBERS</v>
      </c>
      <c r="V282" s="201" t="str">
        <f>VLOOKUP(S282,'SALE HSN MASTER '!$A$6:$D$20,4,FALSE)</f>
        <v>Goods</v>
      </c>
      <c r="W282" s="401">
        <v>377</v>
      </c>
    </row>
    <row r="283" spans="1:23" ht="14.4" x14ac:dyDescent="0.3">
      <c r="A283" s="423" t="s">
        <v>31</v>
      </c>
      <c r="B283" s="199" t="str">
        <f>VLOOKUP(A283,'SALE PARTY MASTR '!$B$5:$G$280,2,FALSE)</f>
        <v>Mittal Precision Auto Comps Pvt Ltd,</v>
      </c>
      <c r="C283" s="397" t="s">
        <v>1256</v>
      </c>
      <c r="D283" s="398">
        <v>43153</v>
      </c>
      <c r="E283" s="320">
        <f t="shared" ref="E283:E346" si="21">+K283+M283+N283+O283</f>
        <v>6811.243199999999</v>
      </c>
      <c r="F283" s="321" t="str">
        <f>VLOOKUP(A283,'SALE PARTY MASTR '!$B$5:$I$105,3,FALSE)</f>
        <v>27-Maharashatra</v>
      </c>
      <c r="G283" s="321" t="str">
        <f>VLOOKUP(A283,'SALE PARTY MASTR '!$B$5:$I$105,4,FALSE)</f>
        <v>N</v>
      </c>
      <c r="H283" s="321" t="str">
        <f>VLOOKUP(A283,'SALE PARTY MASTR '!$B$5:$I$105,5,FALSE)</f>
        <v>Regular</v>
      </c>
      <c r="I283" s="321">
        <f>VLOOKUP(A283,'SALE PARTY MASTR '!$B$5:$I$105,6,FALSE)</f>
        <v>0</v>
      </c>
      <c r="J283" s="262">
        <f>VLOOKUP(S283,'SALE HSN MASTER '!$A$6:$E$20,5,FALSE)</f>
        <v>18</v>
      </c>
      <c r="K283" s="400">
        <v>5772.24</v>
      </c>
      <c r="L283" s="184"/>
      <c r="M283" s="322">
        <f t="shared" ref="M283:M346" si="22">+IF(P283=1,0,IF(N283=0,J283*K283/100,0))</f>
        <v>0</v>
      </c>
      <c r="N283" s="322">
        <f t="shared" si="19"/>
        <v>519.50159999999994</v>
      </c>
      <c r="O283" s="322">
        <f t="shared" si="20"/>
        <v>519.50159999999994</v>
      </c>
      <c r="P283" s="199">
        <f>VLOOKUP(A283,'SALE PARTY MASTR '!$B$5:$I$105,7,FALSE)</f>
        <v>2</v>
      </c>
      <c r="Q283" s="199" t="str">
        <f>VLOOKUP(A283,'SALE PARTY MASTR '!$B$5:$I$105,8,FALSE)</f>
        <v>Local Sale</v>
      </c>
      <c r="R283" s="199" t="s">
        <v>894</v>
      </c>
      <c r="S283" s="401">
        <v>998898</v>
      </c>
      <c r="T283" s="201" t="str">
        <f>VLOOKUP(S283,'SALE HSN MASTER '!$A$6:$D$20,2,FALSE)</f>
        <v>Parts &amp; Accessories Of Motor Vehicles Other</v>
      </c>
      <c r="U283" s="201" t="str">
        <f>VLOOKUP(S283,'SALE HSN MASTER '!$A$6:$D$20,3,FALSE)</f>
        <v>NOS-NUMBERS</v>
      </c>
      <c r="V283" s="201" t="str">
        <f>VLOOKUP(S283,'SALE HSN MASTER '!$A$6:$D$20,4,FALSE)</f>
        <v>Service</v>
      </c>
      <c r="W283" s="401">
        <v>12</v>
      </c>
    </row>
    <row r="284" spans="1:23" ht="14.4" x14ac:dyDescent="0.3">
      <c r="A284" s="423" t="s">
        <v>31</v>
      </c>
      <c r="B284" s="199" t="str">
        <f>VLOOKUP(A284,'SALE PARTY MASTR '!$B$5:$G$280,2,FALSE)</f>
        <v>Mittal Precision Auto Comps Pvt Ltd,</v>
      </c>
      <c r="C284" s="397" t="s">
        <v>1257</v>
      </c>
      <c r="D284" s="398">
        <v>43153</v>
      </c>
      <c r="E284" s="320">
        <f t="shared" si="21"/>
        <v>6811.243199999999</v>
      </c>
      <c r="F284" s="321" t="str">
        <f>VLOOKUP(A284,'SALE PARTY MASTR '!$B$5:$I$105,3,FALSE)</f>
        <v>27-Maharashatra</v>
      </c>
      <c r="G284" s="321" t="str">
        <f>VLOOKUP(A284,'SALE PARTY MASTR '!$B$5:$I$105,4,FALSE)</f>
        <v>N</v>
      </c>
      <c r="H284" s="321" t="str">
        <f>VLOOKUP(A284,'SALE PARTY MASTR '!$B$5:$I$105,5,FALSE)</f>
        <v>Regular</v>
      </c>
      <c r="I284" s="321">
        <f>VLOOKUP(A284,'SALE PARTY MASTR '!$B$5:$I$105,6,FALSE)</f>
        <v>0</v>
      </c>
      <c r="J284" s="262">
        <f>VLOOKUP(S284,'SALE HSN MASTER '!$A$6:$E$20,5,FALSE)</f>
        <v>18</v>
      </c>
      <c r="K284" s="400">
        <v>5772.24</v>
      </c>
      <c r="L284" s="184"/>
      <c r="M284" s="322">
        <f t="shared" si="22"/>
        <v>0</v>
      </c>
      <c r="N284" s="322">
        <f t="shared" si="19"/>
        <v>519.50159999999994</v>
      </c>
      <c r="O284" s="322">
        <f t="shared" si="20"/>
        <v>519.50159999999994</v>
      </c>
      <c r="P284" s="199">
        <f>VLOOKUP(A284,'SALE PARTY MASTR '!$B$5:$I$105,7,FALSE)</f>
        <v>2</v>
      </c>
      <c r="Q284" s="199" t="str">
        <f>VLOOKUP(A284,'SALE PARTY MASTR '!$B$5:$I$105,8,FALSE)</f>
        <v>Local Sale</v>
      </c>
      <c r="R284" s="199" t="s">
        <v>894</v>
      </c>
      <c r="S284" s="401">
        <v>998898</v>
      </c>
      <c r="T284" s="201" t="str">
        <f>VLOOKUP(S284,'SALE HSN MASTER '!$A$6:$D$20,2,FALSE)</f>
        <v>Parts &amp; Accessories Of Motor Vehicles Other</v>
      </c>
      <c r="U284" s="201" t="str">
        <f>VLOOKUP(S284,'SALE HSN MASTER '!$A$6:$D$20,3,FALSE)</f>
        <v>NOS-NUMBERS</v>
      </c>
      <c r="V284" s="201" t="str">
        <f>VLOOKUP(S284,'SALE HSN MASTER '!$A$6:$D$20,4,FALSE)</f>
        <v>Service</v>
      </c>
      <c r="W284" s="401">
        <v>12</v>
      </c>
    </row>
    <row r="285" spans="1:23" ht="14.4" x14ac:dyDescent="0.3">
      <c r="A285" s="423" t="s">
        <v>23</v>
      </c>
      <c r="B285" s="199" t="str">
        <f>VLOOKUP(A285,'SALE PARTY MASTR '!$B$5:$G$280,2,FALSE)</f>
        <v>Varroc Polymers Pvt.ltd.</v>
      </c>
      <c r="C285" s="397" t="s">
        <v>1258</v>
      </c>
      <c r="D285" s="398">
        <v>43153</v>
      </c>
      <c r="E285" s="320">
        <f t="shared" si="21"/>
        <v>35514.777600000001</v>
      </c>
      <c r="F285" s="321" t="str">
        <f>VLOOKUP(A285,'SALE PARTY MASTR '!$B$5:$I$105,3,FALSE)</f>
        <v>27-Maharashatra</v>
      </c>
      <c r="G285" s="321" t="str">
        <f>VLOOKUP(A285,'SALE PARTY MASTR '!$B$5:$I$105,4,FALSE)</f>
        <v>N</v>
      </c>
      <c r="H285" s="321" t="str">
        <f>VLOOKUP(A285,'SALE PARTY MASTR '!$B$5:$I$105,5,FALSE)</f>
        <v>Regular</v>
      </c>
      <c r="I285" s="321">
        <f>VLOOKUP(A285,'SALE PARTY MASTR '!$B$5:$I$105,6,FALSE)</f>
        <v>0</v>
      </c>
      <c r="J285" s="262">
        <f>VLOOKUP(S285,'SALE HSN MASTER '!$A$6:$E$20,5,FALSE)</f>
        <v>28</v>
      </c>
      <c r="K285" s="400">
        <v>27745.919999999998</v>
      </c>
      <c r="L285" s="184"/>
      <c r="M285" s="322">
        <f t="shared" si="22"/>
        <v>0</v>
      </c>
      <c r="N285" s="322">
        <f t="shared" si="19"/>
        <v>3884.4288000000001</v>
      </c>
      <c r="O285" s="322">
        <f t="shared" si="20"/>
        <v>3884.4288000000001</v>
      </c>
      <c r="P285" s="199">
        <f>VLOOKUP(A285,'SALE PARTY MASTR '!$B$5:$I$105,7,FALSE)</f>
        <v>2</v>
      </c>
      <c r="Q285" s="199" t="str">
        <f>VLOOKUP(A285,'SALE PARTY MASTR '!$B$5:$I$105,8,FALSE)</f>
        <v>Local Sale</v>
      </c>
      <c r="R285" s="199" t="s">
        <v>897</v>
      </c>
      <c r="S285" s="401">
        <v>87081090</v>
      </c>
      <c r="T285" s="201" t="str">
        <f>VLOOKUP(S285,'SALE HSN MASTER '!$A$6:$D$20,2,FALSE)</f>
        <v>Parts &amp; Accessories Of Motor Vehicles Other</v>
      </c>
      <c r="U285" s="201" t="str">
        <f>VLOOKUP(S285,'SALE HSN MASTER '!$A$6:$D$20,3,FALSE)</f>
        <v>NOS-NUMBERS</v>
      </c>
      <c r="V285" s="201" t="str">
        <f>VLOOKUP(S285,'SALE HSN MASTER '!$A$6:$D$20,4,FALSE)</f>
        <v>Goods</v>
      </c>
      <c r="W285" s="401">
        <v>384</v>
      </c>
    </row>
    <row r="286" spans="1:23" ht="14.4" x14ac:dyDescent="0.3">
      <c r="A286" s="423" t="s">
        <v>862</v>
      </c>
      <c r="B286" s="199" t="str">
        <f>VLOOKUP(A286,'SALE PARTY MASTR '!$B$5:$G$280,2,FALSE)</f>
        <v>Varroc Engineering Pvt Ltd</v>
      </c>
      <c r="C286" s="397" t="s">
        <v>1259</v>
      </c>
      <c r="D286" s="398">
        <v>43153</v>
      </c>
      <c r="E286" s="320">
        <f t="shared" si="21"/>
        <v>21308.160000000003</v>
      </c>
      <c r="F286" s="321" t="str">
        <f>VLOOKUP(A286,'SALE PARTY MASTR '!$B$5:$I$105,3,FALSE)</f>
        <v>27-Maharashatra</v>
      </c>
      <c r="G286" s="321" t="str">
        <f>VLOOKUP(A286,'SALE PARTY MASTR '!$B$5:$I$105,4,FALSE)</f>
        <v>N</v>
      </c>
      <c r="H286" s="321" t="str">
        <f>VLOOKUP(A286,'SALE PARTY MASTR '!$B$5:$I$105,5,FALSE)</f>
        <v>Regular</v>
      </c>
      <c r="I286" s="321">
        <f>VLOOKUP(A286,'SALE PARTY MASTR '!$B$5:$I$105,6,FALSE)</f>
        <v>0</v>
      </c>
      <c r="J286" s="262">
        <f>VLOOKUP(S286,'SALE HSN MASTER '!$A$6:$E$20,5,FALSE)</f>
        <v>28</v>
      </c>
      <c r="K286" s="400">
        <v>16647</v>
      </c>
      <c r="L286" s="184"/>
      <c r="M286" s="322">
        <f t="shared" si="22"/>
        <v>0</v>
      </c>
      <c r="N286" s="322">
        <f t="shared" si="19"/>
        <v>2330.5800000000004</v>
      </c>
      <c r="O286" s="322">
        <f t="shared" si="20"/>
        <v>2330.5800000000004</v>
      </c>
      <c r="P286" s="199">
        <f>VLOOKUP(A286,'SALE PARTY MASTR '!$B$5:$I$105,7,FALSE)</f>
        <v>2</v>
      </c>
      <c r="Q286" s="199" t="str">
        <f>VLOOKUP(A286,'SALE PARTY MASTR '!$B$5:$I$105,8,FALSE)</f>
        <v>Local Sale</v>
      </c>
      <c r="R286" s="199" t="s">
        <v>897</v>
      </c>
      <c r="S286" s="401">
        <v>85119000</v>
      </c>
      <c r="T286" s="201" t="str">
        <f>VLOOKUP(S286,'SALE HSN MASTER '!$A$6:$D$20,2,FALSE)</f>
        <v>Parts &amp; Accessories Of Motor Vehicles Other</v>
      </c>
      <c r="U286" s="201" t="str">
        <f>VLOOKUP(S286,'SALE HSN MASTER '!$A$6:$D$20,3,FALSE)</f>
        <v>NOS-NUMBERS</v>
      </c>
      <c r="V286" s="201" t="str">
        <f>VLOOKUP(S286,'SALE HSN MASTER '!$A$6:$D$20,4,FALSE)</f>
        <v>Goods</v>
      </c>
      <c r="W286" s="401">
        <v>300</v>
      </c>
    </row>
    <row r="287" spans="1:23" ht="14.4" x14ac:dyDescent="0.3">
      <c r="A287" s="423" t="s">
        <v>862</v>
      </c>
      <c r="B287" s="199" t="str">
        <f>VLOOKUP(A287,'SALE PARTY MASTR '!$B$5:$G$280,2,FALSE)</f>
        <v>Varroc Engineering Pvt Ltd</v>
      </c>
      <c r="C287" s="397" t="s">
        <v>1260</v>
      </c>
      <c r="D287" s="398">
        <v>43153</v>
      </c>
      <c r="E287" s="320">
        <f t="shared" si="21"/>
        <v>18280.857599999999</v>
      </c>
      <c r="F287" s="321" t="str">
        <f>VLOOKUP(A287,'SALE PARTY MASTR '!$B$5:$I$105,3,FALSE)</f>
        <v>27-Maharashatra</v>
      </c>
      <c r="G287" s="321" t="str">
        <f>VLOOKUP(A287,'SALE PARTY MASTR '!$B$5:$I$105,4,FALSE)</f>
        <v>N</v>
      </c>
      <c r="H287" s="321" t="str">
        <f>VLOOKUP(A287,'SALE PARTY MASTR '!$B$5:$I$105,5,FALSE)</f>
        <v>Regular</v>
      </c>
      <c r="I287" s="321">
        <f>VLOOKUP(A287,'SALE PARTY MASTR '!$B$5:$I$105,6,FALSE)</f>
        <v>0</v>
      </c>
      <c r="J287" s="262">
        <f>VLOOKUP(S287,'SALE HSN MASTER '!$A$6:$E$20,5,FALSE)</f>
        <v>28</v>
      </c>
      <c r="K287" s="400">
        <v>14281.92</v>
      </c>
      <c r="L287" s="184"/>
      <c r="M287" s="322">
        <f t="shared" si="22"/>
        <v>0</v>
      </c>
      <c r="N287" s="322">
        <f t="shared" si="19"/>
        <v>1999.4688000000001</v>
      </c>
      <c r="O287" s="322">
        <f t="shared" si="20"/>
        <v>1999.4688000000001</v>
      </c>
      <c r="P287" s="199">
        <f>VLOOKUP(A287,'SALE PARTY MASTR '!$B$5:$I$105,7,FALSE)</f>
        <v>2</v>
      </c>
      <c r="Q287" s="199" t="str">
        <f>VLOOKUP(A287,'SALE PARTY MASTR '!$B$5:$I$105,8,FALSE)</f>
        <v>Local Sale</v>
      </c>
      <c r="R287" s="199" t="s">
        <v>897</v>
      </c>
      <c r="S287" s="401">
        <v>87142090</v>
      </c>
      <c r="T287" s="201" t="str">
        <f>VLOOKUP(S287,'SALE HSN MASTER '!$A$6:$D$20,2,FALSE)</f>
        <v>Parts &amp; Accessories Of Motor Vehicles Other</v>
      </c>
      <c r="U287" s="201" t="str">
        <f>VLOOKUP(S287,'SALE HSN MASTER '!$A$6:$D$20,3,FALSE)</f>
        <v>NOS-NUMBERS</v>
      </c>
      <c r="V287" s="201" t="str">
        <f>VLOOKUP(S287,'SALE HSN MASTER '!$A$6:$D$20,4,FALSE)</f>
        <v>Goods</v>
      </c>
      <c r="W287" s="401">
        <v>324</v>
      </c>
    </row>
    <row r="288" spans="1:23" ht="14.4" x14ac:dyDescent="0.3">
      <c r="A288" s="423" t="s">
        <v>23</v>
      </c>
      <c r="B288" s="199" t="str">
        <f>VLOOKUP(A288,'SALE PARTY MASTR '!$B$5:$G$280,2,FALSE)</f>
        <v>Varroc Polymers Pvt.ltd.</v>
      </c>
      <c r="C288" s="397" t="s">
        <v>1261</v>
      </c>
      <c r="D288" s="398">
        <v>43153</v>
      </c>
      <c r="E288" s="320">
        <f t="shared" si="21"/>
        <v>31651.199999999997</v>
      </c>
      <c r="F288" s="321" t="str">
        <f>VLOOKUP(A288,'SALE PARTY MASTR '!$B$5:$I$105,3,FALSE)</f>
        <v>27-Maharashatra</v>
      </c>
      <c r="G288" s="321" t="str">
        <f>VLOOKUP(A288,'SALE PARTY MASTR '!$B$5:$I$105,4,FALSE)</f>
        <v>N</v>
      </c>
      <c r="H288" s="321" t="str">
        <f>VLOOKUP(A288,'SALE PARTY MASTR '!$B$5:$I$105,5,FALSE)</f>
        <v>Regular</v>
      </c>
      <c r="I288" s="321">
        <f>VLOOKUP(A288,'SALE PARTY MASTR '!$B$5:$I$105,6,FALSE)</f>
        <v>0</v>
      </c>
      <c r="J288" s="262">
        <f>VLOOKUP(S288,'SALE HSN MASTER '!$A$6:$E$20,5,FALSE)</f>
        <v>28</v>
      </c>
      <c r="K288" s="400">
        <v>24727.5</v>
      </c>
      <c r="L288" s="184"/>
      <c r="M288" s="322">
        <f t="shared" si="22"/>
        <v>0</v>
      </c>
      <c r="N288" s="322">
        <f t="shared" si="19"/>
        <v>3461.8500000000004</v>
      </c>
      <c r="O288" s="322">
        <f t="shared" si="20"/>
        <v>3461.8500000000004</v>
      </c>
      <c r="P288" s="199">
        <f>VLOOKUP(A288,'SALE PARTY MASTR '!$B$5:$I$105,7,FALSE)</f>
        <v>2</v>
      </c>
      <c r="Q288" s="199" t="str">
        <f>VLOOKUP(A288,'SALE PARTY MASTR '!$B$5:$I$105,8,FALSE)</f>
        <v>Local Sale</v>
      </c>
      <c r="R288" s="199" t="s">
        <v>897</v>
      </c>
      <c r="S288" s="401">
        <v>87081090</v>
      </c>
      <c r="T288" s="201" t="str">
        <f>VLOOKUP(S288,'SALE HSN MASTER '!$A$6:$D$20,2,FALSE)</f>
        <v>Parts &amp; Accessories Of Motor Vehicles Other</v>
      </c>
      <c r="U288" s="201" t="str">
        <f>VLOOKUP(S288,'SALE HSN MASTER '!$A$6:$D$20,3,FALSE)</f>
        <v>NOS-NUMBERS</v>
      </c>
      <c r="V288" s="201" t="str">
        <f>VLOOKUP(S288,'SALE HSN MASTER '!$A$6:$D$20,4,FALSE)</f>
        <v>Goods</v>
      </c>
      <c r="W288" s="401">
        <v>300</v>
      </c>
    </row>
    <row r="289" spans="1:23" ht="14.4" x14ac:dyDescent="0.3">
      <c r="A289" s="423" t="s">
        <v>23</v>
      </c>
      <c r="B289" s="199" t="str">
        <f>VLOOKUP(A289,'SALE PARTY MASTR '!$B$5:$G$280,2,FALSE)</f>
        <v>Varroc Polymers Pvt.ltd.</v>
      </c>
      <c r="C289" s="397" t="s">
        <v>1262</v>
      </c>
      <c r="D289" s="398">
        <v>43153</v>
      </c>
      <c r="E289" s="320">
        <f t="shared" si="21"/>
        <v>10828.8</v>
      </c>
      <c r="F289" s="321" t="str">
        <f>VLOOKUP(A289,'SALE PARTY MASTR '!$B$5:$I$105,3,FALSE)</f>
        <v>27-Maharashatra</v>
      </c>
      <c r="G289" s="321" t="str">
        <f>VLOOKUP(A289,'SALE PARTY MASTR '!$B$5:$I$105,4,FALSE)</f>
        <v>N</v>
      </c>
      <c r="H289" s="321" t="str">
        <f>VLOOKUP(A289,'SALE PARTY MASTR '!$B$5:$I$105,5,FALSE)</f>
        <v>Regular</v>
      </c>
      <c r="I289" s="321">
        <f>VLOOKUP(A289,'SALE PARTY MASTR '!$B$5:$I$105,6,FALSE)</f>
        <v>0</v>
      </c>
      <c r="J289" s="262">
        <f>VLOOKUP(S289,'SALE HSN MASTER '!$A$6:$E$20,5,FALSE)</f>
        <v>28</v>
      </c>
      <c r="K289" s="400">
        <v>8460</v>
      </c>
      <c r="L289" s="184"/>
      <c r="M289" s="322">
        <f t="shared" si="22"/>
        <v>0</v>
      </c>
      <c r="N289" s="322">
        <f t="shared" si="19"/>
        <v>1184.4000000000001</v>
      </c>
      <c r="O289" s="322">
        <f t="shared" si="20"/>
        <v>1184.4000000000001</v>
      </c>
      <c r="P289" s="199">
        <f>VLOOKUP(A289,'SALE PARTY MASTR '!$B$5:$I$105,7,FALSE)</f>
        <v>2</v>
      </c>
      <c r="Q289" s="199" t="str">
        <f>VLOOKUP(A289,'SALE PARTY MASTR '!$B$5:$I$105,8,FALSE)</f>
        <v>Local Sale</v>
      </c>
      <c r="R289" s="199" t="s">
        <v>897</v>
      </c>
      <c r="S289" s="401">
        <v>87141090</v>
      </c>
      <c r="T289" s="201" t="str">
        <f>VLOOKUP(S289,'SALE HSN MASTER '!$A$6:$D$20,2,FALSE)</f>
        <v>Parts &amp; Accessories Of Motor Vehicles Other</v>
      </c>
      <c r="U289" s="201" t="str">
        <f>VLOOKUP(S289,'SALE HSN MASTER '!$A$6:$D$20,3,FALSE)</f>
        <v>NOS-NUMBERS</v>
      </c>
      <c r="V289" s="201" t="str">
        <f>VLOOKUP(S289,'SALE HSN MASTER '!$A$6:$D$20,4,FALSE)</f>
        <v>Goods</v>
      </c>
      <c r="W289" s="401">
        <v>240</v>
      </c>
    </row>
    <row r="290" spans="1:23" ht="14.4" x14ac:dyDescent="0.3">
      <c r="A290" s="423" t="s">
        <v>23</v>
      </c>
      <c r="B290" s="199" t="str">
        <f>VLOOKUP(A290,'SALE PARTY MASTR '!$B$5:$G$280,2,FALSE)</f>
        <v>Varroc Polymers Pvt.ltd.</v>
      </c>
      <c r="C290" s="397" t="s">
        <v>1263</v>
      </c>
      <c r="D290" s="398">
        <v>43153</v>
      </c>
      <c r="E290" s="320">
        <f t="shared" si="21"/>
        <v>49942.656000000003</v>
      </c>
      <c r="F290" s="321" t="str">
        <f>VLOOKUP(A290,'SALE PARTY MASTR '!$B$5:$I$105,3,FALSE)</f>
        <v>27-Maharashatra</v>
      </c>
      <c r="G290" s="321" t="str">
        <f>VLOOKUP(A290,'SALE PARTY MASTR '!$B$5:$I$105,4,FALSE)</f>
        <v>N</v>
      </c>
      <c r="H290" s="321" t="str">
        <f>VLOOKUP(A290,'SALE PARTY MASTR '!$B$5:$I$105,5,FALSE)</f>
        <v>Regular</v>
      </c>
      <c r="I290" s="321">
        <f>VLOOKUP(A290,'SALE PARTY MASTR '!$B$5:$I$105,6,FALSE)</f>
        <v>0</v>
      </c>
      <c r="J290" s="262">
        <f>VLOOKUP(S290,'SALE HSN MASTER '!$A$6:$E$20,5,FALSE)</f>
        <v>28</v>
      </c>
      <c r="K290" s="400">
        <v>39017.699999999997</v>
      </c>
      <c r="L290" s="184"/>
      <c r="M290" s="322">
        <f t="shared" si="22"/>
        <v>0</v>
      </c>
      <c r="N290" s="322">
        <f t="shared" si="19"/>
        <v>5462.4780000000001</v>
      </c>
      <c r="O290" s="322">
        <f t="shared" si="20"/>
        <v>5462.4780000000001</v>
      </c>
      <c r="P290" s="199">
        <f>VLOOKUP(A290,'SALE PARTY MASTR '!$B$5:$I$105,7,FALSE)</f>
        <v>2</v>
      </c>
      <c r="Q290" s="199" t="str">
        <f>VLOOKUP(A290,'SALE PARTY MASTR '!$B$5:$I$105,8,FALSE)</f>
        <v>Local Sale</v>
      </c>
      <c r="R290" s="199" t="s">
        <v>897</v>
      </c>
      <c r="S290" s="401">
        <v>87081090</v>
      </c>
      <c r="T290" s="201" t="str">
        <f>VLOOKUP(S290,'SALE HSN MASTER '!$A$6:$D$20,2,FALSE)</f>
        <v>Parts &amp; Accessories Of Motor Vehicles Other</v>
      </c>
      <c r="U290" s="201" t="str">
        <f>VLOOKUP(S290,'SALE HSN MASTER '!$A$6:$D$20,3,FALSE)</f>
        <v>NOS-NUMBERS</v>
      </c>
      <c r="V290" s="201" t="str">
        <f>VLOOKUP(S290,'SALE HSN MASTER '!$A$6:$D$20,4,FALSE)</f>
        <v>Goods</v>
      </c>
      <c r="W290" s="401">
        <v>540</v>
      </c>
    </row>
    <row r="291" spans="1:23" ht="14.4" x14ac:dyDescent="0.3">
      <c r="A291" s="423" t="s">
        <v>27</v>
      </c>
      <c r="B291" s="199" t="str">
        <f>VLOOKUP(A291,'SALE PARTY MASTR '!$B$5:$G$280,2,FALSE)</f>
        <v>Rinder India Pvt Ltd.</v>
      </c>
      <c r="C291" s="397" t="s">
        <v>1264</v>
      </c>
      <c r="D291" s="398">
        <v>43154</v>
      </c>
      <c r="E291" s="320">
        <f t="shared" si="21"/>
        <v>35400</v>
      </c>
      <c r="F291" s="321" t="str">
        <f>VLOOKUP(A291,'SALE PARTY MASTR '!$B$5:$I$105,3,FALSE)</f>
        <v>27-Maharashatra</v>
      </c>
      <c r="G291" s="321" t="str">
        <f>VLOOKUP(A291,'SALE PARTY MASTR '!$B$5:$I$105,4,FALSE)</f>
        <v>N</v>
      </c>
      <c r="H291" s="321" t="str">
        <f>VLOOKUP(A291,'SALE PARTY MASTR '!$B$5:$I$105,5,FALSE)</f>
        <v>Regular</v>
      </c>
      <c r="I291" s="321">
        <f>VLOOKUP(A291,'SALE PARTY MASTR '!$B$5:$I$105,6,FALSE)</f>
        <v>0</v>
      </c>
      <c r="J291" s="262">
        <f>VLOOKUP(S291,'SALE HSN MASTER '!$A$6:$E$20,5,FALSE)</f>
        <v>18</v>
      </c>
      <c r="K291" s="400">
        <v>30000</v>
      </c>
      <c r="L291" s="184"/>
      <c r="M291" s="322">
        <f t="shared" si="22"/>
        <v>0</v>
      </c>
      <c r="N291" s="322">
        <f t="shared" si="19"/>
        <v>2700</v>
      </c>
      <c r="O291" s="322">
        <f t="shared" si="20"/>
        <v>2700</v>
      </c>
      <c r="P291" s="199">
        <f>VLOOKUP(A291,'SALE PARTY MASTR '!$B$5:$I$105,7,FALSE)</f>
        <v>2</v>
      </c>
      <c r="Q291" s="199" t="str">
        <f>VLOOKUP(A291,'SALE PARTY MASTR '!$B$5:$I$105,8,FALSE)</f>
        <v>Local Sale</v>
      </c>
      <c r="R291" s="199" t="s">
        <v>894</v>
      </c>
      <c r="S291" s="401">
        <v>85129000</v>
      </c>
      <c r="T291" s="201" t="str">
        <f>VLOOKUP(S291,'SALE HSN MASTER '!$A$6:$D$20,2,FALSE)</f>
        <v>Parts &amp; Accessories Of Motor Vehicles Other</v>
      </c>
      <c r="U291" s="201" t="str">
        <f>VLOOKUP(S291,'SALE HSN MASTER '!$A$6:$D$20,3,FALSE)</f>
        <v>NOS-NUMBERS</v>
      </c>
      <c r="V291" s="201" t="str">
        <f>VLOOKUP(S291,'SALE HSN MASTER '!$A$6:$D$20,4,FALSE)</f>
        <v>Goods</v>
      </c>
      <c r="W291" s="401">
        <v>1200</v>
      </c>
    </row>
    <row r="292" spans="1:23" ht="14.4" x14ac:dyDescent="0.3">
      <c r="A292" s="423" t="s">
        <v>23</v>
      </c>
      <c r="B292" s="199" t="str">
        <f>VLOOKUP(A292,'SALE PARTY MASTR '!$B$5:$G$280,2,FALSE)</f>
        <v>Varroc Polymers Pvt.ltd.</v>
      </c>
      <c r="C292" s="397" t="s">
        <v>1265</v>
      </c>
      <c r="D292" s="398">
        <v>43154</v>
      </c>
      <c r="E292" s="320">
        <f t="shared" si="21"/>
        <v>37734.451200000003</v>
      </c>
      <c r="F292" s="321" t="str">
        <f>VLOOKUP(A292,'SALE PARTY MASTR '!$B$5:$I$105,3,FALSE)</f>
        <v>27-Maharashatra</v>
      </c>
      <c r="G292" s="321" t="str">
        <f>VLOOKUP(A292,'SALE PARTY MASTR '!$B$5:$I$105,4,FALSE)</f>
        <v>N</v>
      </c>
      <c r="H292" s="321" t="str">
        <f>VLOOKUP(A292,'SALE PARTY MASTR '!$B$5:$I$105,5,FALSE)</f>
        <v>Regular</v>
      </c>
      <c r="I292" s="321">
        <f>VLOOKUP(A292,'SALE PARTY MASTR '!$B$5:$I$105,6,FALSE)</f>
        <v>0</v>
      </c>
      <c r="J292" s="262">
        <f>VLOOKUP(S292,'SALE HSN MASTER '!$A$6:$E$20,5,FALSE)</f>
        <v>28</v>
      </c>
      <c r="K292" s="400">
        <v>29480.04</v>
      </c>
      <c r="L292" s="184"/>
      <c r="M292" s="322">
        <f t="shared" si="22"/>
        <v>0</v>
      </c>
      <c r="N292" s="322">
        <f t="shared" si="19"/>
        <v>4127.2056000000002</v>
      </c>
      <c r="O292" s="322">
        <f t="shared" si="20"/>
        <v>4127.2056000000002</v>
      </c>
      <c r="P292" s="199">
        <f>VLOOKUP(A292,'SALE PARTY MASTR '!$B$5:$I$105,7,FALSE)</f>
        <v>2</v>
      </c>
      <c r="Q292" s="199" t="str">
        <f>VLOOKUP(A292,'SALE PARTY MASTR '!$B$5:$I$105,8,FALSE)</f>
        <v>Local Sale</v>
      </c>
      <c r="R292" s="199" t="s">
        <v>897</v>
      </c>
      <c r="S292" s="401">
        <v>87081090</v>
      </c>
      <c r="T292" s="201" t="str">
        <f>VLOOKUP(S292,'SALE HSN MASTER '!$A$6:$D$20,2,FALSE)</f>
        <v>Parts &amp; Accessories Of Motor Vehicles Other</v>
      </c>
      <c r="U292" s="201" t="str">
        <f>VLOOKUP(S292,'SALE HSN MASTER '!$A$6:$D$20,3,FALSE)</f>
        <v>NOS-NUMBERS</v>
      </c>
      <c r="V292" s="201" t="str">
        <f>VLOOKUP(S292,'SALE HSN MASTER '!$A$6:$D$20,4,FALSE)</f>
        <v>Goods</v>
      </c>
      <c r="W292" s="401">
        <v>408</v>
      </c>
    </row>
    <row r="293" spans="1:23" ht="14.4" x14ac:dyDescent="0.3">
      <c r="A293" s="423" t="s">
        <v>31</v>
      </c>
      <c r="B293" s="199" t="str">
        <f>VLOOKUP(A293,'SALE PARTY MASTR '!$B$5:$G$280,2,FALSE)</f>
        <v>Mittal Precision Auto Comps Pvt Ltd,</v>
      </c>
      <c r="C293" s="397" t="s">
        <v>1266</v>
      </c>
      <c r="D293" s="398">
        <v>43154</v>
      </c>
      <c r="E293" s="320">
        <f t="shared" si="21"/>
        <v>6811.243199999999</v>
      </c>
      <c r="F293" s="321" t="str">
        <f>VLOOKUP(A293,'SALE PARTY MASTR '!$B$5:$I$105,3,FALSE)</f>
        <v>27-Maharashatra</v>
      </c>
      <c r="G293" s="321" t="str">
        <f>VLOOKUP(A293,'SALE PARTY MASTR '!$B$5:$I$105,4,FALSE)</f>
        <v>N</v>
      </c>
      <c r="H293" s="321" t="str">
        <f>VLOOKUP(A293,'SALE PARTY MASTR '!$B$5:$I$105,5,FALSE)</f>
        <v>Regular</v>
      </c>
      <c r="I293" s="321">
        <f>VLOOKUP(A293,'SALE PARTY MASTR '!$B$5:$I$105,6,FALSE)</f>
        <v>0</v>
      </c>
      <c r="J293" s="262">
        <f>VLOOKUP(S293,'SALE HSN MASTER '!$A$6:$E$20,5,FALSE)</f>
        <v>18</v>
      </c>
      <c r="K293" s="400">
        <v>5772.24</v>
      </c>
      <c r="L293" s="184"/>
      <c r="M293" s="322">
        <f t="shared" si="22"/>
        <v>0</v>
      </c>
      <c r="N293" s="322">
        <f t="shared" si="19"/>
        <v>519.50159999999994</v>
      </c>
      <c r="O293" s="322">
        <f t="shared" si="20"/>
        <v>519.50159999999994</v>
      </c>
      <c r="P293" s="199">
        <f>VLOOKUP(A293,'SALE PARTY MASTR '!$B$5:$I$105,7,FALSE)</f>
        <v>2</v>
      </c>
      <c r="Q293" s="199" t="str">
        <f>VLOOKUP(A293,'SALE PARTY MASTR '!$B$5:$I$105,8,FALSE)</f>
        <v>Local Sale</v>
      </c>
      <c r="R293" s="199" t="s">
        <v>894</v>
      </c>
      <c r="S293" s="401">
        <v>998898</v>
      </c>
      <c r="T293" s="201" t="str">
        <f>VLOOKUP(S293,'SALE HSN MASTER '!$A$6:$D$20,2,FALSE)</f>
        <v>Parts &amp; Accessories Of Motor Vehicles Other</v>
      </c>
      <c r="U293" s="201" t="str">
        <f>VLOOKUP(S293,'SALE HSN MASTER '!$A$6:$D$20,3,FALSE)</f>
        <v>NOS-NUMBERS</v>
      </c>
      <c r="V293" s="201" t="str">
        <f>VLOOKUP(S293,'SALE HSN MASTER '!$A$6:$D$20,4,FALSE)</f>
        <v>Service</v>
      </c>
      <c r="W293" s="401">
        <v>12</v>
      </c>
    </row>
    <row r="294" spans="1:23" ht="14.4" x14ac:dyDescent="0.3">
      <c r="A294" s="423" t="s">
        <v>31</v>
      </c>
      <c r="B294" s="199" t="str">
        <f>VLOOKUP(A294,'SALE PARTY MASTR '!$B$5:$G$280,2,FALSE)</f>
        <v>Mittal Precision Auto Comps Pvt Ltd,</v>
      </c>
      <c r="C294" s="397" t="s">
        <v>1267</v>
      </c>
      <c r="D294" s="398">
        <v>43154</v>
      </c>
      <c r="E294" s="320">
        <f t="shared" si="21"/>
        <v>6811.243199999999</v>
      </c>
      <c r="F294" s="321" t="str">
        <f>VLOOKUP(A294,'SALE PARTY MASTR '!$B$5:$I$105,3,FALSE)</f>
        <v>27-Maharashatra</v>
      </c>
      <c r="G294" s="321" t="str">
        <f>VLOOKUP(A294,'SALE PARTY MASTR '!$B$5:$I$105,4,FALSE)</f>
        <v>N</v>
      </c>
      <c r="H294" s="321" t="str">
        <f>VLOOKUP(A294,'SALE PARTY MASTR '!$B$5:$I$105,5,FALSE)</f>
        <v>Regular</v>
      </c>
      <c r="I294" s="321">
        <f>VLOOKUP(A294,'SALE PARTY MASTR '!$B$5:$I$105,6,FALSE)</f>
        <v>0</v>
      </c>
      <c r="J294" s="262">
        <f>VLOOKUP(S294,'SALE HSN MASTER '!$A$6:$E$20,5,FALSE)</f>
        <v>18</v>
      </c>
      <c r="K294" s="400">
        <v>5772.24</v>
      </c>
      <c r="L294" s="184"/>
      <c r="M294" s="322">
        <f t="shared" si="22"/>
        <v>0</v>
      </c>
      <c r="N294" s="322">
        <f t="shared" si="19"/>
        <v>519.50159999999994</v>
      </c>
      <c r="O294" s="322">
        <f t="shared" si="20"/>
        <v>519.50159999999994</v>
      </c>
      <c r="P294" s="199">
        <f>VLOOKUP(A294,'SALE PARTY MASTR '!$B$5:$I$105,7,FALSE)</f>
        <v>2</v>
      </c>
      <c r="Q294" s="199" t="str">
        <f>VLOOKUP(A294,'SALE PARTY MASTR '!$B$5:$I$105,8,FALSE)</f>
        <v>Local Sale</v>
      </c>
      <c r="R294" s="199" t="s">
        <v>894</v>
      </c>
      <c r="S294" s="401">
        <v>998898</v>
      </c>
      <c r="T294" s="201" t="str">
        <f>VLOOKUP(S294,'SALE HSN MASTER '!$A$6:$D$20,2,FALSE)</f>
        <v>Parts &amp; Accessories Of Motor Vehicles Other</v>
      </c>
      <c r="U294" s="201" t="str">
        <f>VLOOKUP(S294,'SALE HSN MASTER '!$A$6:$D$20,3,FALSE)</f>
        <v>NOS-NUMBERS</v>
      </c>
      <c r="V294" s="201" t="str">
        <f>VLOOKUP(S294,'SALE HSN MASTER '!$A$6:$D$20,4,FALSE)</f>
        <v>Service</v>
      </c>
      <c r="W294" s="401">
        <v>12</v>
      </c>
    </row>
    <row r="295" spans="1:23" ht="14.4" x14ac:dyDescent="0.3">
      <c r="A295" s="423" t="s">
        <v>862</v>
      </c>
      <c r="B295" s="199" t="str">
        <f>VLOOKUP(A295,'SALE PARTY MASTR '!$B$5:$G$280,2,FALSE)</f>
        <v>Varroc Engineering Pvt Ltd</v>
      </c>
      <c r="C295" s="397" t="s">
        <v>1268</v>
      </c>
      <c r="D295" s="398">
        <v>43154</v>
      </c>
      <c r="E295" s="320">
        <f t="shared" si="21"/>
        <v>25569.792000000001</v>
      </c>
      <c r="F295" s="321" t="str">
        <f>VLOOKUP(A295,'SALE PARTY MASTR '!$B$5:$I$105,3,FALSE)</f>
        <v>27-Maharashatra</v>
      </c>
      <c r="G295" s="321" t="str">
        <f>VLOOKUP(A295,'SALE PARTY MASTR '!$B$5:$I$105,4,FALSE)</f>
        <v>N</v>
      </c>
      <c r="H295" s="321" t="str">
        <f>VLOOKUP(A295,'SALE PARTY MASTR '!$B$5:$I$105,5,FALSE)</f>
        <v>Regular</v>
      </c>
      <c r="I295" s="321">
        <f>VLOOKUP(A295,'SALE PARTY MASTR '!$B$5:$I$105,6,FALSE)</f>
        <v>0</v>
      </c>
      <c r="J295" s="262">
        <f>VLOOKUP(S295,'SALE HSN MASTER '!$A$6:$E$20,5,FALSE)</f>
        <v>28</v>
      </c>
      <c r="K295" s="400">
        <v>19976.400000000001</v>
      </c>
      <c r="L295" s="184"/>
      <c r="M295" s="322">
        <f t="shared" si="22"/>
        <v>0</v>
      </c>
      <c r="N295" s="322">
        <f t="shared" si="19"/>
        <v>2796.6960000000004</v>
      </c>
      <c r="O295" s="322">
        <f t="shared" si="20"/>
        <v>2796.6960000000004</v>
      </c>
      <c r="P295" s="199">
        <f>VLOOKUP(A295,'SALE PARTY MASTR '!$B$5:$I$105,7,FALSE)</f>
        <v>2</v>
      </c>
      <c r="Q295" s="199" t="str">
        <f>VLOOKUP(A295,'SALE PARTY MASTR '!$B$5:$I$105,8,FALSE)</f>
        <v>Local Sale</v>
      </c>
      <c r="R295" s="199" t="s">
        <v>897</v>
      </c>
      <c r="S295" s="401">
        <v>85119000</v>
      </c>
      <c r="T295" s="201" t="str">
        <f>VLOOKUP(S295,'SALE HSN MASTER '!$A$6:$D$20,2,FALSE)</f>
        <v>Parts &amp; Accessories Of Motor Vehicles Other</v>
      </c>
      <c r="U295" s="201" t="str">
        <f>VLOOKUP(S295,'SALE HSN MASTER '!$A$6:$D$20,3,FALSE)</f>
        <v>NOS-NUMBERS</v>
      </c>
      <c r="V295" s="201" t="str">
        <f>VLOOKUP(S295,'SALE HSN MASTER '!$A$6:$D$20,4,FALSE)</f>
        <v>Goods</v>
      </c>
      <c r="W295" s="401">
        <v>360</v>
      </c>
    </row>
    <row r="296" spans="1:23" ht="14.4" x14ac:dyDescent="0.3">
      <c r="A296" s="423" t="s">
        <v>862</v>
      </c>
      <c r="B296" s="199" t="str">
        <f>VLOOKUP(A296,'SALE PARTY MASTR '!$B$5:$G$280,2,FALSE)</f>
        <v>Varroc Engineering Pvt Ltd</v>
      </c>
      <c r="C296" s="397" t="s">
        <v>1269</v>
      </c>
      <c r="D296" s="398">
        <v>43154</v>
      </c>
      <c r="E296" s="320">
        <f t="shared" si="21"/>
        <v>18280.857599999999</v>
      </c>
      <c r="F296" s="321" t="str">
        <f>VLOOKUP(A296,'SALE PARTY MASTR '!$B$5:$I$105,3,FALSE)</f>
        <v>27-Maharashatra</v>
      </c>
      <c r="G296" s="321" t="str">
        <f>VLOOKUP(A296,'SALE PARTY MASTR '!$B$5:$I$105,4,FALSE)</f>
        <v>N</v>
      </c>
      <c r="H296" s="321" t="str">
        <f>VLOOKUP(A296,'SALE PARTY MASTR '!$B$5:$I$105,5,FALSE)</f>
        <v>Regular</v>
      </c>
      <c r="I296" s="321">
        <f>VLOOKUP(A296,'SALE PARTY MASTR '!$B$5:$I$105,6,FALSE)</f>
        <v>0</v>
      </c>
      <c r="J296" s="262">
        <f>VLOOKUP(S296,'SALE HSN MASTER '!$A$6:$E$20,5,FALSE)</f>
        <v>28</v>
      </c>
      <c r="K296" s="400">
        <v>14281.92</v>
      </c>
      <c r="L296" s="184"/>
      <c r="M296" s="322">
        <f t="shared" si="22"/>
        <v>0</v>
      </c>
      <c r="N296" s="322">
        <f t="shared" si="19"/>
        <v>1999.4688000000001</v>
      </c>
      <c r="O296" s="322">
        <f t="shared" si="20"/>
        <v>1999.4688000000001</v>
      </c>
      <c r="P296" s="199">
        <f>VLOOKUP(A296,'SALE PARTY MASTR '!$B$5:$I$105,7,FALSE)</f>
        <v>2</v>
      </c>
      <c r="Q296" s="199" t="str">
        <f>VLOOKUP(A296,'SALE PARTY MASTR '!$B$5:$I$105,8,FALSE)</f>
        <v>Local Sale</v>
      </c>
      <c r="R296" s="199" t="s">
        <v>897</v>
      </c>
      <c r="S296" s="401">
        <v>87142090</v>
      </c>
      <c r="T296" s="201" t="str">
        <f>VLOOKUP(S296,'SALE HSN MASTER '!$A$6:$D$20,2,FALSE)</f>
        <v>Parts &amp; Accessories Of Motor Vehicles Other</v>
      </c>
      <c r="U296" s="201" t="str">
        <f>VLOOKUP(S296,'SALE HSN MASTER '!$A$6:$D$20,3,FALSE)</f>
        <v>NOS-NUMBERS</v>
      </c>
      <c r="V296" s="201" t="str">
        <f>VLOOKUP(S296,'SALE HSN MASTER '!$A$6:$D$20,4,FALSE)</f>
        <v>Goods</v>
      </c>
      <c r="W296" s="401">
        <v>324</v>
      </c>
    </row>
    <row r="297" spans="1:23" ht="14.4" x14ac:dyDescent="0.3">
      <c r="A297" s="423" t="s">
        <v>23</v>
      </c>
      <c r="B297" s="199" t="str">
        <f>VLOOKUP(A297,'SALE PARTY MASTR '!$B$5:$G$280,2,FALSE)</f>
        <v>Varroc Polymers Pvt.ltd.</v>
      </c>
      <c r="C297" s="397" t="s">
        <v>1270</v>
      </c>
      <c r="D297" s="398">
        <v>43154</v>
      </c>
      <c r="E297" s="320">
        <f t="shared" si="21"/>
        <v>27745.919999999998</v>
      </c>
      <c r="F297" s="321" t="str">
        <f>VLOOKUP(A297,'SALE PARTY MASTR '!$B$5:$I$105,3,FALSE)</f>
        <v>27-Maharashatra</v>
      </c>
      <c r="G297" s="321" t="str">
        <f>VLOOKUP(A297,'SALE PARTY MASTR '!$B$5:$I$105,4,FALSE)</f>
        <v>N</v>
      </c>
      <c r="H297" s="321" t="str">
        <f>VLOOKUP(A297,'SALE PARTY MASTR '!$B$5:$I$105,5,FALSE)</f>
        <v>Regular</v>
      </c>
      <c r="I297" s="321">
        <f>VLOOKUP(A297,'SALE PARTY MASTR '!$B$5:$I$105,6,FALSE)</f>
        <v>0</v>
      </c>
      <c r="J297" s="262">
        <f>VLOOKUP(S297,'SALE HSN MASTER '!$A$6:$E$20,5,FALSE)</f>
        <v>28</v>
      </c>
      <c r="K297" s="400">
        <v>21676.5</v>
      </c>
      <c r="L297" s="184"/>
      <c r="M297" s="322">
        <f t="shared" si="22"/>
        <v>0</v>
      </c>
      <c r="N297" s="322">
        <f t="shared" si="19"/>
        <v>3034.7100000000005</v>
      </c>
      <c r="O297" s="322">
        <f t="shared" si="20"/>
        <v>3034.7100000000005</v>
      </c>
      <c r="P297" s="199">
        <f>VLOOKUP(A297,'SALE PARTY MASTR '!$B$5:$I$105,7,FALSE)</f>
        <v>2</v>
      </c>
      <c r="Q297" s="199" t="str">
        <f>VLOOKUP(A297,'SALE PARTY MASTR '!$B$5:$I$105,8,FALSE)</f>
        <v>Local Sale</v>
      </c>
      <c r="R297" s="199" t="s">
        <v>897</v>
      </c>
      <c r="S297" s="401">
        <v>87081090</v>
      </c>
      <c r="T297" s="201" t="str">
        <f>VLOOKUP(S297,'SALE HSN MASTER '!$A$6:$D$20,2,FALSE)</f>
        <v>Parts &amp; Accessories Of Motor Vehicles Other</v>
      </c>
      <c r="U297" s="201" t="str">
        <f>VLOOKUP(S297,'SALE HSN MASTER '!$A$6:$D$20,3,FALSE)</f>
        <v>NOS-NUMBERS</v>
      </c>
      <c r="V297" s="201" t="str">
        <f>VLOOKUP(S297,'SALE HSN MASTER '!$A$6:$D$20,4,FALSE)</f>
        <v>Goods</v>
      </c>
      <c r="W297" s="401">
        <v>300</v>
      </c>
    </row>
    <row r="298" spans="1:23" ht="14.4" x14ac:dyDescent="0.3">
      <c r="A298" s="423" t="s">
        <v>23</v>
      </c>
      <c r="B298" s="199" t="str">
        <f>VLOOKUP(A298,'SALE PARTY MASTR '!$B$5:$G$280,2,FALSE)</f>
        <v>Varroc Polymers Pvt.ltd.</v>
      </c>
      <c r="C298" s="397" t="s">
        <v>1271</v>
      </c>
      <c r="D298" s="398">
        <v>43154</v>
      </c>
      <c r="E298" s="320">
        <f t="shared" si="21"/>
        <v>28896</v>
      </c>
      <c r="F298" s="321" t="str">
        <f>VLOOKUP(A298,'SALE PARTY MASTR '!$B$5:$I$105,3,FALSE)</f>
        <v>27-Maharashatra</v>
      </c>
      <c r="G298" s="321" t="str">
        <f>VLOOKUP(A298,'SALE PARTY MASTR '!$B$5:$I$105,4,FALSE)</f>
        <v>N</v>
      </c>
      <c r="H298" s="321" t="str">
        <f>VLOOKUP(A298,'SALE PARTY MASTR '!$B$5:$I$105,5,FALSE)</f>
        <v>Regular</v>
      </c>
      <c r="I298" s="321">
        <f>VLOOKUP(A298,'SALE PARTY MASTR '!$B$5:$I$105,6,FALSE)</f>
        <v>0</v>
      </c>
      <c r="J298" s="262">
        <f>VLOOKUP(S298,'SALE HSN MASTER '!$A$6:$E$20,5,FALSE)</f>
        <v>28</v>
      </c>
      <c r="K298" s="400">
        <v>22575</v>
      </c>
      <c r="L298" s="184"/>
      <c r="M298" s="322">
        <f t="shared" si="22"/>
        <v>0</v>
      </c>
      <c r="N298" s="322">
        <f t="shared" si="19"/>
        <v>3160.5000000000005</v>
      </c>
      <c r="O298" s="322">
        <f t="shared" si="20"/>
        <v>3160.5000000000005</v>
      </c>
      <c r="P298" s="199">
        <f>VLOOKUP(A298,'SALE PARTY MASTR '!$B$5:$I$105,7,FALSE)</f>
        <v>2</v>
      </c>
      <c r="Q298" s="199" t="str">
        <f>VLOOKUP(A298,'SALE PARTY MASTR '!$B$5:$I$105,8,FALSE)</f>
        <v>Local Sale</v>
      </c>
      <c r="R298" s="199" t="s">
        <v>897</v>
      </c>
      <c r="S298" s="401">
        <v>87141090</v>
      </c>
      <c r="T298" s="201" t="str">
        <f>VLOOKUP(S298,'SALE HSN MASTER '!$A$6:$D$20,2,FALSE)</f>
        <v>Parts &amp; Accessories Of Motor Vehicles Other</v>
      </c>
      <c r="U298" s="201" t="str">
        <f>VLOOKUP(S298,'SALE HSN MASTER '!$A$6:$D$20,3,FALSE)</f>
        <v>NOS-NUMBERS</v>
      </c>
      <c r="V298" s="201" t="str">
        <f>VLOOKUP(S298,'SALE HSN MASTER '!$A$6:$D$20,4,FALSE)</f>
        <v>Goods</v>
      </c>
      <c r="W298" s="401">
        <v>300</v>
      </c>
    </row>
    <row r="299" spans="1:23" ht="14.4" x14ac:dyDescent="0.3">
      <c r="A299" s="423" t="s">
        <v>28</v>
      </c>
      <c r="B299" s="199" t="str">
        <f>VLOOKUP(A299,'SALE PARTY MASTR '!$B$5:$G$280,2,FALSE)</f>
        <v>Lumax Auto Technologies Ltd.</v>
      </c>
      <c r="C299" s="397" t="s">
        <v>1272</v>
      </c>
      <c r="D299" s="398">
        <v>43154</v>
      </c>
      <c r="E299" s="320">
        <f t="shared" si="21"/>
        <v>29481.969600000004</v>
      </c>
      <c r="F299" s="321" t="str">
        <f>VLOOKUP(A299,'SALE PARTY MASTR '!$B$5:$I$105,3,FALSE)</f>
        <v>27-Maharashatra</v>
      </c>
      <c r="G299" s="321" t="str">
        <f>VLOOKUP(A299,'SALE PARTY MASTR '!$B$5:$I$105,4,FALSE)</f>
        <v>N</v>
      </c>
      <c r="H299" s="321" t="str">
        <f>VLOOKUP(A299,'SALE PARTY MASTR '!$B$5:$I$105,5,FALSE)</f>
        <v>Regular</v>
      </c>
      <c r="I299" s="321">
        <f>VLOOKUP(A299,'SALE PARTY MASTR '!$B$5:$I$105,6,FALSE)</f>
        <v>0</v>
      </c>
      <c r="J299" s="262">
        <f>VLOOKUP(S299,'SALE HSN MASTER '!$A$6:$E$20,5,FALSE)</f>
        <v>18</v>
      </c>
      <c r="K299" s="400">
        <v>24984.720000000001</v>
      </c>
      <c r="L299" s="184"/>
      <c r="M299" s="322">
        <f t="shared" si="22"/>
        <v>0</v>
      </c>
      <c r="N299" s="322">
        <f t="shared" si="19"/>
        <v>2248.6248000000001</v>
      </c>
      <c r="O299" s="322">
        <f t="shared" si="20"/>
        <v>2248.6248000000001</v>
      </c>
      <c r="P299" s="199">
        <f>VLOOKUP(A299,'SALE PARTY MASTR '!$B$5:$I$105,7,FALSE)</f>
        <v>2</v>
      </c>
      <c r="Q299" s="199" t="str">
        <f>VLOOKUP(A299,'SALE PARTY MASTR '!$B$5:$I$105,8,FALSE)</f>
        <v>Local Sale</v>
      </c>
      <c r="R299" s="199" t="s">
        <v>894</v>
      </c>
      <c r="S299" s="401">
        <v>85129000</v>
      </c>
      <c r="T299" s="201" t="str">
        <f>VLOOKUP(S299,'SALE HSN MASTER '!$A$6:$D$20,2,FALSE)</f>
        <v>Parts &amp; Accessories Of Motor Vehicles Other</v>
      </c>
      <c r="U299" s="201" t="str">
        <f>VLOOKUP(S299,'SALE HSN MASTER '!$A$6:$D$20,3,FALSE)</f>
        <v>NOS-NUMBERS</v>
      </c>
      <c r="V299" s="201" t="str">
        <f>VLOOKUP(S299,'SALE HSN MASTER '!$A$6:$D$20,4,FALSE)</f>
        <v>Goods</v>
      </c>
      <c r="W299" s="401">
        <v>387</v>
      </c>
    </row>
    <row r="300" spans="1:23" ht="14.4" x14ac:dyDescent="0.3">
      <c r="A300" s="423" t="s">
        <v>28</v>
      </c>
      <c r="B300" s="199" t="str">
        <f>VLOOKUP(A300,'SALE PARTY MASTR '!$B$5:$G$280,2,FALSE)</f>
        <v>Lumax Auto Technologies Ltd.</v>
      </c>
      <c r="C300" s="397" t="s">
        <v>1273</v>
      </c>
      <c r="D300" s="398">
        <v>43154</v>
      </c>
      <c r="E300" s="320">
        <f t="shared" si="21"/>
        <v>47021.536800000009</v>
      </c>
      <c r="F300" s="321" t="str">
        <f>VLOOKUP(A300,'SALE PARTY MASTR '!$B$5:$I$105,3,FALSE)</f>
        <v>27-Maharashatra</v>
      </c>
      <c r="G300" s="321" t="str">
        <f>VLOOKUP(A300,'SALE PARTY MASTR '!$B$5:$I$105,4,FALSE)</f>
        <v>N</v>
      </c>
      <c r="H300" s="321" t="str">
        <f>VLOOKUP(A300,'SALE PARTY MASTR '!$B$5:$I$105,5,FALSE)</f>
        <v>Regular</v>
      </c>
      <c r="I300" s="321">
        <f>VLOOKUP(A300,'SALE PARTY MASTR '!$B$5:$I$105,6,FALSE)</f>
        <v>0</v>
      </c>
      <c r="J300" s="262">
        <f>VLOOKUP(S300,'SALE HSN MASTER '!$A$6:$E$20,5,FALSE)</f>
        <v>18</v>
      </c>
      <c r="K300" s="400">
        <v>39848.76</v>
      </c>
      <c r="L300" s="184"/>
      <c r="M300" s="322">
        <f t="shared" si="22"/>
        <v>0</v>
      </c>
      <c r="N300" s="322">
        <f t="shared" si="19"/>
        <v>3586.3884000000003</v>
      </c>
      <c r="O300" s="322">
        <f t="shared" si="20"/>
        <v>3586.3884000000003</v>
      </c>
      <c r="P300" s="199">
        <f>VLOOKUP(A300,'SALE PARTY MASTR '!$B$5:$I$105,7,FALSE)</f>
        <v>2</v>
      </c>
      <c r="Q300" s="199" t="str">
        <f>VLOOKUP(A300,'SALE PARTY MASTR '!$B$5:$I$105,8,FALSE)</f>
        <v>Local Sale</v>
      </c>
      <c r="R300" s="199" t="s">
        <v>894</v>
      </c>
      <c r="S300" s="401">
        <v>85129000</v>
      </c>
      <c r="T300" s="201" t="str">
        <f>VLOOKUP(S300,'SALE HSN MASTER '!$A$6:$D$20,2,FALSE)</f>
        <v>Parts &amp; Accessories Of Motor Vehicles Other</v>
      </c>
      <c r="U300" s="201" t="str">
        <f>VLOOKUP(S300,'SALE HSN MASTER '!$A$6:$D$20,3,FALSE)</f>
        <v>NOS-NUMBERS</v>
      </c>
      <c r="V300" s="201" t="str">
        <f>VLOOKUP(S300,'SALE HSN MASTER '!$A$6:$D$20,4,FALSE)</f>
        <v>Goods</v>
      </c>
      <c r="W300" s="401">
        <v>324</v>
      </c>
    </row>
    <row r="301" spans="1:23" ht="14.4" x14ac:dyDescent="0.3">
      <c r="A301" s="423" t="s">
        <v>32</v>
      </c>
      <c r="B301" s="199" t="str">
        <f>VLOOKUP(A301,'SALE PARTY MASTR '!$B$5:$G$280,2,FALSE)</f>
        <v>Pricol Ltd (Formerly Pricol Pune Ltd)</v>
      </c>
      <c r="C301" s="397" t="s">
        <v>1274</v>
      </c>
      <c r="D301" s="398">
        <v>43154</v>
      </c>
      <c r="E301" s="320">
        <f t="shared" si="21"/>
        <v>28942.080000000002</v>
      </c>
      <c r="F301" s="321" t="str">
        <f>VLOOKUP(A301,'SALE PARTY MASTR '!$B$5:$I$105,3,FALSE)</f>
        <v>27-Maharashatra</v>
      </c>
      <c r="G301" s="321" t="str">
        <f>VLOOKUP(A301,'SALE PARTY MASTR '!$B$5:$I$105,4,FALSE)</f>
        <v>N</v>
      </c>
      <c r="H301" s="321" t="str">
        <f>VLOOKUP(A301,'SALE PARTY MASTR '!$B$5:$I$105,5,FALSE)</f>
        <v>Regular</v>
      </c>
      <c r="I301" s="321">
        <f>VLOOKUP(A301,'SALE PARTY MASTR '!$B$5:$I$105,6,FALSE)</f>
        <v>0</v>
      </c>
      <c r="J301" s="262">
        <f>VLOOKUP(S301,'SALE HSN MASTER '!$A$6:$E$20,5,FALSE)</f>
        <v>28</v>
      </c>
      <c r="K301" s="400">
        <v>22611</v>
      </c>
      <c r="L301" s="184"/>
      <c r="M301" s="322">
        <f t="shared" si="22"/>
        <v>0</v>
      </c>
      <c r="N301" s="322">
        <f t="shared" si="19"/>
        <v>3165.5400000000004</v>
      </c>
      <c r="O301" s="322">
        <f t="shared" si="20"/>
        <v>3165.5400000000004</v>
      </c>
      <c r="P301" s="199">
        <f>VLOOKUP(A301,'SALE PARTY MASTR '!$B$5:$I$105,7,FALSE)</f>
        <v>2</v>
      </c>
      <c r="Q301" s="199" t="str">
        <f>VLOOKUP(A301,'SALE PARTY MASTR '!$B$5:$I$105,8,FALSE)</f>
        <v>Local Sale</v>
      </c>
      <c r="R301" s="199" t="s">
        <v>897</v>
      </c>
      <c r="S301" s="401">
        <v>87141090</v>
      </c>
      <c r="T301" s="201" t="str">
        <f>VLOOKUP(S301,'SALE HSN MASTER '!$A$6:$D$20,2,FALSE)</f>
        <v>Parts &amp; Accessories Of Motor Vehicles Other</v>
      </c>
      <c r="U301" s="201" t="str">
        <f>VLOOKUP(S301,'SALE HSN MASTER '!$A$6:$D$20,3,FALSE)</f>
        <v>NOS-NUMBERS</v>
      </c>
      <c r="V301" s="201" t="str">
        <f>VLOOKUP(S301,'SALE HSN MASTER '!$A$6:$D$20,4,FALSE)</f>
        <v>Goods</v>
      </c>
      <c r="W301" s="401">
        <v>300</v>
      </c>
    </row>
    <row r="302" spans="1:23" ht="14.4" x14ac:dyDescent="0.3">
      <c r="A302" s="423" t="s">
        <v>23</v>
      </c>
      <c r="B302" s="199" t="str">
        <f>VLOOKUP(A302,'SALE PARTY MASTR '!$B$5:$G$280,2,FALSE)</f>
        <v>Varroc Polymers Pvt.ltd.</v>
      </c>
      <c r="C302" s="397" t="s">
        <v>1275</v>
      </c>
      <c r="D302" s="398">
        <v>43154</v>
      </c>
      <c r="E302" s="320">
        <f t="shared" si="21"/>
        <v>24416.409599999999</v>
      </c>
      <c r="F302" s="321" t="str">
        <f>VLOOKUP(A302,'SALE PARTY MASTR '!$B$5:$I$105,3,FALSE)</f>
        <v>27-Maharashatra</v>
      </c>
      <c r="G302" s="321" t="str">
        <f>VLOOKUP(A302,'SALE PARTY MASTR '!$B$5:$I$105,4,FALSE)</f>
        <v>N</v>
      </c>
      <c r="H302" s="321" t="str">
        <f>VLOOKUP(A302,'SALE PARTY MASTR '!$B$5:$I$105,5,FALSE)</f>
        <v>Regular</v>
      </c>
      <c r="I302" s="321">
        <f>VLOOKUP(A302,'SALE PARTY MASTR '!$B$5:$I$105,6,FALSE)</f>
        <v>0</v>
      </c>
      <c r="J302" s="262">
        <f>VLOOKUP(S302,'SALE HSN MASTER '!$A$6:$E$20,5,FALSE)</f>
        <v>28</v>
      </c>
      <c r="K302" s="400">
        <v>19075.32</v>
      </c>
      <c r="L302" s="184"/>
      <c r="M302" s="322">
        <f t="shared" si="22"/>
        <v>0</v>
      </c>
      <c r="N302" s="322">
        <f t="shared" si="19"/>
        <v>2670.5448000000001</v>
      </c>
      <c r="O302" s="322">
        <f t="shared" si="20"/>
        <v>2670.5448000000001</v>
      </c>
      <c r="P302" s="199">
        <f>VLOOKUP(A302,'SALE PARTY MASTR '!$B$5:$I$105,7,FALSE)</f>
        <v>2</v>
      </c>
      <c r="Q302" s="199" t="str">
        <f>VLOOKUP(A302,'SALE PARTY MASTR '!$B$5:$I$105,8,FALSE)</f>
        <v>Local Sale</v>
      </c>
      <c r="R302" s="199" t="s">
        <v>897</v>
      </c>
      <c r="S302" s="401">
        <v>87081090</v>
      </c>
      <c r="T302" s="201" t="str">
        <f>VLOOKUP(S302,'SALE HSN MASTER '!$A$6:$D$20,2,FALSE)</f>
        <v>Parts &amp; Accessories Of Motor Vehicles Other</v>
      </c>
      <c r="U302" s="201" t="str">
        <f>VLOOKUP(S302,'SALE HSN MASTER '!$A$6:$D$20,3,FALSE)</f>
        <v>NOS-NUMBERS</v>
      </c>
      <c r="V302" s="201" t="str">
        <f>VLOOKUP(S302,'SALE HSN MASTER '!$A$6:$D$20,4,FALSE)</f>
        <v>Goods</v>
      </c>
      <c r="W302" s="401">
        <v>264</v>
      </c>
    </row>
    <row r="303" spans="1:23" ht="14.4" x14ac:dyDescent="0.3">
      <c r="A303" s="423" t="s">
        <v>23</v>
      </c>
      <c r="B303" s="199" t="str">
        <f>VLOOKUP(A303,'SALE PARTY MASTR '!$B$5:$G$280,2,FALSE)</f>
        <v>Varroc Polymers Pvt.ltd.</v>
      </c>
      <c r="C303" s="397" t="s">
        <v>1276</v>
      </c>
      <c r="D303" s="398">
        <v>43154</v>
      </c>
      <c r="E303" s="320">
        <f t="shared" si="21"/>
        <v>15192.576000000001</v>
      </c>
      <c r="F303" s="321" t="str">
        <f>VLOOKUP(A303,'SALE PARTY MASTR '!$B$5:$I$105,3,FALSE)</f>
        <v>27-Maharashatra</v>
      </c>
      <c r="G303" s="321" t="str">
        <f>VLOOKUP(A303,'SALE PARTY MASTR '!$B$5:$I$105,4,FALSE)</f>
        <v>N</v>
      </c>
      <c r="H303" s="321" t="str">
        <f>VLOOKUP(A303,'SALE PARTY MASTR '!$B$5:$I$105,5,FALSE)</f>
        <v>Regular</v>
      </c>
      <c r="I303" s="321">
        <f>VLOOKUP(A303,'SALE PARTY MASTR '!$B$5:$I$105,6,FALSE)</f>
        <v>0</v>
      </c>
      <c r="J303" s="262">
        <f>VLOOKUP(S303,'SALE HSN MASTER '!$A$6:$E$20,5,FALSE)</f>
        <v>28</v>
      </c>
      <c r="K303" s="400">
        <v>11869.2</v>
      </c>
      <c r="L303" s="184"/>
      <c r="M303" s="322">
        <f t="shared" si="22"/>
        <v>0</v>
      </c>
      <c r="N303" s="322">
        <f t="shared" si="19"/>
        <v>1661.6880000000003</v>
      </c>
      <c r="O303" s="322">
        <f t="shared" si="20"/>
        <v>1661.6880000000003</v>
      </c>
      <c r="P303" s="199">
        <f>VLOOKUP(A303,'SALE PARTY MASTR '!$B$5:$I$105,7,FALSE)</f>
        <v>2</v>
      </c>
      <c r="Q303" s="199" t="str">
        <f>VLOOKUP(A303,'SALE PARTY MASTR '!$B$5:$I$105,8,FALSE)</f>
        <v>Local Sale</v>
      </c>
      <c r="R303" s="199" t="s">
        <v>897</v>
      </c>
      <c r="S303" s="401">
        <v>87081090</v>
      </c>
      <c r="T303" s="201" t="str">
        <f>VLOOKUP(S303,'SALE HSN MASTER '!$A$6:$D$20,2,FALSE)</f>
        <v>Parts &amp; Accessories Of Motor Vehicles Other</v>
      </c>
      <c r="U303" s="201" t="str">
        <f>VLOOKUP(S303,'SALE HSN MASTER '!$A$6:$D$20,3,FALSE)</f>
        <v>NOS-NUMBERS</v>
      </c>
      <c r="V303" s="201" t="str">
        <f>VLOOKUP(S303,'SALE HSN MASTER '!$A$6:$D$20,4,FALSE)</f>
        <v>Goods</v>
      </c>
      <c r="W303" s="401">
        <v>144</v>
      </c>
    </row>
    <row r="304" spans="1:23" ht="14.4" x14ac:dyDescent="0.3">
      <c r="A304" s="423" t="s">
        <v>23</v>
      </c>
      <c r="B304" s="199" t="str">
        <f>VLOOKUP(A304,'SALE PARTY MASTR '!$B$5:$G$280,2,FALSE)</f>
        <v>Varroc Polymers Pvt.ltd.</v>
      </c>
      <c r="C304" s="397" t="s">
        <v>1277</v>
      </c>
      <c r="D304" s="398">
        <v>43154</v>
      </c>
      <c r="E304" s="320">
        <f t="shared" si="21"/>
        <v>3790.08</v>
      </c>
      <c r="F304" s="321" t="str">
        <f>VLOOKUP(A304,'SALE PARTY MASTR '!$B$5:$I$105,3,FALSE)</f>
        <v>27-Maharashatra</v>
      </c>
      <c r="G304" s="321" t="str">
        <f>VLOOKUP(A304,'SALE PARTY MASTR '!$B$5:$I$105,4,FALSE)</f>
        <v>N</v>
      </c>
      <c r="H304" s="321" t="str">
        <f>VLOOKUP(A304,'SALE PARTY MASTR '!$B$5:$I$105,5,FALSE)</f>
        <v>Regular</v>
      </c>
      <c r="I304" s="321">
        <f>VLOOKUP(A304,'SALE PARTY MASTR '!$B$5:$I$105,6,FALSE)</f>
        <v>0</v>
      </c>
      <c r="J304" s="262">
        <f>VLOOKUP(S304,'SALE HSN MASTER '!$A$6:$E$20,5,FALSE)</f>
        <v>28</v>
      </c>
      <c r="K304" s="400">
        <v>2961</v>
      </c>
      <c r="L304" s="184"/>
      <c r="M304" s="322">
        <f t="shared" si="22"/>
        <v>0</v>
      </c>
      <c r="N304" s="322">
        <f t="shared" si="19"/>
        <v>414.54</v>
      </c>
      <c r="O304" s="322">
        <f t="shared" si="20"/>
        <v>414.54</v>
      </c>
      <c r="P304" s="199">
        <f>VLOOKUP(A304,'SALE PARTY MASTR '!$B$5:$I$105,7,FALSE)</f>
        <v>2</v>
      </c>
      <c r="Q304" s="199" t="str">
        <f>VLOOKUP(A304,'SALE PARTY MASTR '!$B$5:$I$105,8,FALSE)</f>
        <v>Local Sale</v>
      </c>
      <c r="R304" s="199" t="s">
        <v>897</v>
      </c>
      <c r="S304" s="401">
        <v>87141090</v>
      </c>
      <c r="T304" s="201" t="str">
        <f>VLOOKUP(S304,'SALE HSN MASTER '!$A$6:$D$20,2,FALSE)</f>
        <v>Parts &amp; Accessories Of Motor Vehicles Other</v>
      </c>
      <c r="U304" s="201" t="str">
        <f>VLOOKUP(S304,'SALE HSN MASTER '!$A$6:$D$20,3,FALSE)</f>
        <v>NOS-NUMBERS</v>
      </c>
      <c r="V304" s="201" t="str">
        <f>VLOOKUP(S304,'SALE HSN MASTER '!$A$6:$D$20,4,FALSE)</f>
        <v>Goods</v>
      </c>
      <c r="W304" s="401">
        <v>84</v>
      </c>
    </row>
    <row r="305" spans="1:23" ht="14.4" x14ac:dyDescent="0.3">
      <c r="A305" s="423" t="s">
        <v>23</v>
      </c>
      <c r="B305" s="199" t="str">
        <f>VLOOKUP(A305,'SALE PARTY MASTR '!$B$5:$G$280,2,FALSE)</f>
        <v>Varroc Polymers Pvt.ltd.</v>
      </c>
      <c r="C305" s="397" t="s">
        <v>1278</v>
      </c>
      <c r="D305" s="398">
        <v>43154</v>
      </c>
      <c r="E305" s="320">
        <f t="shared" si="21"/>
        <v>10828.8</v>
      </c>
      <c r="F305" s="321" t="str">
        <f>VLOOKUP(A305,'SALE PARTY MASTR '!$B$5:$I$105,3,FALSE)</f>
        <v>27-Maharashatra</v>
      </c>
      <c r="G305" s="321" t="str">
        <f>VLOOKUP(A305,'SALE PARTY MASTR '!$B$5:$I$105,4,FALSE)</f>
        <v>N</v>
      </c>
      <c r="H305" s="321" t="str">
        <f>VLOOKUP(A305,'SALE PARTY MASTR '!$B$5:$I$105,5,FALSE)</f>
        <v>Regular</v>
      </c>
      <c r="I305" s="321">
        <f>VLOOKUP(A305,'SALE PARTY MASTR '!$B$5:$I$105,6,FALSE)</f>
        <v>0</v>
      </c>
      <c r="J305" s="262">
        <f>VLOOKUP(S305,'SALE HSN MASTER '!$A$6:$E$20,5,FALSE)</f>
        <v>28</v>
      </c>
      <c r="K305" s="400">
        <v>8460</v>
      </c>
      <c r="L305" s="184"/>
      <c r="M305" s="322">
        <f t="shared" si="22"/>
        <v>0</v>
      </c>
      <c r="N305" s="322">
        <f t="shared" si="19"/>
        <v>1184.4000000000001</v>
      </c>
      <c r="O305" s="322">
        <f t="shared" si="20"/>
        <v>1184.4000000000001</v>
      </c>
      <c r="P305" s="199">
        <f>VLOOKUP(A305,'SALE PARTY MASTR '!$B$5:$I$105,7,FALSE)</f>
        <v>2</v>
      </c>
      <c r="Q305" s="199" t="str">
        <f>VLOOKUP(A305,'SALE PARTY MASTR '!$B$5:$I$105,8,FALSE)</f>
        <v>Local Sale</v>
      </c>
      <c r="R305" s="199" t="s">
        <v>897</v>
      </c>
      <c r="S305" s="401">
        <v>87141090</v>
      </c>
      <c r="T305" s="201" t="str">
        <f>VLOOKUP(S305,'SALE HSN MASTER '!$A$6:$D$20,2,FALSE)</f>
        <v>Parts &amp; Accessories Of Motor Vehicles Other</v>
      </c>
      <c r="U305" s="201" t="str">
        <f>VLOOKUP(S305,'SALE HSN MASTER '!$A$6:$D$20,3,FALSE)</f>
        <v>NOS-NUMBERS</v>
      </c>
      <c r="V305" s="201" t="str">
        <f>VLOOKUP(S305,'SALE HSN MASTER '!$A$6:$D$20,4,FALSE)</f>
        <v>Goods</v>
      </c>
      <c r="W305" s="401">
        <v>240</v>
      </c>
    </row>
    <row r="306" spans="1:23" ht="14.4" x14ac:dyDescent="0.3">
      <c r="A306" s="423" t="s">
        <v>30</v>
      </c>
      <c r="B306" s="199" t="str">
        <f>VLOOKUP(A306,'SALE PARTY MASTR '!$B$5:$G$280,2,FALSE)</f>
        <v>Alpha Foam Ltd</v>
      </c>
      <c r="C306" s="397" t="s">
        <v>1279</v>
      </c>
      <c r="D306" s="398">
        <v>43154</v>
      </c>
      <c r="E306" s="320">
        <f t="shared" si="21"/>
        <v>1939.92</v>
      </c>
      <c r="F306" s="321" t="str">
        <f>VLOOKUP(A306,'SALE PARTY MASTR '!$B$5:$I$105,3,FALSE)</f>
        <v>27-Maharashatra</v>
      </c>
      <c r="G306" s="321" t="str">
        <f>VLOOKUP(A306,'SALE PARTY MASTR '!$B$5:$I$105,4,FALSE)</f>
        <v>N</v>
      </c>
      <c r="H306" s="321" t="str">
        <f>VLOOKUP(A306,'SALE PARTY MASTR '!$B$5:$I$105,5,FALSE)</f>
        <v>Regular</v>
      </c>
      <c r="I306" s="321">
        <f>VLOOKUP(A306,'SALE PARTY MASTR '!$B$5:$I$105,6,FALSE)</f>
        <v>0</v>
      </c>
      <c r="J306" s="262">
        <f>VLOOKUP(S306,'SALE HSN MASTER '!$A$6:$E$20,5,FALSE)</f>
        <v>18</v>
      </c>
      <c r="K306" s="400">
        <v>1644</v>
      </c>
      <c r="L306" s="184"/>
      <c r="M306" s="322">
        <f t="shared" si="22"/>
        <v>0</v>
      </c>
      <c r="N306" s="322">
        <f t="shared" si="19"/>
        <v>147.96</v>
      </c>
      <c r="O306" s="322">
        <f t="shared" si="20"/>
        <v>147.96</v>
      </c>
      <c r="P306" s="199">
        <f>VLOOKUP(A306,'SALE PARTY MASTR '!$B$5:$I$105,7,FALSE)</f>
        <v>2</v>
      </c>
      <c r="Q306" s="199" t="str">
        <f>VLOOKUP(A306,'SALE PARTY MASTR '!$B$5:$I$105,8,FALSE)</f>
        <v>Local Sale</v>
      </c>
      <c r="R306" s="199" t="s">
        <v>894</v>
      </c>
      <c r="S306" s="401">
        <v>998898</v>
      </c>
      <c r="T306" s="201" t="str">
        <f>VLOOKUP(S306,'SALE HSN MASTER '!$A$6:$D$20,2,FALSE)</f>
        <v>Parts &amp; Accessories Of Motor Vehicles Other</v>
      </c>
      <c r="U306" s="201" t="str">
        <f>VLOOKUP(S306,'SALE HSN MASTER '!$A$6:$D$20,3,FALSE)</f>
        <v>NOS-NUMBERS</v>
      </c>
      <c r="V306" s="201" t="str">
        <f>VLOOKUP(S306,'SALE HSN MASTER '!$A$6:$D$20,4,FALSE)</f>
        <v>Service</v>
      </c>
      <c r="W306" s="401">
        <v>200</v>
      </c>
    </row>
    <row r="307" spans="1:23" ht="14.4" x14ac:dyDescent="0.3">
      <c r="A307" s="423" t="s">
        <v>26</v>
      </c>
      <c r="B307" s="199" t="str">
        <f>VLOOKUP(A307,'SALE PARTY MASTR '!$B$5:$G$280,2,FALSE)</f>
        <v>Lumax Ancillary Limited.</v>
      </c>
      <c r="C307" s="397" t="s">
        <v>1280</v>
      </c>
      <c r="D307" s="398">
        <v>43154</v>
      </c>
      <c r="E307" s="320">
        <f t="shared" si="21"/>
        <v>14469.119999999999</v>
      </c>
      <c r="F307" s="321" t="str">
        <f>VLOOKUP(A307,'SALE PARTY MASTR '!$B$5:$I$105,3,FALSE)</f>
        <v>27-Maharashatra</v>
      </c>
      <c r="G307" s="321" t="str">
        <f>VLOOKUP(A307,'SALE PARTY MASTR '!$B$5:$I$105,4,FALSE)</f>
        <v>N</v>
      </c>
      <c r="H307" s="321" t="str">
        <f>VLOOKUP(A307,'SALE PARTY MASTR '!$B$5:$I$105,5,FALSE)</f>
        <v>Regular</v>
      </c>
      <c r="I307" s="321">
        <f>VLOOKUP(A307,'SALE PARTY MASTR '!$B$5:$I$105,6,FALSE)</f>
        <v>0</v>
      </c>
      <c r="J307" s="262">
        <f>VLOOKUP(S307,'SALE HSN MASTER '!$A$6:$E$20,5,FALSE)</f>
        <v>28</v>
      </c>
      <c r="K307" s="400">
        <v>11304</v>
      </c>
      <c r="L307" s="184"/>
      <c r="M307" s="322">
        <f t="shared" si="22"/>
        <v>0</v>
      </c>
      <c r="N307" s="322">
        <f t="shared" si="19"/>
        <v>1582.5600000000002</v>
      </c>
      <c r="O307" s="322">
        <f t="shared" si="20"/>
        <v>1582.5600000000002</v>
      </c>
      <c r="P307" s="199">
        <f>VLOOKUP(A307,'SALE PARTY MASTR '!$B$5:$I$105,7,FALSE)</f>
        <v>2</v>
      </c>
      <c r="Q307" s="199" t="str">
        <f>VLOOKUP(A307,'SALE PARTY MASTR '!$B$5:$I$105,8,FALSE)</f>
        <v>Local Sale</v>
      </c>
      <c r="R307" s="199" t="s">
        <v>897</v>
      </c>
      <c r="S307" s="401">
        <v>87141090</v>
      </c>
      <c r="T307" s="201" t="str">
        <f>VLOOKUP(S307,'SALE HSN MASTER '!$A$6:$D$20,2,FALSE)</f>
        <v>Parts &amp; Accessories Of Motor Vehicles Other</v>
      </c>
      <c r="U307" s="201" t="str">
        <f>VLOOKUP(S307,'SALE HSN MASTER '!$A$6:$D$20,3,FALSE)</f>
        <v>NOS-NUMBERS</v>
      </c>
      <c r="V307" s="201" t="str">
        <f>VLOOKUP(S307,'SALE HSN MASTER '!$A$6:$D$20,4,FALSE)</f>
        <v>Goods</v>
      </c>
      <c r="W307" s="401">
        <v>480</v>
      </c>
    </row>
    <row r="308" spans="1:23" ht="14.4" x14ac:dyDescent="0.3">
      <c r="A308" s="423" t="s">
        <v>23</v>
      </c>
      <c r="B308" s="199" t="str">
        <f>VLOOKUP(A308,'SALE PARTY MASTR '!$B$5:$G$280,2,FALSE)</f>
        <v>Varroc Polymers Pvt.ltd.</v>
      </c>
      <c r="C308" s="397" t="s">
        <v>1281</v>
      </c>
      <c r="D308" s="398">
        <v>43154</v>
      </c>
      <c r="E308" s="320">
        <f t="shared" si="21"/>
        <v>37981.440000000002</v>
      </c>
      <c r="F308" s="321" t="str">
        <f>VLOOKUP(A308,'SALE PARTY MASTR '!$B$5:$I$105,3,FALSE)</f>
        <v>27-Maharashatra</v>
      </c>
      <c r="G308" s="321" t="str">
        <f>VLOOKUP(A308,'SALE PARTY MASTR '!$B$5:$I$105,4,FALSE)</f>
        <v>N</v>
      </c>
      <c r="H308" s="321" t="str">
        <f>VLOOKUP(A308,'SALE PARTY MASTR '!$B$5:$I$105,5,FALSE)</f>
        <v>Regular</v>
      </c>
      <c r="I308" s="321">
        <f>VLOOKUP(A308,'SALE PARTY MASTR '!$B$5:$I$105,6,FALSE)</f>
        <v>0</v>
      </c>
      <c r="J308" s="262">
        <f>VLOOKUP(S308,'SALE HSN MASTER '!$A$6:$E$20,5,FALSE)</f>
        <v>28</v>
      </c>
      <c r="K308" s="400">
        <v>29673</v>
      </c>
      <c r="L308" s="184"/>
      <c r="M308" s="322">
        <f t="shared" si="22"/>
        <v>0</v>
      </c>
      <c r="N308" s="322">
        <f t="shared" si="19"/>
        <v>4154.22</v>
      </c>
      <c r="O308" s="322">
        <f t="shared" si="20"/>
        <v>4154.22</v>
      </c>
      <c r="P308" s="199">
        <f>VLOOKUP(A308,'SALE PARTY MASTR '!$B$5:$I$105,7,FALSE)</f>
        <v>2</v>
      </c>
      <c r="Q308" s="199" t="str">
        <f>VLOOKUP(A308,'SALE PARTY MASTR '!$B$5:$I$105,8,FALSE)</f>
        <v>Local Sale</v>
      </c>
      <c r="R308" s="199" t="s">
        <v>897</v>
      </c>
      <c r="S308" s="401">
        <v>87081090</v>
      </c>
      <c r="T308" s="201" t="str">
        <f>VLOOKUP(S308,'SALE HSN MASTER '!$A$6:$D$20,2,FALSE)</f>
        <v>Parts &amp; Accessories Of Motor Vehicles Other</v>
      </c>
      <c r="U308" s="201" t="str">
        <f>VLOOKUP(S308,'SALE HSN MASTER '!$A$6:$D$20,3,FALSE)</f>
        <v>NOS-NUMBERS</v>
      </c>
      <c r="V308" s="201" t="str">
        <f>VLOOKUP(S308,'SALE HSN MASTER '!$A$6:$D$20,4,FALSE)</f>
        <v>Goods</v>
      </c>
      <c r="W308" s="401">
        <v>360</v>
      </c>
    </row>
    <row r="309" spans="1:23" ht="14.4" x14ac:dyDescent="0.3">
      <c r="A309" s="423" t="s">
        <v>23</v>
      </c>
      <c r="B309" s="199" t="str">
        <f>VLOOKUP(A309,'SALE PARTY MASTR '!$B$5:$G$280,2,FALSE)</f>
        <v>Varroc Polymers Pvt.ltd.</v>
      </c>
      <c r="C309" s="397" t="s">
        <v>1282</v>
      </c>
      <c r="D309" s="398">
        <v>43155</v>
      </c>
      <c r="E309" s="320">
        <f t="shared" si="21"/>
        <v>38844.287999999993</v>
      </c>
      <c r="F309" s="321" t="str">
        <f>VLOOKUP(A309,'SALE PARTY MASTR '!$B$5:$I$105,3,FALSE)</f>
        <v>27-Maharashatra</v>
      </c>
      <c r="G309" s="321" t="str">
        <f>VLOOKUP(A309,'SALE PARTY MASTR '!$B$5:$I$105,4,FALSE)</f>
        <v>N</v>
      </c>
      <c r="H309" s="321" t="str">
        <f>VLOOKUP(A309,'SALE PARTY MASTR '!$B$5:$I$105,5,FALSE)</f>
        <v>Regular</v>
      </c>
      <c r="I309" s="321">
        <f>VLOOKUP(A309,'SALE PARTY MASTR '!$B$5:$I$105,6,FALSE)</f>
        <v>0</v>
      </c>
      <c r="J309" s="262">
        <f>VLOOKUP(S309,'SALE HSN MASTER '!$A$6:$E$20,5,FALSE)</f>
        <v>28</v>
      </c>
      <c r="K309" s="400">
        <v>30347.1</v>
      </c>
      <c r="L309" s="184"/>
      <c r="M309" s="322">
        <f t="shared" si="22"/>
        <v>0</v>
      </c>
      <c r="N309" s="322">
        <f t="shared" si="19"/>
        <v>4248.5940000000001</v>
      </c>
      <c r="O309" s="322">
        <f t="shared" si="20"/>
        <v>4248.5940000000001</v>
      </c>
      <c r="P309" s="199">
        <f>VLOOKUP(A309,'SALE PARTY MASTR '!$B$5:$I$105,7,FALSE)</f>
        <v>2</v>
      </c>
      <c r="Q309" s="199" t="str">
        <f>VLOOKUP(A309,'SALE PARTY MASTR '!$B$5:$I$105,8,FALSE)</f>
        <v>Local Sale</v>
      </c>
      <c r="R309" s="199" t="s">
        <v>897</v>
      </c>
      <c r="S309" s="401">
        <v>87081090</v>
      </c>
      <c r="T309" s="201" t="str">
        <f>VLOOKUP(S309,'SALE HSN MASTER '!$A$6:$D$20,2,FALSE)</f>
        <v>Parts &amp; Accessories Of Motor Vehicles Other</v>
      </c>
      <c r="U309" s="201" t="str">
        <f>VLOOKUP(S309,'SALE HSN MASTER '!$A$6:$D$20,3,FALSE)</f>
        <v>NOS-NUMBERS</v>
      </c>
      <c r="V309" s="201" t="str">
        <f>VLOOKUP(S309,'SALE HSN MASTER '!$A$6:$D$20,4,FALSE)</f>
        <v>Goods</v>
      </c>
      <c r="W309" s="401">
        <v>420</v>
      </c>
    </row>
    <row r="310" spans="1:23" ht="14.4" x14ac:dyDescent="0.3">
      <c r="A310" s="423" t="s">
        <v>36</v>
      </c>
      <c r="B310" s="199" t="str">
        <f>VLOOKUP(A310,'SALE PARTY MASTR '!$B$5:$G$280,2,FALSE)</f>
        <v>Bamboo India</v>
      </c>
      <c r="C310" s="397" t="s">
        <v>1283</v>
      </c>
      <c r="D310" s="398">
        <v>43155</v>
      </c>
      <c r="E310" s="320">
        <f t="shared" si="21"/>
        <v>1770</v>
      </c>
      <c r="F310" s="321" t="str">
        <f>VLOOKUP(A310,'SALE PARTY MASTR '!$B$5:$I$105,3,FALSE)</f>
        <v>27-Maharashatra</v>
      </c>
      <c r="G310" s="321" t="str">
        <f>VLOOKUP(A310,'SALE PARTY MASTR '!$B$5:$I$105,4,FALSE)</f>
        <v>N</v>
      </c>
      <c r="H310" s="321" t="str">
        <f>VLOOKUP(A310,'SALE PARTY MASTR '!$B$5:$I$105,5,FALSE)</f>
        <v>Regular</v>
      </c>
      <c r="I310" s="321">
        <f>VLOOKUP(A310,'SALE PARTY MASTR '!$B$5:$I$105,6,FALSE)</f>
        <v>0</v>
      </c>
      <c r="J310" s="262">
        <f>VLOOKUP(S310,'SALE HSN MASTER '!$A$6:$E$20,5,FALSE)</f>
        <v>18</v>
      </c>
      <c r="K310" s="400">
        <v>1500</v>
      </c>
      <c r="L310" s="184"/>
      <c r="M310" s="322">
        <f t="shared" si="22"/>
        <v>0</v>
      </c>
      <c r="N310" s="322">
        <f t="shared" si="19"/>
        <v>135</v>
      </c>
      <c r="O310" s="322">
        <f t="shared" si="20"/>
        <v>135</v>
      </c>
      <c r="P310" s="199">
        <f>VLOOKUP(A310,'SALE PARTY MASTR '!$B$5:$I$105,7,FALSE)</f>
        <v>2</v>
      </c>
      <c r="Q310" s="199" t="str">
        <f>VLOOKUP(A310,'SALE PARTY MASTR '!$B$5:$I$105,8,FALSE)</f>
        <v>Local Sale</v>
      </c>
      <c r="R310" s="199" t="s">
        <v>894</v>
      </c>
      <c r="S310" s="401">
        <v>998898</v>
      </c>
      <c r="T310" s="201" t="str">
        <f>VLOOKUP(S310,'SALE HSN MASTER '!$A$6:$D$20,2,FALSE)</f>
        <v>Parts &amp; Accessories Of Motor Vehicles Other</v>
      </c>
      <c r="U310" s="201" t="str">
        <f>VLOOKUP(S310,'SALE HSN MASTER '!$A$6:$D$20,3,FALSE)</f>
        <v>NOS-NUMBERS</v>
      </c>
      <c r="V310" s="201" t="str">
        <f>VLOOKUP(S310,'SALE HSN MASTER '!$A$6:$D$20,4,FALSE)</f>
        <v>Service</v>
      </c>
      <c r="W310" s="401">
        <v>100</v>
      </c>
    </row>
    <row r="311" spans="1:23" ht="14.4" x14ac:dyDescent="0.3">
      <c r="A311" s="423" t="s">
        <v>31</v>
      </c>
      <c r="B311" s="199" t="str">
        <f>VLOOKUP(A311,'SALE PARTY MASTR '!$B$5:$G$280,2,FALSE)</f>
        <v>Mittal Precision Auto Comps Pvt Ltd,</v>
      </c>
      <c r="C311" s="397" t="s">
        <v>1284</v>
      </c>
      <c r="D311" s="398">
        <v>43155</v>
      </c>
      <c r="E311" s="320">
        <f t="shared" si="21"/>
        <v>6811.243199999999</v>
      </c>
      <c r="F311" s="321" t="str">
        <f>VLOOKUP(A311,'SALE PARTY MASTR '!$B$5:$I$105,3,FALSE)</f>
        <v>27-Maharashatra</v>
      </c>
      <c r="G311" s="321" t="str">
        <f>VLOOKUP(A311,'SALE PARTY MASTR '!$B$5:$I$105,4,FALSE)</f>
        <v>N</v>
      </c>
      <c r="H311" s="321" t="str">
        <f>VLOOKUP(A311,'SALE PARTY MASTR '!$B$5:$I$105,5,FALSE)</f>
        <v>Regular</v>
      </c>
      <c r="I311" s="321">
        <f>VLOOKUP(A311,'SALE PARTY MASTR '!$B$5:$I$105,6,FALSE)</f>
        <v>0</v>
      </c>
      <c r="J311" s="262">
        <f>VLOOKUP(S311,'SALE HSN MASTER '!$A$6:$E$20,5,FALSE)</f>
        <v>18</v>
      </c>
      <c r="K311" s="400">
        <v>5772.24</v>
      </c>
      <c r="L311" s="184"/>
      <c r="M311" s="322">
        <f t="shared" si="22"/>
        <v>0</v>
      </c>
      <c r="N311" s="322">
        <f t="shared" si="19"/>
        <v>519.50159999999994</v>
      </c>
      <c r="O311" s="322">
        <f t="shared" si="20"/>
        <v>519.50159999999994</v>
      </c>
      <c r="P311" s="199">
        <f>VLOOKUP(A311,'SALE PARTY MASTR '!$B$5:$I$105,7,FALSE)</f>
        <v>2</v>
      </c>
      <c r="Q311" s="199" t="str">
        <f>VLOOKUP(A311,'SALE PARTY MASTR '!$B$5:$I$105,8,FALSE)</f>
        <v>Local Sale</v>
      </c>
      <c r="R311" s="199" t="s">
        <v>894</v>
      </c>
      <c r="S311" s="401">
        <v>998898</v>
      </c>
      <c r="T311" s="201" t="str">
        <f>VLOOKUP(S311,'SALE HSN MASTER '!$A$6:$D$20,2,FALSE)</f>
        <v>Parts &amp; Accessories Of Motor Vehicles Other</v>
      </c>
      <c r="U311" s="201" t="str">
        <f>VLOOKUP(S311,'SALE HSN MASTER '!$A$6:$D$20,3,FALSE)</f>
        <v>NOS-NUMBERS</v>
      </c>
      <c r="V311" s="201" t="str">
        <f>VLOOKUP(S311,'SALE HSN MASTER '!$A$6:$D$20,4,FALSE)</f>
        <v>Service</v>
      </c>
      <c r="W311" s="401">
        <v>12</v>
      </c>
    </row>
    <row r="312" spans="1:23" ht="14.4" x14ac:dyDescent="0.3">
      <c r="A312" s="423" t="s">
        <v>23</v>
      </c>
      <c r="B312" s="199" t="str">
        <f>VLOOKUP(A312,'SALE PARTY MASTR '!$B$5:$G$280,2,FALSE)</f>
        <v>Varroc Polymers Pvt.ltd.</v>
      </c>
      <c r="C312" s="397" t="s">
        <v>1285</v>
      </c>
      <c r="D312" s="398">
        <v>43155</v>
      </c>
      <c r="E312" s="320">
        <f t="shared" si="21"/>
        <v>37734.451200000003</v>
      </c>
      <c r="F312" s="321" t="str">
        <f>VLOOKUP(A312,'SALE PARTY MASTR '!$B$5:$I$105,3,FALSE)</f>
        <v>27-Maharashatra</v>
      </c>
      <c r="G312" s="321" t="str">
        <f>VLOOKUP(A312,'SALE PARTY MASTR '!$B$5:$I$105,4,FALSE)</f>
        <v>N</v>
      </c>
      <c r="H312" s="321" t="str">
        <f>VLOOKUP(A312,'SALE PARTY MASTR '!$B$5:$I$105,5,FALSE)</f>
        <v>Regular</v>
      </c>
      <c r="I312" s="321">
        <f>VLOOKUP(A312,'SALE PARTY MASTR '!$B$5:$I$105,6,FALSE)</f>
        <v>0</v>
      </c>
      <c r="J312" s="262">
        <f>VLOOKUP(S312,'SALE HSN MASTER '!$A$6:$E$20,5,FALSE)</f>
        <v>28</v>
      </c>
      <c r="K312" s="400">
        <v>29480.04</v>
      </c>
      <c r="L312" s="184"/>
      <c r="M312" s="322">
        <f t="shared" si="22"/>
        <v>0</v>
      </c>
      <c r="N312" s="322">
        <f t="shared" si="19"/>
        <v>4127.2056000000002</v>
      </c>
      <c r="O312" s="322">
        <f t="shared" si="20"/>
        <v>4127.2056000000002</v>
      </c>
      <c r="P312" s="199">
        <f>VLOOKUP(A312,'SALE PARTY MASTR '!$B$5:$I$105,7,FALSE)</f>
        <v>2</v>
      </c>
      <c r="Q312" s="199" t="str">
        <f>VLOOKUP(A312,'SALE PARTY MASTR '!$B$5:$I$105,8,FALSE)</f>
        <v>Local Sale</v>
      </c>
      <c r="R312" s="199" t="s">
        <v>897</v>
      </c>
      <c r="S312" s="401">
        <v>87081090</v>
      </c>
      <c r="T312" s="201" t="str">
        <f>VLOOKUP(S312,'SALE HSN MASTER '!$A$6:$D$20,2,FALSE)</f>
        <v>Parts &amp; Accessories Of Motor Vehicles Other</v>
      </c>
      <c r="U312" s="201" t="str">
        <f>VLOOKUP(S312,'SALE HSN MASTER '!$A$6:$D$20,3,FALSE)</f>
        <v>NOS-NUMBERS</v>
      </c>
      <c r="V312" s="201" t="str">
        <f>VLOOKUP(S312,'SALE HSN MASTER '!$A$6:$D$20,4,FALSE)</f>
        <v>Goods</v>
      </c>
      <c r="W312" s="401">
        <v>408</v>
      </c>
    </row>
    <row r="313" spans="1:23" ht="14.4" x14ac:dyDescent="0.3">
      <c r="A313" s="423" t="s">
        <v>28</v>
      </c>
      <c r="B313" s="199" t="str">
        <f>VLOOKUP(A313,'SALE PARTY MASTR '!$B$5:$G$280,2,FALSE)</f>
        <v>Lumax Auto Technologies Ltd.</v>
      </c>
      <c r="C313" s="397" t="s">
        <v>1286</v>
      </c>
      <c r="D313" s="398">
        <v>43155</v>
      </c>
      <c r="E313" s="320">
        <f t="shared" si="21"/>
        <v>15673.845599999999</v>
      </c>
      <c r="F313" s="321" t="str">
        <f>VLOOKUP(A313,'SALE PARTY MASTR '!$B$5:$I$105,3,FALSE)</f>
        <v>27-Maharashatra</v>
      </c>
      <c r="G313" s="321" t="str">
        <f>VLOOKUP(A313,'SALE PARTY MASTR '!$B$5:$I$105,4,FALSE)</f>
        <v>N</v>
      </c>
      <c r="H313" s="321" t="str">
        <f>VLOOKUP(A313,'SALE PARTY MASTR '!$B$5:$I$105,5,FALSE)</f>
        <v>Regular</v>
      </c>
      <c r="I313" s="321">
        <f>VLOOKUP(A313,'SALE PARTY MASTR '!$B$5:$I$105,6,FALSE)</f>
        <v>0</v>
      </c>
      <c r="J313" s="262">
        <f>VLOOKUP(S313,'SALE HSN MASTER '!$A$6:$E$20,5,FALSE)</f>
        <v>18</v>
      </c>
      <c r="K313" s="400">
        <v>13282.92</v>
      </c>
      <c r="L313" s="184"/>
      <c r="M313" s="322">
        <f t="shared" si="22"/>
        <v>0</v>
      </c>
      <c r="N313" s="322">
        <f t="shared" si="19"/>
        <v>1195.4628</v>
      </c>
      <c r="O313" s="322">
        <f t="shared" si="20"/>
        <v>1195.4628</v>
      </c>
      <c r="P313" s="199">
        <f>VLOOKUP(A313,'SALE PARTY MASTR '!$B$5:$I$105,7,FALSE)</f>
        <v>2</v>
      </c>
      <c r="Q313" s="199" t="str">
        <f>VLOOKUP(A313,'SALE PARTY MASTR '!$B$5:$I$105,8,FALSE)</f>
        <v>Local Sale</v>
      </c>
      <c r="R313" s="199" t="s">
        <v>894</v>
      </c>
      <c r="S313" s="401">
        <v>85129000</v>
      </c>
      <c r="T313" s="201" t="str">
        <f>VLOOKUP(S313,'SALE HSN MASTER '!$A$6:$D$20,2,FALSE)</f>
        <v>Parts &amp; Accessories Of Motor Vehicles Other</v>
      </c>
      <c r="U313" s="201" t="str">
        <f>VLOOKUP(S313,'SALE HSN MASTER '!$A$6:$D$20,3,FALSE)</f>
        <v>NOS-NUMBERS</v>
      </c>
      <c r="V313" s="201" t="str">
        <f>VLOOKUP(S313,'SALE HSN MASTER '!$A$6:$D$20,4,FALSE)</f>
        <v>Goods</v>
      </c>
      <c r="W313" s="401">
        <v>108</v>
      </c>
    </row>
    <row r="314" spans="1:23" ht="14.4" x14ac:dyDescent="0.3">
      <c r="A314" s="423" t="s">
        <v>23</v>
      </c>
      <c r="B314" s="199" t="str">
        <f>VLOOKUP(A314,'SALE PARTY MASTR '!$B$5:$G$280,2,FALSE)</f>
        <v>Varroc Polymers Pvt.ltd.</v>
      </c>
      <c r="C314" s="397" t="s">
        <v>1287</v>
      </c>
      <c r="D314" s="398">
        <v>43155</v>
      </c>
      <c r="E314" s="320">
        <f t="shared" si="21"/>
        <v>28855.756799999999</v>
      </c>
      <c r="F314" s="321" t="str">
        <f>VLOOKUP(A314,'SALE PARTY MASTR '!$B$5:$I$105,3,FALSE)</f>
        <v>27-Maharashatra</v>
      </c>
      <c r="G314" s="321" t="str">
        <f>VLOOKUP(A314,'SALE PARTY MASTR '!$B$5:$I$105,4,FALSE)</f>
        <v>N</v>
      </c>
      <c r="H314" s="321" t="str">
        <f>VLOOKUP(A314,'SALE PARTY MASTR '!$B$5:$I$105,5,FALSE)</f>
        <v>Regular</v>
      </c>
      <c r="I314" s="321">
        <f>VLOOKUP(A314,'SALE PARTY MASTR '!$B$5:$I$105,6,FALSE)</f>
        <v>0</v>
      </c>
      <c r="J314" s="262">
        <f>VLOOKUP(S314,'SALE HSN MASTER '!$A$6:$E$20,5,FALSE)</f>
        <v>28</v>
      </c>
      <c r="K314" s="400">
        <v>22543.56</v>
      </c>
      <c r="L314" s="184"/>
      <c r="M314" s="322">
        <f t="shared" si="22"/>
        <v>0</v>
      </c>
      <c r="N314" s="322">
        <f t="shared" si="19"/>
        <v>3156.0984000000003</v>
      </c>
      <c r="O314" s="322">
        <f t="shared" si="20"/>
        <v>3156.0984000000003</v>
      </c>
      <c r="P314" s="199">
        <f>VLOOKUP(A314,'SALE PARTY MASTR '!$B$5:$I$105,7,FALSE)</f>
        <v>2</v>
      </c>
      <c r="Q314" s="199" t="str">
        <f>VLOOKUP(A314,'SALE PARTY MASTR '!$B$5:$I$105,8,FALSE)</f>
        <v>Local Sale</v>
      </c>
      <c r="R314" s="199" t="s">
        <v>897</v>
      </c>
      <c r="S314" s="401">
        <v>87081090</v>
      </c>
      <c r="T314" s="201" t="str">
        <f>VLOOKUP(S314,'SALE HSN MASTER '!$A$6:$D$20,2,FALSE)</f>
        <v>Parts &amp; Accessories Of Motor Vehicles Other</v>
      </c>
      <c r="U314" s="201" t="str">
        <f>VLOOKUP(S314,'SALE HSN MASTER '!$A$6:$D$20,3,FALSE)</f>
        <v>NOS-NUMBERS</v>
      </c>
      <c r="V314" s="201" t="str">
        <f>VLOOKUP(S314,'SALE HSN MASTER '!$A$6:$D$20,4,FALSE)</f>
        <v>Goods</v>
      </c>
      <c r="W314" s="401">
        <v>312</v>
      </c>
    </row>
    <row r="315" spans="1:23" ht="14.4" x14ac:dyDescent="0.3">
      <c r="A315" s="423" t="s">
        <v>27</v>
      </c>
      <c r="B315" s="199" t="str">
        <f>VLOOKUP(A315,'SALE PARTY MASTR '!$B$5:$G$280,2,FALSE)</f>
        <v>Rinder India Pvt Ltd.</v>
      </c>
      <c r="C315" s="397" t="s">
        <v>1288</v>
      </c>
      <c r="D315" s="398">
        <v>43155</v>
      </c>
      <c r="E315" s="320">
        <f t="shared" si="21"/>
        <v>28320</v>
      </c>
      <c r="F315" s="321" t="str">
        <f>VLOOKUP(A315,'SALE PARTY MASTR '!$B$5:$I$105,3,FALSE)</f>
        <v>27-Maharashatra</v>
      </c>
      <c r="G315" s="321" t="str">
        <f>VLOOKUP(A315,'SALE PARTY MASTR '!$B$5:$I$105,4,FALSE)</f>
        <v>N</v>
      </c>
      <c r="H315" s="321" t="str">
        <f>VLOOKUP(A315,'SALE PARTY MASTR '!$B$5:$I$105,5,FALSE)</f>
        <v>Regular</v>
      </c>
      <c r="I315" s="321">
        <f>VLOOKUP(A315,'SALE PARTY MASTR '!$B$5:$I$105,6,FALSE)</f>
        <v>0</v>
      </c>
      <c r="J315" s="262">
        <f>VLOOKUP(S315,'SALE HSN MASTER '!$A$6:$E$20,5,FALSE)</f>
        <v>18</v>
      </c>
      <c r="K315" s="400">
        <v>24000</v>
      </c>
      <c r="L315" s="184"/>
      <c r="M315" s="322">
        <f t="shared" si="22"/>
        <v>0</v>
      </c>
      <c r="N315" s="322">
        <f t="shared" si="19"/>
        <v>2160</v>
      </c>
      <c r="O315" s="322">
        <f t="shared" si="20"/>
        <v>2160</v>
      </c>
      <c r="P315" s="199">
        <f>VLOOKUP(A315,'SALE PARTY MASTR '!$B$5:$I$105,7,FALSE)</f>
        <v>2</v>
      </c>
      <c r="Q315" s="199" t="str">
        <f>VLOOKUP(A315,'SALE PARTY MASTR '!$B$5:$I$105,8,FALSE)</f>
        <v>Local Sale</v>
      </c>
      <c r="R315" s="199" t="s">
        <v>894</v>
      </c>
      <c r="S315" s="401">
        <v>85129000</v>
      </c>
      <c r="T315" s="201" t="str">
        <f>VLOOKUP(S315,'SALE HSN MASTER '!$A$6:$D$20,2,FALSE)</f>
        <v>Parts &amp; Accessories Of Motor Vehicles Other</v>
      </c>
      <c r="U315" s="201" t="str">
        <f>VLOOKUP(S315,'SALE HSN MASTER '!$A$6:$D$20,3,FALSE)</f>
        <v>NOS-NUMBERS</v>
      </c>
      <c r="V315" s="201" t="str">
        <f>VLOOKUP(S315,'SALE HSN MASTER '!$A$6:$D$20,4,FALSE)</f>
        <v>Goods</v>
      </c>
      <c r="W315" s="401">
        <v>960</v>
      </c>
    </row>
    <row r="316" spans="1:23" ht="14.4" x14ac:dyDescent="0.3">
      <c r="A316" s="423" t="s">
        <v>31</v>
      </c>
      <c r="B316" s="199" t="str">
        <f>VLOOKUP(A316,'SALE PARTY MASTR '!$B$5:$G$280,2,FALSE)</f>
        <v>Mittal Precision Auto Comps Pvt Ltd,</v>
      </c>
      <c r="C316" s="397" t="s">
        <v>1289</v>
      </c>
      <c r="D316" s="398">
        <v>43155</v>
      </c>
      <c r="E316" s="320">
        <f t="shared" si="21"/>
        <v>6811.243199999999</v>
      </c>
      <c r="F316" s="321" t="str">
        <f>VLOOKUP(A316,'SALE PARTY MASTR '!$B$5:$I$105,3,FALSE)</f>
        <v>27-Maharashatra</v>
      </c>
      <c r="G316" s="321" t="str">
        <f>VLOOKUP(A316,'SALE PARTY MASTR '!$B$5:$I$105,4,FALSE)</f>
        <v>N</v>
      </c>
      <c r="H316" s="321" t="str">
        <f>VLOOKUP(A316,'SALE PARTY MASTR '!$B$5:$I$105,5,FALSE)</f>
        <v>Regular</v>
      </c>
      <c r="I316" s="321">
        <f>VLOOKUP(A316,'SALE PARTY MASTR '!$B$5:$I$105,6,FALSE)</f>
        <v>0</v>
      </c>
      <c r="J316" s="262">
        <f>VLOOKUP(S316,'SALE HSN MASTER '!$A$6:$E$20,5,FALSE)</f>
        <v>18</v>
      </c>
      <c r="K316" s="400">
        <v>5772.24</v>
      </c>
      <c r="L316" s="184"/>
      <c r="M316" s="322">
        <f t="shared" si="22"/>
        <v>0</v>
      </c>
      <c r="N316" s="322">
        <f t="shared" si="19"/>
        <v>519.50159999999994</v>
      </c>
      <c r="O316" s="322">
        <f t="shared" si="20"/>
        <v>519.50159999999994</v>
      </c>
      <c r="P316" s="199">
        <f>VLOOKUP(A316,'SALE PARTY MASTR '!$B$5:$I$105,7,FALSE)</f>
        <v>2</v>
      </c>
      <c r="Q316" s="199" t="str">
        <f>VLOOKUP(A316,'SALE PARTY MASTR '!$B$5:$I$105,8,FALSE)</f>
        <v>Local Sale</v>
      </c>
      <c r="R316" s="199" t="s">
        <v>894</v>
      </c>
      <c r="S316" s="401">
        <v>998898</v>
      </c>
      <c r="T316" s="201" t="str">
        <f>VLOOKUP(S316,'SALE HSN MASTER '!$A$6:$D$20,2,FALSE)</f>
        <v>Parts &amp; Accessories Of Motor Vehicles Other</v>
      </c>
      <c r="U316" s="201" t="str">
        <f>VLOOKUP(S316,'SALE HSN MASTER '!$A$6:$D$20,3,FALSE)</f>
        <v>NOS-NUMBERS</v>
      </c>
      <c r="V316" s="201" t="str">
        <f>VLOOKUP(S316,'SALE HSN MASTER '!$A$6:$D$20,4,FALSE)</f>
        <v>Service</v>
      </c>
      <c r="W316" s="401">
        <v>12</v>
      </c>
    </row>
    <row r="317" spans="1:23" ht="14.4" x14ac:dyDescent="0.3">
      <c r="A317" s="423" t="s">
        <v>32</v>
      </c>
      <c r="B317" s="199" t="str">
        <f>VLOOKUP(A317,'SALE PARTY MASTR '!$B$5:$G$280,2,FALSE)</f>
        <v>Pricol Ltd (Formerly Pricol Pune Ltd)</v>
      </c>
      <c r="C317" s="397" t="s">
        <v>1290</v>
      </c>
      <c r="D317" s="398">
        <v>43155</v>
      </c>
      <c r="E317" s="320">
        <f t="shared" si="21"/>
        <v>48236.800000000003</v>
      </c>
      <c r="F317" s="321" t="str">
        <f>VLOOKUP(A317,'SALE PARTY MASTR '!$B$5:$I$105,3,FALSE)</f>
        <v>27-Maharashatra</v>
      </c>
      <c r="G317" s="321" t="str">
        <f>VLOOKUP(A317,'SALE PARTY MASTR '!$B$5:$I$105,4,FALSE)</f>
        <v>N</v>
      </c>
      <c r="H317" s="321" t="str">
        <f>VLOOKUP(A317,'SALE PARTY MASTR '!$B$5:$I$105,5,FALSE)</f>
        <v>Regular</v>
      </c>
      <c r="I317" s="321">
        <f>VLOOKUP(A317,'SALE PARTY MASTR '!$B$5:$I$105,6,FALSE)</f>
        <v>0</v>
      </c>
      <c r="J317" s="262">
        <f>VLOOKUP(S317,'SALE HSN MASTER '!$A$6:$E$20,5,FALSE)</f>
        <v>28</v>
      </c>
      <c r="K317" s="400">
        <v>37685</v>
      </c>
      <c r="L317" s="184"/>
      <c r="M317" s="322">
        <f t="shared" si="22"/>
        <v>0</v>
      </c>
      <c r="N317" s="322">
        <f t="shared" si="19"/>
        <v>5275.9000000000005</v>
      </c>
      <c r="O317" s="322">
        <f t="shared" si="20"/>
        <v>5275.9000000000005</v>
      </c>
      <c r="P317" s="199">
        <f>VLOOKUP(A317,'SALE PARTY MASTR '!$B$5:$I$105,7,FALSE)</f>
        <v>2</v>
      </c>
      <c r="Q317" s="199" t="str">
        <f>VLOOKUP(A317,'SALE PARTY MASTR '!$B$5:$I$105,8,FALSE)</f>
        <v>Local Sale</v>
      </c>
      <c r="R317" s="199" t="s">
        <v>897</v>
      </c>
      <c r="S317" s="401">
        <v>87141090</v>
      </c>
      <c r="T317" s="201" t="str">
        <f>VLOOKUP(S317,'SALE HSN MASTER '!$A$6:$D$20,2,FALSE)</f>
        <v>Parts &amp; Accessories Of Motor Vehicles Other</v>
      </c>
      <c r="U317" s="201" t="str">
        <f>VLOOKUP(S317,'SALE HSN MASTER '!$A$6:$D$20,3,FALSE)</f>
        <v>NOS-NUMBERS</v>
      </c>
      <c r="V317" s="201" t="str">
        <f>VLOOKUP(S317,'SALE HSN MASTER '!$A$6:$D$20,4,FALSE)</f>
        <v>Goods</v>
      </c>
      <c r="W317" s="401">
        <v>500</v>
      </c>
    </row>
    <row r="318" spans="1:23" ht="14.4" x14ac:dyDescent="0.3">
      <c r="A318" s="423" t="s">
        <v>28</v>
      </c>
      <c r="B318" s="199" t="str">
        <f>VLOOKUP(A318,'SALE PARTY MASTR '!$B$5:$G$280,2,FALSE)</f>
        <v>Lumax Auto Technologies Ltd.</v>
      </c>
      <c r="C318" s="397" t="s">
        <v>1291</v>
      </c>
      <c r="D318" s="398">
        <v>43155</v>
      </c>
      <c r="E318" s="320">
        <f t="shared" si="21"/>
        <v>47021.536800000009</v>
      </c>
      <c r="F318" s="321" t="str">
        <f>VLOOKUP(A318,'SALE PARTY MASTR '!$B$5:$I$105,3,FALSE)</f>
        <v>27-Maharashatra</v>
      </c>
      <c r="G318" s="321" t="str">
        <f>VLOOKUP(A318,'SALE PARTY MASTR '!$B$5:$I$105,4,FALSE)</f>
        <v>N</v>
      </c>
      <c r="H318" s="321" t="str">
        <f>VLOOKUP(A318,'SALE PARTY MASTR '!$B$5:$I$105,5,FALSE)</f>
        <v>Regular</v>
      </c>
      <c r="I318" s="321">
        <f>VLOOKUP(A318,'SALE PARTY MASTR '!$B$5:$I$105,6,FALSE)</f>
        <v>0</v>
      </c>
      <c r="J318" s="262">
        <f>VLOOKUP(S318,'SALE HSN MASTER '!$A$6:$E$20,5,FALSE)</f>
        <v>18</v>
      </c>
      <c r="K318" s="400">
        <v>39848.76</v>
      </c>
      <c r="L318" s="184"/>
      <c r="M318" s="322">
        <f t="shared" si="22"/>
        <v>0</v>
      </c>
      <c r="N318" s="322">
        <f t="shared" si="19"/>
        <v>3586.3884000000003</v>
      </c>
      <c r="O318" s="322">
        <f t="shared" si="20"/>
        <v>3586.3884000000003</v>
      </c>
      <c r="P318" s="199">
        <f>VLOOKUP(A318,'SALE PARTY MASTR '!$B$5:$I$105,7,FALSE)</f>
        <v>2</v>
      </c>
      <c r="Q318" s="199" t="str">
        <f>VLOOKUP(A318,'SALE PARTY MASTR '!$B$5:$I$105,8,FALSE)</f>
        <v>Local Sale</v>
      </c>
      <c r="R318" s="199" t="s">
        <v>894</v>
      </c>
      <c r="S318" s="401">
        <v>85129000</v>
      </c>
      <c r="T318" s="201" t="str">
        <f>VLOOKUP(S318,'SALE HSN MASTER '!$A$6:$D$20,2,FALSE)</f>
        <v>Parts &amp; Accessories Of Motor Vehicles Other</v>
      </c>
      <c r="U318" s="201" t="str">
        <f>VLOOKUP(S318,'SALE HSN MASTER '!$A$6:$D$20,3,FALSE)</f>
        <v>NOS-NUMBERS</v>
      </c>
      <c r="V318" s="201" t="str">
        <f>VLOOKUP(S318,'SALE HSN MASTER '!$A$6:$D$20,4,FALSE)</f>
        <v>Goods</v>
      </c>
      <c r="W318" s="401">
        <v>324</v>
      </c>
    </row>
    <row r="319" spans="1:23" ht="14.4" x14ac:dyDescent="0.3">
      <c r="A319" s="423" t="s">
        <v>23</v>
      </c>
      <c r="B319" s="199" t="str">
        <f>VLOOKUP(A319,'SALE PARTY MASTR '!$B$5:$G$280,2,FALSE)</f>
        <v>Varroc Polymers Pvt.ltd.</v>
      </c>
      <c r="C319" s="397" t="s">
        <v>1292</v>
      </c>
      <c r="D319" s="398">
        <v>43155</v>
      </c>
      <c r="E319" s="320">
        <f t="shared" si="21"/>
        <v>31651.199999999997</v>
      </c>
      <c r="F319" s="321" t="str">
        <f>VLOOKUP(A319,'SALE PARTY MASTR '!$B$5:$I$105,3,FALSE)</f>
        <v>27-Maharashatra</v>
      </c>
      <c r="G319" s="321" t="str">
        <f>VLOOKUP(A319,'SALE PARTY MASTR '!$B$5:$I$105,4,FALSE)</f>
        <v>N</v>
      </c>
      <c r="H319" s="321" t="str">
        <f>VLOOKUP(A319,'SALE PARTY MASTR '!$B$5:$I$105,5,FALSE)</f>
        <v>Regular</v>
      </c>
      <c r="I319" s="321">
        <f>VLOOKUP(A319,'SALE PARTY MASTR '!$B$5:$I$105,6,FALSE)</f>
        <v>0</v>
      </c>
      <c r="J319" s="262">
        <f>VLOOKUP(S319,'SALE HSN MASTER '!$A$6:$E$20,5,FALSE)</f>
        <v>28</v>
      </c>
      <c r="K319" s="400">
        <v>24727.5</v>
      </c>
      <c r="L319" s="184"/>
      <c r="M319" s="322">
        <f t="shared" si="22"/>
        <v>0</v>
      </c>
      <c r="N319" s="322">
        <f t="shared" si="19"/>
        <v>3461.8500000000004</v>
      </c>
      <c r="O319" s="322">
        <f t="shared" si="20"/>
        <v>3461.8500000000004</v>
      </c>
      <c r="P319" s="199">
        <f>VLOOKUP(A319,'SALE PARTY MASTR '!$B$5:$I$105,7,FALSE)</f>
        <v>2</v>
      </c>
      <c r="Q319" s="199" t="str">
        <f>VLOOKUP(A319,'SALE PARTY MASTR '!$B$5:$I$105,8,FALSE)</f>
        <v>Local Sale</v>
      </c>
      <c r="R319" s="199" t="s">
        <v>897</v>
      </c>
      <c r="S319" s="401">
        <v>87081090</v>
      </c>
      <c r="T319" s="201" t="str">
        <f>VLOOKUP(S319,'SALE HSN MASTER '!$A$6:$D$20,2,FALSE)</f>
        <v>Parts &amp; Accessories Of Motor Vehicles Other</v>
      </c>
      <c r="U319" s="201" t="str">
        <f>VLOOKUP(S319,'SALE HSN MASTER '!$A$6:$D$20,3,FALSE)</f>
        <v>NOS-NUMBERS</v>
      </c>
      <c r="V319" s="201" t="str">
        <f>VLOOKUP(S319,'SALE HSN MASTER '!$A$6:$D$20,4,FALSE)</f>
        <v>Goods</v>
      </c>
      <c r="W319" s="401">
        <v>300</v>
      </c>
    </row>
    <row r="320" spans="1:23" ht="14.4" x14ac:dyDescent="0.3">
      <c r="A320" s="423" t="s">
        <v>23</v>
      </c>
      <c r="B320" s="199" t="str">
        <f>VLOOKUP(A320,'SALE PARTY MASTR '!$B$5:$G$280,2,FALSE)</f>
        <v>Varroc Polymers Pvt.ltd.</v>
      </c>
      <c r="C320" s="397" t="s">
        <v>1293</v>
      </c>
      <c r="D320" s="398">
        <v>43155</v>
      </c>
      <c r="E320" s="320">
        <f t="shared" si="21"/>
        <v>10828.8</v>
      </c>
      <c r="F320" s="321" t="str">
        <f>VLOOKUP(A320,'SALE PARTY MASTR '!$B$5:$I$105,3,FALSE)</f>
        <v>27-Maharashatra</v>
      </c>
      <c r="G320" s="321" t="str">
        <f>VLOOKUP(A320,'SALE PARTY MASTR '!$B$5:$I$105,4,FALSE)</f>
        <v>N</v>
      </c>
      <c r="H320" s="321" t="str">
        <f>VLOOKUP(A320,'SALE PARTY MASTR '!$B$5:$I$105,5,FALSE)</f>
        <v>Regular</v>
      </c>
      <c r="I320" s="321">
        <f>VLOOKUP(A320,'SALE PARTY MASTR '!$B$5:$I$105,6,FALSE)</f>
        <v>0</v>
      </c>
      <c r="J320" s="262">
        <f>VLOOKUP(S320,'SALE HSN MASTER '!$A$6:$E$20,5,FALSE)</f>
        <v>28</v>
      </c>
      <c r="K320" s="400">
        <v>8460</v>
      </c>
      <c r="L320" s="184"/>
      <c r="M320" s="322">
        <f t="shared" si="22"/>
        <v>0</v>
      </c>
      <c r="N320" s="322">
        <f t="shared" si="19"/>
        <v>1184.4000000000001</v>
      </c>
      <c r="O320" s="322">
        <f t="shared" si="20"/>
        <v>1184.4000000000001</v>
      </c>
      <c r="P320" s="199">
        <f>VLOOKUP(A320,'SALE PARTY MASTR '!$B$5:$I$105,7,FALSE)</f>
        <v>2</v>
      </c>
      <c r="Q320" s="199" t="str">
        <f>VLOOKUP(A320,'SALE PARTY MASTR '!$B$5:$I$105,8,FALSE)</f>
        <v>Local Sale</v>
      </c>
      <c r="R320" s="199" t="s">
        <v>897</v>
      </c>
      <c r="S320" s="401">
        <v>87141090</v>
      </c>
      <c r="T320" s="201" t="str">
        <f>VLOOKUP(S320,'SALE HSN MASTER '!$A$6:$D$20,2,FALSE)</f>
        <v>Parts &amp; Accessories Of Motor Vehicles Other</v>
      </c>
      <c r="U320" s="201" t="str">
        <f>VLOOKUP(S320,'SALE HSN MASTER '!$A$6:$D$20,3,FALSE)</f>
        <v>NOS-NUMBERS</v>
      </c>
      <c r="V320" s="201" t="str">
        <f>VLOOKUP(S320,'SALE HSN MASTER '!$A$6:$D$20,4,FALSE)</f>
        <v>Goods</v>
      </c>
      <c r="W320" s="401">
        <v>240</v>
      </c>
    </row>
    <row r="321" spans="1:23" ht="14.4" x14ac:dyDescent="0.3">
      <c r="A321" s="423" t="s">
        <v>23</v>
      </c>
      <c r="B321" s="199" t="str">
        <f>VLOOKUP(A321,'SALE PARTY MASTR '!$B$5:$G$280,2,FALSE)</f>
        <v>Varroc Polymers Pvt.ltd.</v>
      </c>
      <c r="C321" s="397" t="s">
        <v>1294</v>
      </c>
      <c r="D321" s="398">
        <v>43155</v>
      </c>
      <c r="E321" s="320">
        <f t="shared" si="21"/>
        <v>12660.48</v>
      </c>
      <c r="F321" s="321" t="str">
        <f>VLOOKUP(A321,'SALE PARTY MASTR '!$B$5:$I$105,3,FALSE)</f>
        <v>27-Maharashatra</v>
      </c>
      <c r="G321" s="321" t="str">
        <f>VLOOKUP(A321,'SALE PARTY MASTR '!$B$5:$I$105,4,FALSE)</f>
        <v>N</v>
      </c>
      <c r="H321" s="321" t="str">
        <f>VLOOKUP(A321,'SALE PARTY MASTR '!$B$5:$I$105,5,FALSE)</f>
        <v>Regular</v>
      </c>
      <c r="I321" s="321">
        <f>VLOOKUP(A321,'SALE PARTY MASTR '!$B$5:$I$105,6,FALSE)</f>
        <v>0</v>
      </c>
      <c r="J321" s="262">
        <f>VLOOKUP(S321,'SALE HSN MASTER '!$A$6:$E$20,5,FALSE)</f>
        <v>28</v>
      </c>
      <c r="K321" s="400">
        <v>9891</v>
      </c>
      <c r="L321" s="184"/>
      <c r="M321" s="322">
        <f t="shared" si="22"/>
        <v>0</v>
      </c>
      <c r="N321" s="322">
        <f t="shared" si="19"/>
        <v>1384.7400000000002</v>
      </c>
      <c r="O321" s="322">
        <f t="shared" si="20"/>
        <v>1384.7400000000002</v>
      </c>
      <c r="P321" s="199">
        <f>VLOOKUP(A321,'SALE PARTY MASTR '!$B$5:$I$105,7,FALSE)</f>
        <v>2</v>
      </c>
      <c r="Q321" s="199" t="str">
        <f>VLOOKUP(A321,'SALE PARTY MASTR '!$B$5:$I$105,8,FALSE)</f>
        <v>Local Sale</v>
      </c>
      <c r="R321" s="199" t="s">
        <v>897</v>
      </c>
      <c r="S321" s="401">
        <v>87081090</v>
      </c>
      <c r="T321" s="201" t="str">
        <f>VLOOKUP(S321,'SALE HSN MASTER '!$A$6:$D$20,2,FALSE)</f>
        <v>Parts &amp; Accessories Of Motor Vehicles Other</v>
      </c>
      <c r="U321" s="201" t="str">
        <f>VLOOKUP(S321,'SALE HSN MASTER '!$A$6:$D$20,3,FALSE)</f>
        <v>NOS-NUMBERS</v>
      </c>
      <c r="V321" s="201" t="str">
        <f>VLOOKUP(S321,'SALE HSN MASTER '!$A$6:$D$20,4,FALSE)</f>
        <v>Goods</v>
      </c>
      <c r="W321" s="401">
        <v>120</v>
      </c>
    </row>
    <row r="322" spans="1:23" ht="14.4" x14ac:dyDescent="0.3">
      <c r="A322" s="423" t="s">
        <v>23</v>
      </c>
      <c r="B322" s="199" t="str">
        <f>VLOOKUP(A322,'SALE PARTY MASTR '!$B$5:$G$280,2,FALSE)</f>
        <v>Varroc Polymers Pvt.ltd.</v>
      </c>
      <c r="C322" s="397" t="s">
        <v>1295</v>
      </c>
      <c r="D322" s="398">
        <v>43155</v>
      </c>
      <c r="E322" s="320">
        <f t="shared" si="21"/>
        <v>20350.208000000002</v>
      </c>
      <c r="F322" s="321" t="str">
        <f>VLOOKUP(A322,'SALE PARTY MASTR '!$B$5:$I$105,3,FALSE)</f>
        <v>27-Maharashatra</v>
      </c>
      <c r="G322" s="321" t="str">
        <f>VLOOKUP(A322,'SALE PARTY MASTR '!$B$5:$I$105,4,FALSE)</f>
        <v>N</v>
      </c>
      <c r="H322" s="321" t="str">
        <f>VLOOKUP(A322,'SALE PARTY MASTR '!$B$5:$I$105,5,FALSE)</f>
        <v>Regular</v>
      </c>
      <c r="I322" s="321">
        <f>VLOOKUP(A322,'SALE PARTY MASTR '!$B$5:$I$105,6,FALSE)</f>
        <v>0</v>
      </c>
      <c r="J322" s="262">
        <f>VLOOKUP(S322,'SALE HSN MASTER '!$A$6:$E$20,5,FALSE)</f>
        <v>28</v>
      </c>
      <c r="K322" s="400">
        <v>15898.6</v>
      </c>
      <c r="L322" s="184"/>
      <c r="M322" s="322">
        <f t="shared" si="22"/>
        <v>0</v>
      </c>
      <c r="N322" s="322">
        <f t="shared" si="19"/>
        <v>2225.8040000000001</v>
      </c>
      <c r="O322" s="322">
        <f t="shared" si="20"/>
        <v>2225.8040000000001</v>
      </c>
      <c r="P322" s="199">
        <f>VLOOKUP(A322,'SALE PARTY MASTR '!$B$5:$I$105,7,FALSE)</f>
        <v>2</v>
      </c>
      <c r="Q322" s="199" t="str">
        <f>VLOOKUP(A322,'SALE PARTY MASTR '!$B$5:$I$105,8,FALSE)</f>
        <v>Local Sale</v>
      </c>
      <c r="R322" s="199" t="s">
        <v>897</v>
      </c>
      <c r="S322" s="401">
        <v>87081090</v>
      </c>
      <c r="T322" s="201" t="str">
        <f>VLOOKUP(S322,'SALE HSN MASTER '!$A$6:$D$20,2,FALSE)</f>
        <v>Parts &amp; Accessories Of Motor Vehicles Other</v>
      </c>
      <c r="U322" s="201" t="str">
        <f>VLOOKUP(S322,'SALE HSN MASTER '!$A$6:$D$20,3,FALSE)</f>
        <v>NOS-NUMBERS</v>
      </c>
      <c r="V322" s="201" t="str">
        <f>VLOOKUP(S322,'SALE HSN MASTER '!$A$6:$D$20,4,FALSE)</f>
        <v>Goods</v>
      </c>
      <c r="W322" s="401">
        <v>220</v>
      </c>
    </row>
    <row r="323" spans="1:23" ht="14.4" x14ac:dyDescent="0.3">
      <c r="A323" s="423" t="s">
        <v>26</v>
      </c>
      <c r="B323" s="199" t="str">
        <f>VLOOKUP(A323,'SALE PARTY MASTR '!$B$5:$G$280,2,FALSE)</f>
        <v>Lumax Ancillary Limited.</v>
      </c>
      <c r="C323" s="397" t="s">
        <v>1296</v>
      </c>
      <c r="D323" s="398">
        <v>43155</v>
      </c>
      <c r="E323" s="320">
        <f t="shared" si="21"/>
        <v>18086.400000000001</v>
      </c>
      <c r="F323" s="321" t="str">
        <f>VLOOKUP(A323,'SALE PARTY MASTR '!$B$5:$I$105,3,FALSE)</f>
        <v>27-Maharashatra</v>
      </c>
      <c r="G323" s="321" t="str">
        <f>VLOOKUP(A323,'SALE PARTY MASTR '!$B$5:$I$105,4,FALSE)</f>
        <v>N</v>
      </c>
      <c r="H323" s="321" t="str">
        <f>VLOOKUP(A323,'SALE PARTY MASTR '!$B$5:$I$105,5,FALSE)</f>
        <v>Regular</v>
      </c>
      <c r="I323" s="321">
        <f>VLOOKUP(A323,'SALE PARTY MASTR '!$B$5:$I$105,6,FALSE)</f>
        <v>0</v>
      </c>
      <c r="J323" s="262">
        <f>VLOOKUP(S323,'SALE HSN MASTER '!$A$6:$E$20,5,FALSE)</f>
        <v>28</v>
      </c>
      <c r="K323" s="400">
        <v>14130</v>
      </c>
      <c r="L323" s="184"/>
      <c r="M323" s="322">
        <f t="shared" si="22"/>
        <v>0</v>
      </c>
      <c r="N323" s="322">
        <f t="shared" si="19"/>
        <v>1978.2000000000003</v>
      </c>
      <c r="O323" s="322">
        <f t="shared" si="20"/>
        <v>1978.2000000000003</v>
      </c>
      <c r="P323" s="199">
        <f>VLOOKUP(A323,'SALE PARTY MASTR '!$B$5:$I$105,7,FALSE)</f>
        <v>2</v>
      </c>
      <c r="Q323" s="199" t="str">
        <f>VLOOKUP(A323,'SALE PARTY MASTR '!$B$5:$I$105,8,FALSE)</f>
        <v>Local Sale</v>
      </c>
      <c r="R323" s="199" t="s">
        <v>897</v>
      </c>
      <c r="S323" s="401">
        <v>87141090</v>
      </c>
      <c r="T323" s="201" t="str">
        <f>VLOOKUP(S323,'SALE HSN MASTER '!$A$6:$D$20,2,FALSE)</f>
        <v>Parts &amp; Accessories Of Motor Vehicles Other</v>
      </c>
      <c r="U323" s="201" t="str">
        <f>VLOOKUP(S323,'SALE HSN MASTER '!$A$6:$D$20,3,FALSE)</f>
        <v>NOS-NUMBERS</v>
      </c>
      <c r="V323" s="201" t="str">
        <f>VLOOKUP(S323,'SALE HSN MASTER '!$A$6:$D$20,4,FALSE)</f>
        <v>Goods</v>
      </c>
      <c r="W323" s="401">
        <v>600</v>
      </c>
    </row>
    <row r="324" spans="1:23" ht="14.4" x14ac:dyDescent="0.3">
      <c r="A324" s="423" t="s">
        <v>23</v>
      </c>
      <c r="B324" s="199" t="str">
        <f>VLOOKUP(A324,'SALE PARTY MASTR '!$B$5:$G$280,2,FALSE)</f>
        <v>Varroc Polymers Pvt.ltd.</v>
      </c>
      <c r="C324" s="397" t="s">
        <v>1297</v>
      </c>
      <c r="D324" s="398">
        <v>43156</v>
      </c>
      <c r="E324" s="320">
        <f t="shared" si="21"/>
        <v>25887.232000000004</v>
      </c>
      <c r="F324" s="321" t="str">
        <f>VLOOKUP(A324,'SALE PARTY MASTR '!$B$5:$I$105,3,FALSE)</f>
        <v>27-Maharashatra</v>
      </c>
      <c r="G324" s="321" t="str">
        <f>VLOOKUP(A324,'SALE PARTY MASTR '!$B$5:$I$105,4,FALSE)</f>
        <v>N</v>
      </c>
      <c r="H324" s="321" t="str">
        <f>VLOOKUP(A324,'SALE PARTY MASTR '!$B$5:$I$105,5,FALSE)</f>
        <v>Regular</v>
      </c>
      <c r="I324" s="321">
        <f>VLOOKUP(A324,'SALE PARTY MASTR '!$B$5:$I$105,6,FALSE)</f>
        <v>0</v>
      </c>
      <c r="J324" s="262">
        <f>VLOOKUP(S324,'SALE HSN MASTER '!$A$6:$E$20,5,FALSE)</f>
        <v>28</v>
      </c>
      <c r="K324" s="400">
        <v>20224.400000000001</v>
      </c>
      <c r="L324" s="184"/>
      <c r="M324" s="322">
        <f t="shared" si="22"/>
        <v>0</v>
      </c>
      <c r="N324" s="322">
        <f t="shared" si="19"/>
        <v>2831.4160000000006</v>
      </c>
      <c r="O324" s="322">
        <f t="shared" si="20"/>
        <v>2831.4160000000006</v>
      </c>
      <c r="P324" s="199">
        <f>VLOOKUP(A324,'SALE PARTY MASTR '!$B$5:$I$105,7,FALSE)</f>
        <v>2</v>
      </c>
      <c r="Q324" s="199" t="str">
        <f>VLOOKUP(A324,'SALE PARTY MASTR '!$B$5:$I$105,8,FALSE)</f>
        <v>Local Sale</v>
      </c>
      <c r="R324" s="199" t="s">
        <v>897</v>
      </c>
      <c r="S324" s="401">
        <v>87081090</v>
      </c>
      <c r="T324" s="201" t="str">
        <f>VLOOKUP(S324,'SALE HSN MASTER '!$A$6:$D$20,2,FALSE)</f>
        <v>Parts &amp; Accessories Of Motor Vehicles Other</v>
      </c>
      <c r="U324" s="201" t="str">
        <f>VLOOKUP(S324,'SALE HSN MASTER '!$A$6:$D$20,3,FALSE)</f>
        <v>NOS-NUMBERS</v>
      </c>
      <c r="V324" s="201" t="str">
        <f>VLOOKUP(S324,'SALE HSN MASTER '!$A$6:$D$20,4,FALSE)</f>
        <v>Goods</v>
      </c>
      <c r="W324" s="401">
        <v>280</v>
      </c>
    </row>
    <row r="325" spans="1:23" ht="14.4" x14ac:dyDescent="0.3">
      <c r="A325" s="423" t="s">
        <v>36</v>
      </c>
      <c r="B325" s="199" t="str">
        <f>VLOOKUP(A325,'SALE PARTY MASTR '!$B$5:$G$280,2,FALSE)</f>
        <v>Bamboo India</v>
      </c>
      <c r="C325" s="397" t="s">
        <v>1298</v>
      </c>
      <c r="D325" s="398">
        <v>43156</v>
      </c>
      <c r="E325" s="320">
        <f t="shared" si="21"/>
        <v>3540</v>
      </c>
      <c r="F325" s="321" t="str">
        <f>VLOOKUP(A325,'SALE PARTY MASTR '!$B$5:$I$105,3,FALSE)</f>
        <v>27-Maharashatra</v>
      </c>
      <c r="G325" s="321" t="str">
        <f>VLOOKUP(A325,'SALE PARTY MASTR '!$B$5:$I$105,4,FALSE)</f>
        <v>N</v>
      </c>
      <c r="H325" s="321" t="str">
        <f>VLOOKUP(A325,'SALE PARTY MASTR '!$B$5:$I$105,5,FALSE)</f>
        <v>Regular</v>
      </c>
      <c r="I325" s="321">
        <f>VLOOKUP(A325,'SALE PARTY MASTR '!$B$5:$I$105,6,FALSE)</f>
        <v>0</v>
      </c>
      <c r="J325" s="262">
        <f>VLOOKUP(S325,'SALE HSN MASTER '!$A$6:$E$20,5,FALSE)</f>
        <v>18</v>
      </c>
      <c r="K325" s="400">
        <v>3000</v>
      </c>
      <c r="L325" s="184"/>
      <c r="M325" s="322">
        <f t="shared" si="22"/>
        <v>0</v>
      </c>
      <c r="N325" s="322">
        <f t="shared" si="19"/>
        <v>270</v>
      </c>
      <c r="O325" s="322">
        <f t="shared" si="20"/>
        <v>270</v>
      </c>
      <c r="P325" s="199">
        <f>VLOOKUP(A325,'SALE PARTY MASTR '!$B$5:$I$105,7,FALSE)</f>
        <v>2</v>
      </c>
      <c r="Q325" s="199" t="str">
        <f>VLOOKUP(A325,'SALE PARTY MASTR '!$B$5:$I$105,8,FALSE)</f>
        <v>Local Sale</v>
      </c>
      <c r="R325" s="199" t="s">
        <v>894</v>
      </c>
      <c r="S325" s="401">
        <v>998898</v>
      </c>
      <c r="T325" s="201" t="str">
        <f>VLOOKUP(S325,'SALE HSN MASTER '!$A$6:$D$20,2,FALSE)</f>
        <v>Parts &amp; Accessories Of Motor Vehicles Other</v>
      </c>
      <c r="U325" s="201" t="str">
        <f>VLOOKUP(S325,'SALE HSN MASTER '!$A$6:$D$20,3,FALSE)</f>
        <v>NOS-NUMBERS</v>
      </c>
      <c r="V325" s="201" t="str">
        <f>VLOOKUP(S325,'SALE HSN MASTER '!$A$6:$D$20,4,FALSE)</f>
        <v>Service</v>
      </c>
      <c r="W325" s="401">
        <v>200</v>
      </c>
    </row>
    <row r="326" spans="1:23" ht="14.4" x14ac:dyDescent="0.3">
      <c r="A326" s="423" t="s">
        <v>23</v>
      </c>
      <c r="B326" s="199" t="str">
        <f>VLOOKUP(A326,'SALE PARTY MASTR '!$B$5:$G$280,2,FALSE)</f>
        <v>Varroc Polymers Pvt.ltd.</v>
      </c>
      <c r="C326" s="397" t="s">
        <v>1299</v>
      </c>
      <c r="D326" s="398">
        <v>43156</v>
      </c>
      <c r="E326" s="320">
        <f t="shared" si="21"/>
        <v>16928.511999999999</v>
      </c>
      <c r="F326" s="321" t="str">
        <f>VLOOKUP(A326,'SALE PARTY MASTR '!$B$5:$I$105,3,FALSE)</f>
        <v>27-Maharashatra</v>
      </c>
      <c r="G326" s="321" t="str">
        <f>VLOOKUP(A326,'SALE PARTY MASTR '!$B$5:$I$105,4,FALSE)</f>
        <v>N</v>
      </c>
      <c r="H326" s="321" t="str">
        <f>VLOOKUP(A326,'SALE PARTY MASTR '!$B$5:$I$105,5,FALSE)</f>
        <v>Regular</v>
      </c>
      <c r="I326" s="321">
        <f>VLOOKUP(A326,'SALE PARTY MASTR '!$B$5:$I$105,6,FALSE)</f>
        <v>0</v>
      </c>
      <c r="J326" s="262">
        <f>VLOOKUP(S326,'SALE HSN MASTER '!$A$6:$E$20,5,FALSE)</f>
        <v>28</v>
      </c>
      <c r="K326" s="400">
        <v>13225.4</v>
      </c>
      <c r="L326" s="184"/>
      <c r="M326" s="322">
        <f t="shared" si="22"/>
        <v>0</v>
      </c>
      <c r="N326" s="322">
        <f t="shared" si="19"/>
        <v>1851.556</v>
      </c>
      <c r="O326" s="322">
        <f t="shared" si="20"/>
        <v>1851.556</v>
      </c>
      <c r="P326" s="199">
        <f>VLOOKUP(A326,'SALE PARTY MASTR '!$B$5:$I$105,7,FALSE)</f>
        <v>2</v>
      </c>
      <c r="Q326" s="199" t="str">
        <f>VLOOKUP(A326,'SALE PARTY MASTR '!$B$5:$I$105,8,FALSE)</f>
        <v>Local Sale</v>
      </c>
      <c r="R326" s="199" t="s">
        <v>897</v>
      </c>
      <c r="S326" s="401">
        <v>87081090</v>
      </c>
      <c r="T326" s="201" t="str">
        <f>VLOOKUP(S326,'SALE HSN MASTER '!$A$6:$D$20,2,FALSE)</f>
        <v>Parts &amp; Accessories Of Motor Vehicles Other</v>
      </c>
      <c r="U326" s="201" t="str">
        <f>VLOOKUP(S326,'SALE HSN MASTER '!$A$6:$D$20,3,FALSE)</f>
        <v>NOS-NUMBERS</v>
      </c>
      <c r="V326" s="201" t="str">
        <f>VLOOKUP(S326,'SALE HSN MASTER '!$A$6:$D$20,4,FALSE)</f>
        <v>Goods</v>
      </c>
      <c r="W326" s="401">
        <v>160</v>
      </c>
    </row>
    <row r="327" spans="1:23" ht="14.4" x14ac:dyDescent="0.3">
      <c r="A327" s="423" t="s">
        <v>23</v>
      </c>
      <c r="B327" s="199" t="str">
        <f>VLOOKUP(A327,'SALE PARTY MASTR '!$B$5:$G$280,2,FALSE)</f>
        <v>Varroc Polymers Pvt.ltd.</v>
      </c>
      <c r="C327" s="397" t="s">
        <v>1300</v>
      </c>
      <c r="D327" s="398">
        <v>43156</v>
      </c>
      <c r="E327" s="320">
        <f t="shared" si="21"/>
        <v>24038.143999999997</v>
      </c>
      <c r="F327" s="321" t="str">
        <f>VLOOKUP(A327,'SALE PARTY MASTR '!$B$5:$I$105,3,FALSE)</f>
        <v>27-Maharashatra</v>
      </c>
      <c r="G327" s="321" t="str">
        <f>VLOOKUP(A327,'SALE PARTY MASTR '!$B$5:$I$105,4,FALSE)</f>
        <v>N</v>
      </c>
      <c r="H327" s="321" t="str">
        <f>VLOOKUP(A327,'SALE PARTY MASTR '!$B$5:$I$105,5,FALSE)</f>
        <v>Regular</v>
      </c>
      <c r="I327" s="321">
        <f>VLOOKUP(A327,'SALE PARTY MASTR '!$B$5:$I$105,6,FALSE)</f>
        <v>0</v>
      </c>
      <c r="J327" s="262">
        <f>VLOOKUP(S327,'SALE HSN MASTER '!$A$6:$E$20,5,FALSE)</f>
        <v>28</v>
      </c>
      <c r="K327" s="400">
        <v>18779.8</v>
      </c>
      <c r="L327" s="184"/>
      <c r="M327" s="322">
        <f t="shared" si="22"/>
        <v>0</v>
      </c>
      <c r="N327" s="322">
        <f t="shared" si="19"/>
        <v>2629.172</v>
      </c>
      <c r="O327" s="322">
        <f t="shared" si="20"/>
        <v>2629.172</v>
      </c>
      <c r="P327" s="199">
        <f>VLOOKUP(A327,'SALE PARTY MASTR '!$B$5:$I$105,7,FALSE)</f>
        <v>2</v>
      </c>
      <c r="Q327" s="199" t="str">
        <f>VLOOKUP(A327,'SALE PARTY MASTR '!$B$5:$I$105,8,FALSE)</f>
        <v>Local Sale</v>
      </c>
      <c r="R327" s="199" t="s">
        <v>897</v>
      </c>
      <c r="S327" s="401">
        <v>87081090</v>
      </c>
      <c r="T327" s="201" t="str">
        <f>VLOOKUP(S327,'SALE HSN MASTER '!$A$6:$D$20,2,FALSE)</f>
        <v>Parts &amp; Accessories Of Motor Vehicles Other</v>
      </c>
      <c r="U327" s="201" t="str">
        <f>VLOOKUP(S327,'SALE HSN MASTER '!$A$6:$D$20,3,FALSE)</f>
        <v>NOS-NUMBERS</v>
      </c>
      <c r="V327" s="201" t="str">
        <f>VLOOKUP(S327,'SALE HSN MASTER '!$A$6:$D$20,4,FALSE)</f>
        <v>Goods</v>
      </c>
      <c r="W327" s="401">
        <v>260</v>
      </c>
    </row>
    <row r="328" spans="1:23" ht="14.4" x14ac:dyDescent="0.3">
      <c r="A328" s="423" t="s">
        <v>28</v>
      </c>
      <c r="B328" s="199" t="str">
        <f>VLOOKUP(A328,'SALE PARTY MASTR '!$B$5:$G$280,2,FALSE)</f>
        <v>Lumax Auto Technologies Ltd.</v>
      </c>
      <c r="C328" s="397" t="s">
        <v>1301</v>
      </c>
      <c r="D328" s="398">
        <v>43156</v>
      </c>
      <c r="E328" s="320">
        <f t="shared" si="21"/>
        <v>73144.612800000003</v>
      </c>
      <c r="F328" s="321" t="str">
        <f>VLOOKUP(A328,'SALE PARTY MASTR '!$B$5:$I$105,3,FALSE)</f>
        <v>27-Maharashatra</v>
      </c>
      <c r="G328" s="321" t="str">
        <f>VLOOKUP(A328,'SALE PARTY MASTR '!$B$5:$I$105,4,FALSE)</f>
        <v>N</v>
      </c>
      <c r="H328" s="321" t="str">
        <f>VLOOKUP(A328,'SALE PARTY MASTR '!$B$5:$I$105,5,FALSE)</f>
        <v>Regular</v>
      </c>
      <c r="I328" s="321">
        <f>VLOOKUP(A328,'SALE PARTY MASTR '!$B$5:$I$105,6,FALSE)</f>
        <v>0</v>
      </c>
      <c r="J328" s="262">
        <f>VLOOKUP(S328,'SALE HSN MASTER '!$A$6:$E$20,5,FALSE)</f>
        <v>18</v>
      </c>
      <c r="K328" s="400">
        <v>61986.96</v>
      </c>
      <c r="L328" s="184"/>
      <c r="M328" s="322">
        <f t="shared" si="22"/>
        <v>0</v>
      </c>
      <c r="N328" s="322">
        <f t="shared" si="19"/>
        <v>5578.8263999999999</v>
      </c>
      <c r="O328" s="322">
        <f t="shared" si="20"/>
        <v>5578.8263999999999</v>
      </c>
      <c r="P328" s="199">
        <f>VLOOKUP(A328,'SALE PARTY MASTR '!$B$5:$I$105,7,FALSE)</f>
        <v>2</v>
      </c>
      <c r="Q328" s="199" t="str">
        <f>VLOOKUP(A328,'SALE PARTY MASTR '!$B$5:$I$105,8,FALSE)</f>
        <v>Local Sale</v>
      </c>
      <c r="R328" s="199" t="s">
        <v>894</v>
      </c>
      <c r="S328" s="401">
        <v>85129000</v>
      </c>
      <c r="T328" s="201" t="str">
        <f>VLOOKUP(S328,'SALE HSN MASTER '!$A$6:$D$20,2,FALSE)</f>
        <v>Parts &amp; Accessories Of Motor Vehicles Other</v>
      </c>
      <c r="U328" s="201" t="str">
        <f>VLOOKUP(S328,'SALE HSN MASTER '!$A$6:$D$20,3,FALSE)</f>
        <v>NOS-NUMBERS</v>
      </c>
      <c r="V328" s="201" t="str">
        <f>VLOOKUP(S328,'SALE HSN MASTER '!$A$6:$D$20,4,FALSE)</f>
        <v>Goods</v>
      </c>
      <c r="W328" s="401">
        <v>504</v>
      </c>
    </row>
    <row r="329" spans="1:23" ht="14.4" x14ac:dyDescent="0.3">
      <c r="A329" s="423" t="s">
        <v>24</v>
      </c>
      <c r="B329" s="199" t="str">
        <f>VLOOKUP(A329,'SALE PARTY MASTR '!$B$5:$G$280,2,FALSE)</f>
        <v>Tata Autocomp Systems LTD.(X1)</v>
      </c>
      <c r="C329" s="397" t="s">
        <v>1302</v>
      </c>
      <c r="D329" s="398">
        <v>43157</v>
      </c>
      <c r="E329" s="320">
        <f t="shared" si="21"/>
        <v>48983.296000000002</v>
      </c>
      <c r="F329" s="321" t="str">
        <f>VLOOKUP(A329,'SALE PARTY MASTR '!$B$5:$I$105,3,FALSE)</f>
        <v>27-Maharashatra</v>
      </c>
      <c r="G329" s="321" t="str">
        <f>VLOOKUP(A329,'SALE PARTY MASTR '!$B$5:$I$105,4,FALSE)</f>
        <v>N</v>
      </c>
      <c r="H329" s="321" t="str">
        <f>VLOOKUP(A329,'SALE PARTY MASTR '!$B$5:$I$105,5,FALSE)</f>
        <v>Regular</v>
      </c>
      <c r="I329" s="321">
        <f>VLOOKUP(A329,'SALE PARTY MASTR '!$B$5:$I$105,6,FALSE)</f>
        <v>0</v>
      </c>
      <c r="J329" s="262">
        <f>VLOOKUP(S329,'SALE HSN MASTER '!$A$6:$E$20,5,FALSE)</f>
        <v>28</v>
      </c>
      <c r="K329" s="400">
        <v>38268.199999999997</v>
      </c>
      <c r="L329" s="184"/>
      <c r="M329" s="322">
        <f t="shared" si="22"/>
        <v>0</v>
      </c>
      <c r="N329" s="322">
        <f t="shared" ref="N329:N354" si="23">+IF(P329=1,0,IF(Q329="Local Sale",IF(J329=18,K329*0.09,IF(J329=12,K329*0.06,IF(J329=5,K329*0.025,IF(J329=28,K329*0.14,IF(J329=3,K329*0.015,0))))),0))</f>
        <v>5357.5479999999998</v>
      </c>
      <c r="O329" s="322">
        <f t="shared" ref="O329:O354" si="24">+IF(P329=1,0,IF(Q329="Local Sale",IF(J329=18,K329*0.09,IF(J329=12,K329*0.06,IF(J329=5,K329*0.025,IF(J329=28,K329*0.14,IF(J329=3,K329*0.015,0))))),0))</f>
        <v>5357.5479999999998</v>
      </c>
      <c r="P329" s="199">
        <f>VLOOKUP(A329,'SALE PARTY MASTR '!$B$5:$I$105,7,FALSE)</f>
        <v>2</v>
      </c>
      <c r="Q329" s="199" t="str">
        <f>VLOOKUP(A329,'SALE PARTY MASTR '!$B$5:$I$105,8,FALSE)</f>
        <v>Local Sale</v>
      </c>
      <c r="R329" s="199" t="s">
        <v>897</v>
      </c>
      <c r="S329" s="401">
        <v>87089900</v>
      </c>
      <c r="T329" s="201" t="str">
        <f>VLOOKUP(S329,'SALE HSN MASTER '!$A$6:$D$20,2,FALSE)</f>
        <v>Parts &amp; Accessories Of Motor Vehicles Other</v>
      </c>
      <c r="U329" s="201" t="str">
        <f>VLOOKUP(S329,'SALE HSN MASTER '!$A$6:$D$20,3,FALSE)</f>
        <v>NOS-NUMBERS</v>
      </c>
      <c r="V329" s="201" t="str">
        <f>VLOOKUP(S329,'SALE HSN MASTER '!$A$6:$D$20,4,FALSE)</f>
        <v>Goods</v>
      </c>
      <c r="W329" s="401">
        <v>280</v>
      </c>
    </row>
    <row r="330" spans="1:23" ht="14.4" x14ac:dyDescent="0.3">
      <c r="A330" s="423" t="s">
        <v>23</v>
      </c>
      <c r="B330" s="199" t="str">
        <f>VLOOKUP(A330,'SALE PARTY MASTR '!$B$5:$G$280,2,FALSE)</f>
        <v>Varroc Polymers Pvt.ltd.</v>
      </c>
      <c r="C330" s="397" t="s">
        <v>1303</v>
      </c>
      <c r="D330" s="398">
        <v>43157</v>
      </c>
      <c r="E330" s="320">
        <f t="shared" si="21"/>
        <v>41026.559999999998</v>
      </c>
      <c r="F330" s="321" t="str">
        <f>VLOOKUP(A330,'SALE PARTY MASTR '!$B$5:$I$105,3,FALSE)</f>
        <v>27-Maharashatra</v>
      </c>
      <c r="G330" s="321" t="str">
        <f>VLOOKUP(A330,'SALE PARTY MASTR '!$B$5:$I$105,4,FALSE)</f>
        <v>N</v>
      </c>
      <c r="H330" s="321" t="str">
        <f>VLOOKUP(A330,'SALE PARTY MASTR '!$B$5:$I$105,5,FALSE)</f>
        <v>Regular</v>
      </c>
      <c r="I330" s="321">
        <f>VLOOKUP(A330,'SALE PARTY MASTR '!$B$5:$I$105,6,FALSE)</f>
        <v>0</v>
      </c>
      <c r="J330" s="262">
        <f>VLOOKUP(S330,'SALE HSN MASTER '!$A$6:$E$20,5,FALSE)</f>
        <v>28</v>
      </c>
      <c r="K330" s="400">
        <v>32052</v>
      </c>
      <c r="L330" s="184"/>
      <c r="M330" s="322">
        <f t="shared" si="22"/>
        <v>0</v>
      </c>
      <c r="N330" s="322">
        <f t="shared" si="23"/>
        <v>4487.2800000000007</v>
      </c>
      <c r="O330" s="322">
        <f t="shared" si="24"/>
        <v>4487.2800000000007</v>
      </c>
      <c r="P330" s="199">
        <f>VLOOKUP(A330,'SALE PARTY MASTR '!$B$5:$I$105,7,FALSE)</f>
        <v>2</v>
      </c>
      <c r="Q330" s="199" t="str">
        <f>VLOOKUP(A330,'SALE PARTY MASTR '!$B$5:$I$105,8,FALSE)</f>
        <v>Local Sale</v>
      </c>
      <c r="R330" s="199" t="s">
        <v>897</v>
      </c>
      <c r="S330" s="401">
        <v>87141090</v>
      </c>
      <c r="T330" s="201" t="str">
        <f>VLOOKUP(S330,'SALE HSN MASTER '!$A$6:$D$20,2,FALSE)</f>
        <v>Parts &amp; Accessories Of Motor Vehicles Other</v>
      </c>
      <c r="U330" s="201" t="str">
        <f>VLOOKUP(S330,'SALE HSN MASTER '!$A$6:$D$20,3,FALSE)</f>
        <v>NOS-NUMBERS</v>
      </c>
      <c r="V330" s="201" t="str">
        <f>VLOOKUP(S330,'SALE HSN MASTER '!$A$6:$D$20,4,FALSE)</f>
        <v>Goods</v>
      </c>
      <c r="W330" s="401">
        <v>528</v>
      </c>
    </row>
    <row r="331" spans="1:23" ht="14.4" x14ac:dyDescent="0.3">
      <c r="A331" s="423" t="s">
        <v>27</v>
      </c>
      <c r="B331" s="199" t="str">
        <f>VLOOKUP(A331,'SALE PARTY MASTR '!$B$5:$G$280,2,FALSE)</f>
        <v>Rinder India Pvt Ltd.</v>
      </c>
      <c r="C331" s="397" t="s">
        <v>1304</v>
      </c>
      <c r="D331" s="398">
        <v>43157</v>
      </c>
      <c r="E331" s="320">
        <f t="shared" si="21"/>
        <v>34220</v>
      </c>
      <c r="F331" s="321" t="str">
        <f>VLOOKUP(A331,'SALE PARTY MASTR '!$B$5:$I$105,3,FALSE)</f>
        <v>27-Maharashatra</v>
      </c>
      <c r="G331" s="321" t="str">
        <f>VLOOKUP(A331,'SALE PARTY MASTR '!$B$5:$I$105,4,FALSE)</f>
        <v>N</v>
      </c>
      <c r="H331" s="321" t="str">
        <f>VLOOKUP(A331,'SALE PARTY MASTR '!$B$5:$I$105,5,FALSE)</f>
        <v>Regular</v>
      </c>
      <c r="I331" s="321">
        <f>VLOOKUP(A331,'SALE PARTY MASTR '!$B$5:$I$105,6,FALSE)</f>
        <v>0</v>
      </c>
      <c r="J331" s="262">
        <f>VLOOKUP(S331,'SALE HSN MASTER '!$A$6:$E$20,5,FALSE)</f>
        <v>18</v>
      </c>
      <c r="K331" s="400">
        <v>29000</v>
      </c>
      <c r="L331" s="184"/>
      <c r="M331" s="322">
        <f t="shared" si="22"/>
        <v>0</v>
      </c>
      <c r="N331" s="322">
        <f t="shared" si="23"/>
        <v>2610</v>
      </c>
      <c r="O331" s="322">
        <f t="shared" si="24"/>
        <v>2610</v>
      </c>
      <c r="P331" s="199">
        <f>VLOOKUP(A331,'SALE PARTY MASTR '!$B$5:$I$105,7,FALSE)</f>
        <v>2</v>
      </c>
      <c r="Q331" s="199" t="str">
        <f>VLOOKUP(A331,'SALE PARTY MASTR '!$B$5:$I$105,8,FALSE)</f>
        <v>Local Sale</v>
      </c>
      <c r="R331" s="199" t="s">
        <v>894</v>
      </c>
      <c r="S331" s="401">
        <v>85129000</v>
      </c>
      <c r="T331" s="201" t="str">
        <f>VLOOKUP(S331,'SALE HSN MASTER '!$A$6:$D$20,2,FALSE)</f>
        <v>Parts &amp; Accessories Of Motor Vehicles Other</v>
      </c>
      <c r="U331" s="201" t="str">
        <f>VLOOKUP(S331,'SALE HSN MASTER '!$A$6:$D$20,3,FALSE)</f>
        <v>NOS-NUMBERS</v>
      </c>
      <c r="V331" s="201" t="str">
        <f>VLOOKUP(S331,'SALE HSN MASTER '!$A$6:$D$20,4,FALSE)</f>
        <v>Goods</v>
      </c>
      <c r="W331" s="401">
        <v>1160</v>
      </c>
    </row>
    <row r="332" spans="1:23" ht="14.4" x14ac:dyDescent="0.3">
      <c r="A332" s="423" t="s">
        <v>22</v>
      </c>
      <c r="B332" s="199" t="str">
        <f>VLOOKUP(A332,'SALE PARTY MASTR '!$B$5:$G$280,2,FALSE)</f>
        <v>Japtech Industries</v>
      </c>
      <c r="C332" s="397" t="s">
        <v>1305</v>
      </c>
      <c r="D332" s="398">
        <v>43157</v>
      </c>
      <c r="E332" s="320">
        <f t="shared" si="21"/>
        <v>10058.556</v>
      </c>
      <c r="F332" s="321" t="str">
        <f>VLOOKUP(A332,'SALE PARTY MASTR '!$B$5:$I$105,3,FALSE)</f>
        <v>27-Maharashatra</v>
      </c>
      <c r="G332" s="321" t="str">
        <f>VLOOKUP(A332,'SALE PARTY MASTR '!$B$5:$I$105,4,FALSE)</f>
        <v>N</v>
      </c>
      <c r="H332" s="321" t="str">
        <f>VLOOKUP(A332,'SALE PARTY MASTR '!$B$5:$I$105,5,FALSE)</f>
        <v>Regular</v>
      </c>
      <c r="I332" s="321">
        <f>VLOOKUP(A332,'SALE PARTY MASTR '!$B$5:$I$105,6,FALSE)</f>
        <v>0</v>
      </c>
      <c r="J332" s="262">
        <f>VLOOKUP(S332,'SALE HSN MASTER '!$A$6:$E$20,5,FALSE)</f>
        <v>18</v>
      </c>
      <c r="K332" s="400">
        <v>8524.2000000000007</v>
      </c>
      <c r="L332" s="184"/>
      <c r="M332" s="322">
        <f t="shared" si="22"/>
        <v>0</v>
      </c>
      <c r="N332" s="322">
        <f t="shared" si="23"/>
        <v>767.178</v>
      </c>
      <c r="O332" s="322">
        <f t="shared" si="24"/>
        <v>767.178</v>
      </c>
      <c r="P332" s="199">
        <f>VLOOKUP(A332,'SALE PARTY MASTR '!$B$5:$I$105,7,FALSE)</f>
        <v>2</v>
      </c>
      <c r="Q332" s="199" t="str">
        <f>VLOOKUP(A332,'SALE PARTY MASTR '!$B$5:$I$105,8,FALSE)</f>
        <v>Local Sale</v>
      </c>
      <c r="R332" s="199" t="s">
        <v>894</v>
      </c>
      <c r="S332" s="401">
        <v>998898</v>
      </c>
      <c r="T332" s="201" t="str">
        <f>VLOOKUP(S332,'SALE HSN MASTER '!$A$6:$D$20,2,FALSE)</f>
        <v>Parts &amp; Accessories Of Motor Vehicles Other</v>
      </c>
      <c r="U332" s="201" t="str">
        <f>VLOOKUP(S332,'SALE HSN MASTER '!$A$6:$D$20,3,FALSE)</f>
        <v>NOS-NUMBERS</v>
      </c>
      <c r="V332" s="201" t="str">
        <f>VLOOKUP(S332,'SALE HSN MASTER '!$A$6:$D$20,4,FALSE)</f>
        <v>Service</v>
      </c>
      <c r="W332" s="401">
        <v>30</v>
      </c>
    </row>
    <row r="333" spans="1:23" ht="14.4" x14ac:dyDescent="0.3">
      <c r="A333" s="423" t="s">
        <v>26</v>
      </c>
      <c r="B333" s="199" t="str">
        <f>VLOOKUP(A333,'SALE PARTY MASTR '!$B$5:$G$280,2,FALSE)</f>
        <v>Lumax Ancillary Limited.</v>
      </c>
      <c r="C333" s="397" t="s">
        <v>1306</v>
      </c>
      <c r="D333" s="398">
        <v>43157</v>
      </c>
      <c r="E333" s="320">
        <f t="shared" si="21"/>
        <v>21703.68</v>
      </c>
      <c r="F333" s="321" t="str">
        <f>VLOOKUP(A333,'SALE PARTY MASTR '!$B$5:$I$105,3,FALSE)</f>
        <v>27-Maharashatra</v>
      </c>
      <c r="G333" s="321" t="str">
        <f>VLOOKUP(A333,'SALE PARTY MASTR '!$B$5:$I$105,4,FALSE)</f>
        <v>N</v>
      </c>
      <c r="H333" s="321" t="str">
        <f>VLOOKUP(A333,'SALE PARTY MASTR '!$B$5:$I$105,5,FALSE)</f>
        <v>Regular</v>
      </c>
      <c r="I333" s="321">
        <f>VLOOKUP(A333,'SALE PARTY MASTR '!$B$5:$I$105,6,FALSE)</f>
        <v>0</v>
      </c>
      <c r="J333" s="262">
        <f>VLOOKUP(S333,'SALE HSN MASTER '!$A$6:$E$20,5,FALSE)</f>
        <v>28</v>
      </c>
      <c r="K333" s="400">
        <v>16956</v>
      </c>
      <c r="L333" s="184"/>
      <c r="M333" s="322">
        <f t="shared" si="22"/>
        <v>0</v>
      </c>
      <c r="N333" s="322">
        <f t="shared" si="23"/>
        <v>2373.84</v>
      </c>
      <c r="O333" s="322">
        <f t="shared" si="24"/>
        <v>2373.84</v>
      </c>
      <c r="P333" s="199">
        <f>VLOOKUP(A333,'SALE PARTY MASTR '!$B$5:$I$105,7,FALSE)</f>
        <v>2</v>
      </c>
      <c r="Q333" s="199" t="str">
        <f>VLOOKUP(A333,'SALE PARTY MASTR '!$B$5:$I$105,8,FALSE)</f>
        <v>Local Sale</v>
      </c>
      <c r="R333" s="199" t="s">
        <v>897</v>
      </c>
      <c r="S333" s="401">
        <v>87141090</v>
      </c>
      <c r="T333" s="201" t="str">
        <f>VLOOKUP(S333,'SALE HSN MASTER '!$A$6:$D$20,2,FALSE)</f>
        <v>Parts &amp; Accessories Of Motor Vehicles Other</v>
      </c>
      <c r="U333" s="201" t="str">
        <f>VLOOKUP(S333,'SALE HSN MASTER '!$A$6:$D$20,3,FALSE)</f>
        <v>NOS-NUMBERS</v>
      </c>
      <c r="V333" s="201" t="str">
        <f>VLOOKUP(S333,'SALE HSN MASTER '!$A$6:$D$20,4,FALSE)</f>
        <v>Goods</v>
      </c>
      <c r="W333" s="401">
        <v>720</v>
      </c>
    </row>
    <row r="334" spans="1:23" ht="14.4" x14ac:dyDescent="0.3">
      <c r="A334" s="423" t="s">
        <v>23</v>
      </c>
      <c r="B334" s="199" t="str">
        <f>VLOOKUP(A334,'SALE PARTY MASTR '!$B$5:$G$280,2,FALSE)</f>
        <v>Varroc Polymers Pvt.ltd.</v>
      </c>
      <c r="C334" s="397" t="s">
        <v>1307</v>
      </c>
      <c r="D334" s="398">
        <v>43157</v>
      </c>
      <c r="E334" s="320">
        <f t="shared" si="21"/>
        <v>38844.287999999993</v>
      </c>
      <c r="F334" s="321" t="str">
        <f>VLOOKUP(A334,'SALE PARTY MASTR '!$B$5:$I$105,3,FALSE)</f>
        <v>27-Maharashatra</v>
      </c>
      <c r="G334" s="321" t="str">
        <f>VLOOKUP(A334,'SALE PARTY MASTR '!$B$5:$I$105,4,FALSE)</f>
        <v>N</v>
      </c>
      <c r="H334" s="321" t="str">
        <f>VLOOKUP(A334,'SALE PARTY MASTR '!$B$5:$I$105,5,FALSE)</f>
        <v>Regular</v>
      </c>
      <c r="I334" s="321">
        <f>VLOOKUP(A334,'SALE PARTY MASTR '!$B$5:$I$105,6,FALSE)</f>
        <v>0</v>
      </c>
      <c r="J334" s="262">
        <f>VLOOKUP(S334,'SALE HSN MASTER '!$A$6:$E$20,5,FALSE)</f>
        <v>28</v>
      </c>
      <c r="K334" s="400">
        <v>30347.1</v>
      </c>
      <c r="L334" s="184"/>
      <c r="M334" s="322">
        <f t="shared" si="22"/>
        <v>0</v>
      </c>
      <c r="N334" s="322">
        <f t="shared" si="23"/>
        <v>4248.5940000000001</v>
      </c>
      <c r="O334" s="322">
        <f t="shared" si="24"/>
        <v>4248.5940000000001</v>
      </c>
      <c r="P334" s="199">
        <f>VLOOKUP(A334,'SALE PARTY MASTR '!$B$5:$I$105,7,FALSE)</f>
        <v>2</v>
      </c>
      <c r="Q334" s="199" t="str">
        <f>VLOOKUP(A334,'SALE PARTY MASTR '!$B$5:$I$105,8,FALSE)</f>
        <v>Local Sale</v>
      </c>
      <c r="R334" s="199" t="s">
        <v>894</v>
      </c>
      <c r="S334" s="401">
        <v>87081090</v>
      </c>
      <c r="T334" s="201" t="str">
        <f>VLOOKUP(S334,'SALE HSN MASTER '!$A$6:$D$20,2,FALSE)</f>
        <v>Parts &amp; Accessories Of Motor Vehicles Other</v>
      </c>
      <c r="U334" s="201" t="str">
        <f>VLOOKUP(S334,'SALE HSN MASTER '!$A$6:$D$20,3,FALSE)</f>
        <v>NOS-NUMBERS</v>
      </c>
      <c r="V334" s="201" t="str">
        <f>VLOOKUP(S334,'SALE HSN MASTER '!$A$6:$D$20,4,FALSE)</f>
        <v>Goods</v>
      </c>
      <c r="W334" s="401">
        <v>420</v>
      </c>
    </row>
    <row r="335" spans="1:23" ht="14.4" x14ac:dyDescent="0.3">
      <c r="A335" s="423" t="s">
        <v>28</v>
      </c>
      <c r="B335" s="199" t="str">
        <f>VLOOKUP(A335,'SALE PARTY MASTR '!$B$5:$G$280,2,FALSE)</f>
        <v>Lumax Auto Technologies Ltd.</v>
      </c>
      <c r="C335" s="397" t="s">
        <v>1308</v>
      </c>
      <c r="D335" s="398">
        <v>43157</v>
      </c>
      <c r="E335" s="320">
        <f t="shared" si="21"/>
        <v>33959.998800000001</v>
      </c>
      <c r="F335" s="321" t="str">
        <f>VLOOKUP(A335,'SALE PARTY MASTR '!$B$5:$I$105,3,FALSE)</f>
        <v>27-Maharashatra</v>
      </c>
      <c r="G335" s="321" t="str">
        <f>VLOOKUP(A335,'SALE PARTY MASTR '!$B$5:$I$105,4,FALSE)</f>
        <v>N</v>
      </c>
      <c r="H335" s="321" t="str">
        <f>VLOOKUP(A335,'SALE PARTY MASTR '!$B$5:$I$105,5,FALSE)</f>
        <v>Regular</v>
      </c>
      <c r="I335" s="321">
        <f>VLOOKUP(A335,'SALE PARTY MASTR '!$B$5:$I$105,6,FALSE)</f>
        <v>0</v>
      </c>
      <c r="J335" s="262">
        <f>VLOOKUP(S335,'SALE HSN MASTER '!$A$6:$E$20,5,FALSE)</f>
        <v>18</v>
      </c>
      <c r="K335" s="400">
        <v>28779.66</v>
      </c>
      <c r="L335" s="184"/>
      <c r="M335" s="322">
        <f t="shared" si="22"/>
        <v>0</v>
      </c>
      <c r="N335" s="322">
        <f t="shared" si="23"/>
        <v>2590.1693999999998</v>
      </c>
      <c r="O335" s="322">
        <f t="shared" si="24"/>
        <v>2590.1693999999998</v>
      </c>
      <c r="P335" s="199">
        <f>VLOOKUP(A335,'SALE PARTY MASTR '!$B$5:$I$105,7,FALSE)</f>
        <v>2</v>
      </c>
      <c r="Q335" s="199" t="str">
        <f>VLOOKUP(A335,'SALE PARTY MASTR '!$B$5:$I$105,8,FALSE)</f>
        <v>Local Sale</v>
      </c>
      <c r="R335" s="199" t="s">
        <v>894</v>
      </c>
      <c r="S335" s="401">
        <v>85129000</v>
      </c>
      <c r="T335" s="201" t="str">
        <f>VLOOKUP(S335,'SALE HSN MASTER '!$A$6:$D$20,2,FALSE)</f>
        <v>Parts &amp; Accessories Of Motor Vehicles Other</v>
      </c>
      <c r="U335" s="201" t="str">
        <f>VLOOKUP(S335,'SALE HSN MASTER '!$A$6:$D$20,3,FALSE)</f>
        <v>NOS-NUMBERS</v>
      </c>
      <c r="V335" s="201" t="str">
        <f>VLOOKUP(S335,'SALE HSN MASTER '!$A$6:$D$20,4,FALSE)</f>
        <v>Goods</v>
      </c>
      <c r="W335" s="401">
        <v>234</v>
      </c>
    </row>
    <row r="336" spans="1:23" ht="14.4" x14ac:dyDescent="0.3">
      <c r="A336" s="423" t="s">
        <v>862</v>
      </c>
      <c r="B336" s="199" t="str">
        <f>VLOOKUP(A336,'SALE PARTY MASTR '!$B$5:$G$280,2,FALSE)</f>
        <v>Varroc Engineering Pvt Ltd</v>
      </c>
      <c r="C336" s="397" t="s">
        <v>1309</v>
      </c>
      <c r="D336" s="398">
        <v>43157</v>
      </c>
      <c r="E336" s="320">
        <f t="shared" si="21"/>
        <v>29831.424000000003</v>
      </c>
      <c r="F336" s="321" t="str">
        <f>VLOOKUP(A336,'SALE PARTY MASTR '!$B$5:$I$105,3,FALSE)</f>
        <v>27-Maharashatra</v>
      </c>
      <c r="G336" s="321" t="str">
        <f>VLOOKUP(A336,'SALE PARTY MASTR '!$B$5:$I$105,4,FALSE)</f>
        <v>N</v>
      </c>
      <c r="H336" s="321" t="str">
        <f>VLOOKUP(A336,'SALE PARTY MASTR '!$B$5:$I$105,5,FALSE)</f>
        <v>Regular</v>
      </c>
      <c r="I336" s="321">
        <f>VLOOKUP(A336,'SALE PARTY MASTR '!$B$5:$I$105,6,FALSE)</f>
        <v>0</v>
      </c>
      <c r="J336" s="262">
        <f>VLOOKUP(S336,'SALE HSN MASTER '!$A$6:$E$20,5,FALSE)</f>
        <v>28</v>
      </c>
      <c r="K336" s="400">
        <v>23305.8</v>
      </c>
      <c r="L336" s="184"/>
      <c r="M336" s="322">
        <f t="shared" si="22"/>
        <v>0</v>
      </c>
      <c r="N336" s="322">
        <f t="shared" si="23"/>
        <v>3262.8120000000004</v>
      </c>
      <c r="O336" s="322">
        <f t="shared" si="24"/>
        <v>3262.8120000000004</v>
      </c>
      <c r="P336" s="199">
        <f>VLOOKUP(A336,'SALE PARTY MASTR '!$B$5:$I$105,7,FALSE)</f>
        <v>2</v>
      </c>
      <c r="Q336" s="199" t="str">
        <f>VLOOKUP(A336,'SALE PARTY MASTR '!$B$5:$I$105,8,FALSE)</f>
        <v>Local Sale</v>
      </c>
      <c r="R336" s="199" t="s">
        <v>897</v>
      </c>
      <c r="S336" s="401">
        <v>85119000</v>
      </c>
      <c r="T336" s="201" t="str">
        <f>VLOOKUP(S336,'SALE HSN MASTER '!$A$6:$D$20,2,FALSE)</f>
        <v>Parts &amp; Accessories Of Motor Vehicles Other</v>
      </c>
      <c r="U336" s="201" t="str">
        <f>VLOOKUP(S336,'SALE HSN MASTER '!$A$6:$D$20,3,FALSE)</f>
        <v>NOS-NUMBERS</v>
      </c>
      <c r="V336" s="201" t="str">
        <f>VLOOKUP(S336,'SALE HSN MASTER '!$A$6:$D$20,4,FALSE)</f>
        <v>Goods</v>
      </c>
      <c r="W336" s="401">
        <v>420</v>
      </c>
    </row>
    <row r="337" spans="1:23" ht="14.4" x14ac:dyDescent="0.3">
      <c r="A337" s="423" t="s">
        <v>862</v>
      </c>
      <c r="B337" s="199" t="str">
        <f>VLOOKUP(A337,'SALE PARTY MASTR '!$B$5:$G$280,2,FALSE)</f>
        <v>Varroc Engineering Pvt Ltd</v>
      </c>
      <c r="C337" s="397" t="s">
        <v>1310</v>
      </c>
      <c r="D337" s="398">
        <v>43157</v>
      </c>
      <c r="E337" s="320">
        <f t="shared" si="21"/>
        <v>24374.4768</v>
      </c>
      <c r="F337" s="321" t="str">
        <f>VLOOKUP(A337,'SALE PARTY MASTR '!$B$5:$I$105,3,FALSE)</f>
        <v>27-Maharashatra</v>
      </c>
      <c r="G337" s="321" t="str">
        <f>VLOOKUP(A337,'SALE PARTY MASTR '!$B$5:$I$105,4,FALSE)</f>
        <v>N</v>
      </c>
      <c r="H337" s="321" t="str">
        <f>VLOOKUP(A337,'SALE PARTY MASTR '!$B$5:$I$105,5,FALSE)</f>
        <v>Regular</v>
      </c>
      <c r="I337" s="321">
        <f>VLOOKUP(A337,'SALE PARTY MASTR '!$B$5:$I$105,6,FALSE)</f>
        <v>0</v>
      </c>
      <c r="J337" s="262">
        <f>VLOOKUP(S337,'SALE HSN MASTER '!$A$6:$E$20,5,FALSE)</f>
        <v>28</v>
      </c>
      <c r="K337" s="400">
        <v>19042.560000000001</v>
      </c>
      <c r="L337" s="184"/>
      <c r="M337" s="322">
        <f t="shared" si="22"/>
        <v>0</v>
      </c>
      <c r="N337" s="322">
        <f t="shared" si="23"/>
        <v>2665.9584000000004</v>
      </c>
      <c r="O337" s="322">
        <f t="shared" si="24"/>
        <v>2665.9584000000004</v>
      </c>
      <c r="P337" s="199">
        <f>VLOOKUP(A337,'SALE PARTY MASTR '!$B$5:$I$105,7,FALSE)</f>
        <v>2</v>
      </c>
      <c r="Q337" s="199" t="str">
        <f>VLOOKUP(A337,'SALE PARTY MASTR '!$B$5:$I$105,8,FALSE)</f>
        <v>Local Sale</v>
      </c>
      <c r="R337" s="199" t="s">
        <v>897</v>
      </c>
      <c r="S337" s="401">
        <v>87142090</v>
      </c>
      <c r="T337" s="201" t="str">
        <f>VLOOKUP(S337,'SALE HSN MASTER '!$A$6:$D$20,2,FALSE)</f>
        <v>Parts &amp; Accessories Of Motor Vehicles Other</v>
      </c>
      <c r="U337" s="201" t="str">
        <f>VLOOKUP(S337,'SALE HSN MASTER '!$A$6:$D$20,3,FALSE)</f>
        <v>NOS-NUMBERS</v>
      </c>
      <c r="V337" s="201" t="str">
        <f>VLOOKUP(S337,'SALE HSN MASTER '!$A$6:$D$20,4,FALSE)</f>
        <v>Goods</v>
      </c>
      <c r="W337" s="401">
        <v>432</v>
      </c>
    </row>
    <row r="338" spans="1:23" ht="14.4" x14ac:dyDescent="0.3">
      <c r="A338" s="423" t="s">
        <v>23</v>
      </c>
      <c r="B338" s="199" t="str">
        <f>VLOOKUP(A338,'SALE PARTY MASTR '!$B$5:$G$280,2,FALSE)</f>
        <v>Varroc Polymers Pvt.ltd.</v>
      </c>
      <c r="C338" s="397" t="s">
        <v>1311</v>
      </c>
      <c r="D338" s="398">
        <v>43157</v>
      </c>
      <c r="E338" s="320">
        <f t="shared" si="21"/>
        <v>16647.552</v>
      </c>
      <c r="F338" s="321" t="str">
        <f>VLOOKUP(A338,'SALE PARTY MASTR '!$B$5:$I$105,3,FALSE)</f>
        <v>27-Maharashatra</v>
      </c>
      <c r="G338" s="321" t="str">
        <f>VLOOKUP(A338,'SALE PARTY MASTR '!$B$5:$I$105,4,FALSE)</f>
        <v>N</v>
      </c>
      <c r="H338" s="321" t="str">
        <f>VLOOKUP(A338,'SALE PARTY MASTR '!$B$5:$I$105,5,FALSE)</f>
        <v>Regular</v>
      </c>
      <c r="I338" s="321">
        <f>VLOOKUP(A338,'SALE PARTY MASTR '!$B$5:$I$105,6,FALSE)</f>
        <v>0</v>
      </c>
      <c r="J338" s="262">
        <f>VLOOKUP(S338,'SALE HSN MASTER '!$A$6:$E$20,5,FALSE)</f>
        <v>28</v>
      </c>
      <c r="K338" s="400">
        <v>13005.9</v>
      </c>
      <c r="L338" s="184"/>
      <c r="M338" s="322">
        <f t="shared" si="22"/>
        <v>0</v>
      </c>
      <c r="N338" s="322">
        <f t="shared" si="23"/>
        <v>1820.826</v>
      </c>
      <c r="O338" s="322">
        <f t="shared" si="24"/>
        <v>1820.826</v>
      </c>
      <c r="P338" s="199">
        <f>VLOOKUP(A338,'SALE PARTY MASTR '!$B$5:$I$105,7,FALSE)</f>
        <v>2</v>
      </c>
      <c r="Q338" s="199" t="str">
        <f>VLOOKUP(A338,'SALE PARTY MASTR '!$B$5:$I$105,8,FALSE)</f>
        <v>Local Sale</v>
      </c>
      <c r="R338" s="199" t="s">
        <v>897</v>
      </c>
      <c r="S338" s="401">
        <v>87081090</v>
      </c>
      <c r="T338" s="201" t="str">
        <f>VLOOKUP(S338,'SALE HSN MASTER '!$A$6:$D$20,2,FALSE)</f>
        <v>Parts &amp; Accessories Of Motor Vehicles Other</v>
      </c>
      <c r="U338" s="201" t="str">
        <f>VLOOKUP(S338,'SALE HSN MASTER '!$A$6:$D$20,3,FALSE)</f>
        <v>NOS-NUMBERS</v>
      </c>
      <c r="V338" s="201" t="str">
        <f>VLOOKUP(S338,'SALE HSN MASTER '!$A$6:$D$20,4,FALSE)</f>
        <v>Goods</v>
      </c>
      <c r="W338" s="401">
        <v>180</v>
      </c>
    </row>
    <row r="339" spans="1:23" ht="14.4" x14ac:dyDescent="0.3">
      <c r="A339" s="423" t="s">
        <v>23</v>
      </c>
      <c r="B339" s="199" t="str">
        <f>VLOOKUP(A339,'SALE PARTY MASTR '!$B$5:$G$280,2,FALSE)</f>
        <v>Varroc Polymers Pvt.ltd.</v>
      </c>
      <c r="C339" s="397" t="s">
        <v>1312</v>
      </c>
      <c r="D339" s="398">
        <v>43157</v>
      </c>
      <c r="E339" s="320">
        <f t="shared" si="21"/>
        <v>27354.880000000005</v>
      </c>
      <c r="F339" s="321" t="str">
        <f>VLOOKUP(A339,'SALE PARTY MASTR '!$B$5:$I$105,3,FALSE)</f>
        <v>27-Maharashatra</v>
      </c>
      <c r="G339" s="321" t="str">
        <f>VLOOKUP(A339,'SALE PARTY MASTR '!$B$5:$I$105,4,FALSE)</f>
        <v>N</v>
      </c>
      <c r="H339" s="321" t="str">
        <f>VLOOKUP(A339,'SALE PARTY MASTR '!$B$5:$I$105,5,FALSE)</f>
        <v>Regular</v>
      </c>
      <c r="I339" s="321">
        <f>VLOOKUP(A339,'SALE PARTY MASTR '!$B$5:$I$105,6,FALSE)</f>
        <v>0</v>
      </c>
      <c r="J339" s="262">
        <f>VLOOKUP(S339,'SALE HSN MASTER '!$A$6:$E$20,5,FALSE)</f>
        <v>28</v>
      </c>
      <c r="K339" s="400">
        <v>21371</v>
      </c>
      <c r="L339" s="184"/>
      <c r="M339" s="322">
        <f t="shared" si="22"/>
        <v>0</v>
      </c>
      <c r="N339" s="322">
        <f t="shared" si="23"/>
        <v>2991.9400000000005</v>
      </c>
      <c r="O339" s="322">
        <f t="shared" si="24"/>
        <v>2991.9400000000005</v>
      </c>
      <c r="P339" s="199">
        <f>VLOOKUP(A339,'SALE PARTY MASTR '!$B$5:$I$105,7,FALSE)</f>
        <v>2</v>
      </c>
      <c r="Q339" s="199" t="str">
        <f>VLOOKUP(A339,'SALE PARTY MASTR '!$B$5:$I$105,8,FALSE)</f>
        <v>Local Sale</v>
      </c>
      <c r="R339" s="199" t="s">
        <v>897</v>
      </c>
      <c r="S339" s="401">
        <v>87141090</v>
      </c>
      <c r="T339" s="201" t="str">
        <f>VLOOKUP(S339,'SALE HSN MASTER '!$A$6:$D$20,2,FALSE)</f>
        <v>Parts &amp; Accessories Of Motor Vehicles Other</v>
      </c>
      <c r="U339" s="201" t="str">
        <f>VLOOKUP(S339,'SALE HSN MASTER '!$A$6:$D$20,3,FALSE)</f>
        <v>NOS-NUMBERS</v>
      </c>
      <c r="V339" s="201" t="str">
        <f>VLOOKUP(S339,'SALE HSN MASTER '!$A$6:$D$20,4,FALSE)</f>
        <v>Goods</v>
      </c>
      <c r="W339" s="401">
        <v>284</v>
      </c>
    </row>
    <row r="340" spans="1:23" ht="14.4" x14ac:dyDescent="0.3">
      <c r="A340" s="423" t="s">
        <v>32</v>
      </c>
      <c r="B340" s="199" t="str">
        <f>VLOOKUP(A340,'SALE PARTY MASTR '!$B$5:$G$280,2,FALSE)</f>
        <v>Pricol Ltd (Formerly Pricol Pune Ltd)</v>
      </c>
      <c r="C340" s="397" t="s">
        <v>1313</v>
      </c>
      <c r="D340" s="398">
        <v>43157</v>
      </c>
      <c r="E340" s="320">
        <f t="shared" si="21"/>
        <v>57884.160000000003</v>
      </c>
      <c r="F340" s="321" t="str">
        <f>VLOOKUP(A340,'SALE PARTY MASTR '!$B$5:$I$105,3,FALSE)</f>
        <v>27-Maharashatra</v>
      </c>
      <c r="G340" s="321" t="str">
        <f>VLOOKUP(A340,'SALE PARTY MASTR '!$B$5:$I$105,4,FALSE)</f>
        <v>N</v>
      </c>
      <c r="H340" s="321" t="str">
        <f>VLOOKUP(A340,'SALE PARTY MASTR '!$B$5:$I$105,5,FALSE)</f>
        <v>Regular</v>
      </c>
      <c r="I340" s="321">
        <f>VLOOKUP(A340,'SALE PARTY MASTR '!$B$5:$I$105,6,FALSE)</f>
        <v>0</v>
      </c>
      <c r="J340" s="262">
        <f>VLOOKUP(S340,'SALE HSN MASTER '!$A$6:$E$20,5,FALSE)</f>
        <v>28</v>
      </c>
      <c r="K340" s="400">
        <v>45222</v>
      </c>
      <c r="L340" s="184"/>
      <c r="M340" s="322">
        <f t="shared" si="22"/>
        <v>0</v>
      </c>
      <c r="N340" s="322">
        <f t="shared" si="23"/>
        <v>6331.0800000000008</v>
      </c>
      <c r="O340" s="322">
        <f t="shared" si="24"/>
        <v>6331.0800000000008</v>
      </c>
      <c r="P340" s="199">
        <f>VLOOKUP(A340,'SALE PARTY MASTR '!$B$5:$I$105,7,FALSE)</f>
        <v>2</v>
      </c>
      <c r="Q340" s="199" t="str">
        <f>VLOOKUP(A340,'SALE PARTY MASTR '!$B$5:$I$105,8,FALSE)</f>
        <v>Local Sale</v>
      </c>
      <c r="R340" s="199" t="s">
        <v>897</v>
      </c>
      <c r="S340" s="401">
        <v>87141090</v>
      </c>
      <c r="T340" s="201" t="str">
        <f>VLOOKUP(S340,'SALE HSN MASTER '!$A$6:$D$20,2,FALSE)</f>
        <v>Parts &amp; Accessories Of Motor Vehicles Other</v>
      </c>
      <c r="U340" s="201" t="str">
        <f>VLOOKUP(S340,'SALE HSN MASTER '!$A$6:$D$20,3,FALSE)</f>
        <v>NOS-NUMBERS</v>
      </c>
      <c r="V340" s="201" t="str">
        <f>VLOOKUP(S340,'SALE HSN MASTER '!$A$6:$D$20,4,FALSE)</f>
        <v>Goods</v>
      </c>
      <c r="W340" s="401">
        <v>600</v>
      </c>
    </row>
    <row r="341" spans="1:23" ht="14.4" x14ac:dyDescent="0.3">
      <c r="A341" s="423" t="s">
        <v>23</v>
      </c>
      <c r="B341" s="199" t="str">
        <f>VLOOKUP(A341,'SALE PARTY MASTR '!$B$5:$G$280,2,FALSE)</f>
        <v>Varroc Polymers Pvt.ltd.</v>
      </c>
      <c r="C341" s="397" t="s">
        <v>1314</v>
      </c>
      <c r="D341" s="398">
        <v>43157</v>
      </c>
      <c r="E341" s="320">
        <f t="shared" si="21"/>
        <v>27745.919999999998</v>
      </c>
      <c r="F341" s="321" t="str">
        <f>VLOOKUP(A341,'SALE PARTY MASTR '!$B$5:$I$105,3,FALSE)</f>
        <v>27-Maharashatra</v>
      </c>
      <c r="G341" s="321" t="str">
        <f>VLOOKUP(A341,'SALE PARTY MASTR '!$B$5:$I$105,4,FALSE)</f>
        <v>N</v>
      </c>
      <c r="H341" s="321" t="str">
        <f>VLOOKUP(A341,'SALE PARTY MASTR '!$B$5:$I$105,5,FALSE)</f>
        <v>Regular</v>
      </c>
      <c r="I341" s="321">
        <f>VLOOKUP(A341,'SALE PARTY MASTR '!$B$5:$I$105,6,FALSE)</f>
        <v>0</v>
      </c>
      <c r="J341" s="262">
        <f>VLOOKUP(S341,'SALE HSN MASTER '!$A$6:$E$20,5,FALSE)</f>
        <v>28</v>
      </c>
      <c r="K341" s="400">
        <v>21676.5</v>
      </c>
      <c r="L341" s="184"/>
      <c r="M341" s="322">
        <f t="shared" si="22"/>
        <v>0</v>
      </c>
      <c r="N341" s="322">
        <f t="shared" si="23"/>
        <v>3034.7100000000005</v>
      </c>
      <c r="O341" s="322">
        <f t="shared" si="24"/>
        <v>3034.7100000000005</v>
      </c>
      <c r="P341" s="199">
        <f>VLOOKUP(A341,'SALE PARTY MASTR '!$B$5:$I$105,7,FALSE)</f>
        <v>2</v>
      </c>
      <c r="Q341" s="199" t="str">
        <f>VLOOKUP(A341,'SALE PARTY MASTR '!$B$5:$I$105,8,FALSE)</f>
        <v>Local Sale</v>
      </c>
      <c r="R341" s="199" t="s">
        <v>897</v>
      </c>
      <c r="S341" s="401">
        <v>87081090</v>
      </c>
      <c r="T341" s="201" t="str">
        <f>VLOOKUP(S341,'SALE HSN MASTER '!$A$6:$D$20,2,FALSE)</f>
        <v>Parts &amp; Accessories Of Motor Vehicles Other</v>
      </c>
      <c r="U341" s="201" t="str">
        <f>VLOOKUP(S341,'SALE HSN MASTER '!$A$6:$D$20,3,FALSE)</f>
        <v>NOS-NUMBERS</v>
      </c>
      <c r="V341" s="201" t="str">
        <f>VLOOKUP(S341,'SALE HSN MASTER '!$A$6:$D$20,4,FALSE)</f>
        <v>Goods</v>
      </c>
      <c r="W341" s="401">
        <v>300</v>
      </c>
    </row>
    <row r="342" spans="1:23" ht="14.4" x14ac:dyDescent="0.3">
      <c r="A342" s="423" t="s">
        <v>23</v>
      </c>
      <c r="B342" s="199" t="str">
        <f>VLOOKUP(A342,'SALE PARTY MASTR '!$B$5:$G$280,2,FALSE)</f>
        <v>Varroc Polymers Pvt.ltd.</v>
      </c>
      <c r="C342" s="397" t="s">
        <v>1315</v>
      </c>
      <c r="D342" s="398">
        <v>43157</v>
      </c>
      <c r="E342" s="320">
        <f t="shared" si="21"/>
        <v>25853.760000000002</v>
      </c>
      <c r="F342" s="321" t="str">
        <f>VLOOKUP(A342,'SALE PARTY MASTR '!$B$5:$I$105,3,FALSE)</f>
        <v>27-Maharashatra</v>
      </c>
      <c r="G342" s="321" t="str">
        <f>VLOOKUP(A342,'SALE PARTY MASTR '!$B$5:$I$105,4,FALSE)</f>
        <v>N</v>
      </c>
      <c r="H342" s="321" t="str">
        <f>VLOOKUP(A342,'SALE PARTY MASTR '!$B$5:$I$105,5,FALSE)</f>
        <v>Regular</v>
      </c>
      <c r="I342" s="321">
        <f>VLOOKUP(A342,'SALE PARTY MASTR '!$B$5:$I$105,6,FALSE)</f>
        <v>0</v>
      </c>
      <c r="J342" s="262">
        <f>VLOOKUP(S342,'SALE HSN MASTER '!$A$6:$E$20,5,FALSE)</f>
        <v>28</v>
      </c>
      <c r="K342" s="400">
        <v>20198.25</v>
      </c>
      <c r="L342" s="184"/>
      <c r="M342" s="322">
        <f t="shared" si="22"/>
        <v>0</v>
      </c>
      <c r="N342" s="322">
        <f t="shared" si="23"/>
        <v>2827.7550000000001</v>
      </c>
      <c r="O342" s="322">
        <f t="shared" si="24"/>
        <v>2827.7550000000001</v>
      </c>
      <c r="P342" s="199">
        <f>VLOOKUP(A342,'SALE PARTY MASTR '!$B$5:$I$105,7,FALSE)</f>
        <v>2</v>
      </c>
      <c r="Q342" s="199" t="str">
        <f>VLOOKUP(A342,'SALE PARTY MASTR '!$B$5:$I$105,8,FALSE)</f>
        <v>Local Sale</v>
      </c>
      <c r="R342" s="199" t="s">
        <v>897</v>
      </c>
      <c r="S342" s="401">
        <v>87141090</v>
      </c>
      <c r="T342" s="201" t="str">
        <f>VLOOKUP(S342,'SALE HSN MASTER '!$A$6:$D$20,2,FALSE)</f>
        <v>Parts &amp; Accessories Of Motor Vehicles Other</v>
      </c>
      <c r="U342" s="201" t="str">
        <f>VLOOKUP(S342,'SALE HSN MASTER '!$A$6:$D$20,3,FALSE)</f>
        <v>NOS-NUMBERS</v>
      </c>
      <c r="V342" s="201" t="str">
        <f>VLOOKUP(S342,'SALE HSN MASTER '!$A$6:$D$20,4,FALSE)</f>
        <v>Goods</v>
      </c>
      <c r="W342" s="401">
        <v>573</v>
      </c>
    </row>
    <row r="343" spans="1:23" ht="14.4" x14ac:dyDescent="0.3">
      <c r="A343" s="423" t="s">
        <v>23</v>
      </c>
      <c r="B343" s="199" t="str">
        <f>VLOOKUP(A343,'SALE PARTY MASTR '!$B$5:$G$280,2,FALSE)</f>
        <v>Varroc Polymers Pvt.ltd.</v>
      </c>
      <c r="C343" s="397" t="s">
        <v>1316</v>
      </c>
      <c r="D343" s="398">
        <v>43157</v>
      </c>
      <c r="E343" s="320">
        <f t="shared" si="21"/>
        <v>38844.287999999993</v>
      </c>
      <c r="F343" s="321" t="str">
        <f>VLOOKUP(A343,'SALE PARTY MASTR '!$B$5:$I$105,3,FALSE)</f>
        <v>27-Maharashatra</v>
      </c>
      <c r="G343" s="321" t="str">
        <f>VLOOKUP(A343,'SALE PARTY MASTR '!$B$5:$I$105,4,FALSE)</f>
        <v>N</v>
      </c>
      <c r="H343" s="321" t="str">
        <f>VLOOKUP(A343,'SALE PARTY MASTR '!$B$5:$I$105,5,FALSE)</f>
        <v>Regular</v>
      </c>
      <c r="I343" s="321">
        <f>VLOOKUP(A343,'SALE PARTY MASTR '!$B$5:$I$105,6,FALSE)</f>
        <v>0</v>
      </c>
      <c r="J343" s="262">
        <f>VLOOKUP(S343,'SALE HSN MASTER '!$A$6:$E$20,5,FALSE)</f>
        <v>28</v>
      </c>
      <c r="K343" s="400">
        <v>30347.1</v>
      </c>
      <c r="L343" s="184"/>
      <c r="M343" s="322">
        <f t="shared" si="22"/>
        <v>0</v>
      </c>
      <c r="N343" s="322">
        <f t="shared" si="23"/>
        <v>4248.5940000000001</v>
      </c>
      <c r="O343" s="322">
        <f t="shared" si="24"/>
        <v>4248.5940000000001</v>
      </c>
      <c r="P343" s="199">
        <f>VLOOKUP(A343,'SALE PARTY MASTR '!$B$5:$I$105,7,FALSE)</f>
        <v>2</v>
      </c>
      <c r="Q343" s="199" t="str">
        <f>VLOOKUP(A343,'SALE PARTY MASTR '!$B$5:$I$105,8,FALSE)</f>
        <v>Local Sale</v>
      </c>
      <c r="R343" s="199" t="s">
        <v>897</v>
      </c>
      <c r="S343" s="401">
        <v>87081090</v>
      </c>
      <c r="T343" s="201" t="str">
        <f>VLOOKUP(S343,'SALE HSN MASTER '!$A$6:$D$20,2,FALSE)</f>
        <v>Parts &amp; Accessories Of Motor Vehicles Other</v>
      </c>
      <c r="U343" s="201" t="str">
        <f>VLOOKUP(S343,'SALE HSN MASTER '!$A$6:$D$20,3,FALSE)</f>
        <v>NOS-NUMBERS</v>
      </c>
      <c r="V343" s="201" t="str">
        <f>VLOOKUP(S343,'SALE HSN MASTER '!$A$6:$D$20,4,FALSE)</f>
        <v>Goods</v>
      </c>
      <c r="W343" s="401">
        <v>420</v>
      </c>
    </row>
    <row r="344" spans="1:23" ht="14.4" x14ac:dyDescent="0.3">
      <c r="A344" s="423" t="s">
        <v>26</v>
      </c>
      <c r="B344" s="199" t="str">
        <f>VLOOKUP(A344,'SALE PARTY MASTR '!$B$5:$G$280,2,FALSE)</f>
        <v>Lumax Ancillary Limited.</v>
      </c>
      <c r="C344" s="397" t="s">
        <v>1317</v>
      </c>
      <c r="D344" s="398">
        <v>43158</v>
      </c>
      <c r="E344" s="320">
        <f t="shared" si="21"/>
        <v>18809.856000000003</v>
      </c>
      <c r="F344" s="321" t="str">
        <f>VLOOKUP(A344,'SALE PARTY MASTR '!$B$5:$I$105,3,FALSE)</f>
        <v>27-Maharashatra</v>
      </c>
      <c r="G344" s="321" t="str">
        <f>VLOOKUP(A344,'SALE PARTY MASTR '!$B$5:$I$105,4,FALSE)</f>
        <v>N</v>
      </c>
      <c r="H344" s="321" t="str">
        <f>VLOOKUP(A344,'SALE PARTY MASTR '!$B$5:$I$105,5,FALSE)</f>
        <v>Regular</v>
      </c>
      <c r="I344" s="321">
        <f>VLOOKUP(A344,'SALE PARTY MASTR '!$B$5:$I$105,6,FALSE)</f>
        <v>0</v>
      </c>
      <c r="J344" s="262">
        <f>VLOOKUP(S344,'SALE HSN MASTER '!$A$6:$E$20,5,FALSE)</f>
        <v>28</v>
      </c>
      <c r="K344" s="400">
        <v>14695.2</v>
      </c>
      <c r="L344" s="184"/>
      <c r="M344" s="322">
        <f t="shared" si="22"/>
        <v>0</v>
      </c>
      <c r="N344" s="322">
        <f t="shared" si="23"/>
        <v>2057.3280000000004</v>
      </c>
      <c r="O344" s="322">
        <f t="shared" si="24"/>
        <v>2057.3280000000004</v>
      </c>
      <c r="P344" s="199">
        <f>VLOOKUP(A344,'SALE PARTY MASTR '!$B$5:$I$105,7,FALSE)</f>
        <v>2</v>
      </c>
      <c r="Q344" s="199" t="str">
        <f>VLOOKUP(A344,'SALE PARTY MASTR '!$B$5:$I$105,8,FALSE)</f>
        <v>Local Sale</v>
      </c>
      <c r="R344" s="199" t="s">
        <v>897</v>
      </c>
      <c r="S344" s="401">
        <v>87141090</v>
      </c>
      <c r="T344" s="201" t="str">
        <f>VLOOKUP(S344,'SALE HSN MASTER '!$A$6:$D$20,2,FALSE)</f>
        <v>Parts &amp; Accessories Of Motor Vehicles Other</v>
      </c>
      <c r="U344" s="201" t="str">
        <f>VLOOKUP(S344,'SALE HSN MASTER '!$A$6:$D$20,3,FALSE)</f>
        <v>NOS-NUMBERS</v>
      </c>
      <c r="V344" s="201" t="str">
        <f>VLOOKUP(S344,'SALE HSN MASTER '!$A$6:$D$20,4,FALSE)</f>
        <v>Goods</v>
      </c>
      <c r="W344" s="401">
        <v>624</v>
      </c>
    </row>
    <row r="345" spans="1:23" ht="14.4" x14ac:dyDescent="0.3">
      <c r="A345" s="423" t="s">
        <v>23</v>
      </c>
      <c r="B345" s="199" t="str">
        <f>VLOOKUP(A345,'SALE PARTY MASTR '!$B$5:$G$280,2,FALSE)</f>
        <v>Varroc Polymers Pvt.ltd.</v>
      </c>
      <c r="C345" s="397" t="s">
        <v>1318</v>
      </c>
      <c r="D345" s="398">
        <v>43158</v>
      </c>
      <c r="E345" s="320">
        <f t="shared" si="21"/>
        <v>37734.451200000003</v>
      </c>
      <c r="F345" s="321" t="str">
        <f>VLOOKUP(A345,'SALE PARTY MASTR '!$B$5:$I$105,3,FALSE)</f>
        <v>27-Maharashatra</v>
      </c>
      <c r="G345" s="321" t="str">
        <f>VLOOKUP(A345,'SALE PARTY MASTR '!$B$5:$I$105,4,FALSE)</f>
        <v>N</v>
      </c>
      <c r="H345" s="321" t="str">
        <f>VLOOKUP(A345,'SALE PARTY MASTR '!$B$5:$I$105,5,FALSE)</f>
        <v>Regular</v>
      </c>
      <c r="I345" s="321">
        <f>VLOOKUP(A345,'SALE PARTY MASTR '!$B$5:$I$105,6,FALSE)</f>
        <v>0</v>
      </c>
      <c r="J345" s="262">
        <f>VLOOKUP(S345,'SALE HSN MASTER '!$A$6:$E$20,5,FALSE)</f>
        <v>28</v>
      </c>
      <c r="K345" s="400">
        <v>29480.04</v>
      </c>
      <c r="L345" s="184"/>
      <c r="M345" s="322">
        <f t="shared" si="22"/>
        <v>0</v>
      </c>
      <c r="N345" s="322">
        <f t="shared" si="23"/>
        <v>4127.2056000000002</v>
      </c>
      <c r="O345" s="322">
        <f t="shared" si="24"/>
        <v>4127.2056000000002</v>
      </c>
      <c r="P345" s="199">
        <f>VLOOKUP(A345,'SALE PARTY MASTR '!$B$5:$I$105,7,FALSE)</f>
        <v>2</v>
      </c>
      <c r="Q345" s="199" t="str">
        <f>VLOOKUP(A345,'SALE PARTY MASTR '!$B$5:$I$105,8,FALSE)</f>
        <v>Local Sale</v>
      </c>
      <c r="R345" s="199" t="s">
        <v>897</v>
      </c>
      <c r="S345" s="401">
        <v>87081090</v>
      </c>
      <c r="T345" s="201" t="str">
        <f>VLOOKUP(S345,'SALE HSN MASTER '!$A$6:$D$20,2,FALSE)</f>
        <v>Parts &amp; Accessories Of Motor Vehicles Other</v>
      </c>
      <c r="U345" s="201" t="str">
        <f>VLOOKUP(S345,'SALE HSN MASTER '!$A$6:$D$20,3,FALSE)</f>
        <v>NOS-NUMBERS</v>
      </c>
      <c r="V345" s="201" t="str">
        <f>VLOOKUP(S345,'SALE HSN MASTER '!$A$6:$D$20,4,FALSE)</f>
        <v>Goods</v>
      </c>
      <c r="W345" s="401">
        <v>408</v>
      </c>
    </row>
    <row r="346" spans="1:23" ht="14.4" x14ac:dyDescent="0.3">
      <c r="A346" s="423" t="s">
        <v>23</v>
      </c>
      <c r="B346" s="199" t="str">
        <f>VLOOKUP(A346,'SALE PARTY MASTR '!$B$5:$G$280,2,FALSE)</f>
        <v>Varroc Polymers Pvt.ltd.</v>
      </c>
      <c r="C346" s="397" t="s">
        <v>1319</v>
      </c>
      <c r="D346" s="398">
        <v>43158</v>
      </c>
      <c r="E346" s="320">
        <f t="shared" si="21"/>
        <v>3429.12</v>
      </c>
      <c r="F346" s="321" t="str">
        <f>VLOOKUP(A346,'SALE PARTY MASTR '!$B$5:$I$105,3,FALSE)</f>
        <v>27-Maharashatra</v>
      </c>
      <c r="G346" s="321" t="str">
        <f>VLOOKUP(A346,'SALE PARTY MASTR '!$B$5:$I$105,4,FALSE)</f>
        <v>N</v>
      </c>
      <c r="H346" s="321" t="str">
        <f>VLOOKUP(A346,'SALE PARTY MASTR '!$B$5:$I$105,5,FALSE)</f>
        <v>Regular</v>
      </c>
      <c r="I346" s="321">
        <f>VLOOKUP(A346,'SALE PARTY MASTR '!$B$5:$I$105,6,FALSE)</f>
        <v>0</v>
      </c>
      <c r="J346" s="262">
        <f>VLOOKUP(S346,'SALE HSN MASTER '!$A$6:$E$20,5,FALSE)</f>
        <v>28</v>
      </c>
      <c r="K346" s="400">
        <v>2679</v>
      </c>
      <c r="L346" s="184"/>
      <c r="M346" s="322">
        <f t="shared" si="22"/>
        <v>0</v>
      </c>
      <c r="N346" s="322">
        <f t="shared" si="23"/>
        <v>375.06000000000006</v>
      </c>
      <c r="O346" s="322">
        <f t="shared" si="24"/>
        <v>375.06000000000006</v>
      </c>
      <c r="P346" s="199">
        <f>VLOOKUP(A346,'SALE PARTY MASTR '!$B$5:$I$105,7,FALSE)</f>
        <v>2</v>
      </c>
      <c r="Q346" s="199" t="str">
        <f>VLOOKUP(A346,'SALE PARTY MASTR '!$B$5:$I$105,8,FALSE)</f>
        <v>Local Sale</v>
      </c>
      <c r="R346" s="199" t="s">
        <v>897</v>
      </c>
      <c r="S346" s="401">
        <v>87141090</v>
      </c>
      <c r="T346" s="201" t="str">
        <f>VLOOKUP(S346,'SALE HSN MASTER '!$A$6:$D$20,2,FALSE)</f>
        <v>Parts &amp; Accessories Of Motor Vehicles Other</v>
      </c>
      <c r="U346" s="201" t="str">
        <f>VLOOKUP(S346,'SALE HSN MASTER '!$A$6:$D$20,3,FALSE)</f>
        <v>NOS-NUMBERS</v>
      </c>
      <c r="V346" s="201" t="str">
        <f>VLOOKUP(S346,'SALE HSN MASTER '!$A$6:$D$20,4,FALSE)</f>
        <v>Goods</v>
      </c>
      <c r="W346" s="401">
        <v>76</v>
      </c>
    </row>
    <row r="347" spans="1:23" ht="14.4" x14ac:dyDescent="0.3">
      <c r="A347" s="423" t="s">
        <v>31</v>
      </c>
      <c r="B347" s="199" t="str">
        <f>VLOOKUP(A347,'SALE PARTY MASTR '!$B$5:$G$280,2,FALSE)</f>
        <v>Mittal Precision Auto Comps Pvt Ltd,</v>
      </c>
      <c r="C347" s="397" t="s">
        <v>1320</v>
      </c>
      <c r="D347" s="398">
        <v>43158</v>
      </c>
      <c r="E347" s="320">
        <f t="shared" ref="E347:E354" si="25">+K347+M347+N347+O347</f>
        <v>6811.243199999999</v>
      </c>
      <c r="F347" s="321" t="str">
        <f>VLOOKUP(A347,'SALE PARTY MASTR '!$B$5:$I$105,3,FALSE)</f>
        <v>27-Maharashatra</v>
      </c>
      <c r="G347" s="321" t="str">
        <f>VLOOKUP(A347,'SALE PARTY MASTR '!$B$5:$I$105,4,FALSE)</f>
        <v>N</v>
      </c>
      <c r="H347" s="321" t="str">
        <f>VLOOKUP(A347,'SALE PARTY MASTR '!$B$5:$I$105,5,FALSE)</f>
        <v>Regular</v>
      </c>
      <c r="I347" s="321">
        <f>VLOOKUP(A347,'SALE PARTY MASTR '!$B$5:$I$105,6,FALSE)</f>
        <v>0</v>
      </c>
      <c r="J347" s="262">
        <f>VLOOKUP(S347,'SALE HSN MASTER '!$A$6:$E$20,5,FALSE)</f>
        <v>18</v>
      </c>
      <c r="K347" s="400">
        <v>5772.24</v>
      </c>
      <c r="L347" s="184"/>
      <c r="M347" s="322">
        <f t="shared" ref="M347:M354" si="26">+IF(P347=1,0,IF(N347=0,J347*K347/100,0))</f>
        <v>0</v>
      </c>
      <c r="N347" s="322">
        <f t="shared" si="23"/>
        <v>519.50159999999994</v>
      </c>
      <c r="O347" s="322">
        <f t="shared" si="24"/>
        <v>519.50159999999994</v>
      </c>
      <c r="P347" s="199">
        <f>VLOOKUP(A347,'SALE PARTY MASTR '!$B$5:$I$105,7,FALSE)</f>
        <v>2</v>
      </c>
      <c r="Q347" s="199" t="str">
        <f>VLOOKUP(A347,'SALE PARTY MASTR '!$B$5:$I$105,8,FALSE)</f>
        <v>Local Sale</v>
      </c>
      <c r="R347" s="199" t="s">
        <v>894</v>
      </c>
      <c r="S347" s="401">
        <v>998898</v>
      </c>
      <c r="T347" s="201" t="str">
        <f>VLOOKUP(S347,'SALE HSN MASTER '!$A$6:$D$20,2,FALSE)</f>
        <v>Parts &amp; Accessories Of Motor Vehicles Other</v>
      </c>
      <c r="U347" s="201" t="str">
        <f>VLOOKUP(S347,'SALE HSN MASTER '!$A$6:$D$20,3,FALSE)</f>
        <v>NOS-NUMBERS</v>
      </c>
      <c r="V347" s="201" t="str">
        <f>VLOOKUP(S347,'SALE HSN MASTER '!$A$6:$D$20,4,FALSE)</f>
        <v>Service</v>
      </c>
      <c r="W347" s="401">
        <v>12</v>
      </c>
    </row>
    <row r="348" spans="1:23" ht="14.4" x14ac:dyDescent="0.3">
      <c r="A348" s="423" t="s">
        <v>23</v>
      </c>
      <c r="B348" s="199" t="str">
        <f>VLOOKUP(A348,'SALE PARTY MASTR '!$B$5:$G$280,2,FALSE)</f>
        <v>Varroc Polymers Pvt.ltd.</v>
      </c>
      <c r="C348" s="397" t="s">
        <v>1321</v>
      </c>
      <c r="D348" s="398">
        <v>43158</v>
      </c>
      <c r="E348" s="320">
        <f t="shared" si="25"/>
        <v>38844.287999999993</v>
      </c>
      <c r="F348" s="321" t="str">
        <f>VLOOKUP(A348,'SALE PARTY MASTR '!$B$5:$I$105,3,FALSE)</f>
        <v>27-Maharashatra</v>
      </c>
      <c r="G348" s="321" t="str">
        <f>VLOOKUP(A348,'SALE PARTY MASTR '!$B$5:$I$105,4,FALSE)</f>
        <v>N</v>
      </c>
      <c r="H348" s="321" t="str">
        <f>VLOOKUP(A348,'SALE PARTY MASTR '!$B$5:$I$105,5,FALSE)</f>
        <v>Regular</v>
      </c>
      <c r="I348" s="321">
        <f>VLOOKUP(A348,'SALE PARTY MASTR '!$B$5:$I$105,6,FALSE)</f>
        <v>0</v>
      </c>
      <c r="J348" s="262">
        <f>VLOOKUP(S348,'SALE HSN MASTER '!$A$6:$E$20,5,FALSE)</f>
        <v>28</v>
      </c>
      <c r="K348" s="400">
        <v>30347.1</v>
      </c>
      <c r="L348" s="184"/>
      <c r="M348" s="322">
        <f t="shared" si="26"/>
        <v>0</v>
      </c>
      <c r="N348" s="322">
        <f t="shared" si="23"/>
        <v>4248.5940000000001</v>
      </c>
      <c r="O348" s="322">
        <f t="shared" si="24"/>
        <v>4248.5940000000001</v>
      </c>
      <c r="P348" s="199">
        <f>VLOOKUP(A348,'SALE PARTY MASTR '!$B$5:$I$105,7,FALSE)</f>
        <v>2</v>
      </c>
      <c r="Q348" s="199" t="str">
        <f>VLOOKUP(A348,'SALE PARTY MASTR '!$B$5:$I$105,8,FALSE)</f>
        <v>Local Sale</v>
      </c>
      <c r="R348" s="199" t="s">
        <v>897</v>
      </c>
      <c r="S348" s="401">
        <v>87081090</v>
      </c>
      <c r="T348" s="201" t="str">
        <f>VLOOKUP(S348,'SALE HSN MASTER '!$A$6:$D$20,2,FALSE)</f>
        <v>Parts &amp; Accessories Of Motor Vehicles Other</v>
      </c>
      <c r="U348" s="201" t="str">
        <f>VLOOKUP(S348,'SALE HSN MASTER '!$A$6:$D$20,3,FALSE)</f>
        <v>NOS-NUMBERS</v>
      </c>
      <c r="V348" s="201" t="str">
        <f>VLOOKUP(S348,'SALE HSN MASTER '!$A$6:$D$20,4,FALSE)</f>
        <v>Goods</v>
      </c>
      <c r="W348" s="401">
        <v>420</v>
      </c>
    </row>
    <row r="349" spans="1:23" ht="14.4" x14ac:dyDescent="0.3">
      <c r="A349" s="423" t="s">
        <v>31</v>
      </c>
      <c r="B349" s="199" t="str">
        <f>VLOOKUP(A349,'SALE PARTY MASTR '!$B$5:$G$280,2,FALSE)</f>
        <v>Mittal Precision Auto Comps Pvt Ltd,</v>
      </c>
      <c r="C349" s="397" t="s">
        <v>1322</v>
      </c>
      <c r="D349" s="398">
        <v>43158</v>
      </c>
      <c r="E349" s="320">
        <f t="shared" si="25"/>
        <v>6811.243199999999</v>
      </c>
      <c r="F349" s="321" t="str">
        <f>VLOOKUP(A349,'SALE PARTY MASTR '!$B$5:$I$105,3,FALSE)</f>
        <v>27-Maharashatra</v>
      </c>
      <c r="G349" s="321" t="str">
        <f>VLOOKUP(A349,'SALE PARTY MASTR '!$B$5:$I$105,4,FALSE)</f>
        <v>N</v>
      </c>
      <c r="H349" s="321" t="str">
        <f>VLOOKUP(A349,'SALE PARTY MASTR '!$B$5:$I$105,5,FALSE)</f>
        <v>Regular</v>
      </c>
      <c r="I349" s="321">
        <f>VLOOKUP(A349,'SALE PARTY MASTR '!$B$5:$I$105,6,FALSE)</f>
        <v>0</v>
      </c>
      <c r="J349" s="262">
        <f>VLOOKUP(S349,'SALE HSN MASTER '!$A$6:$E$20,5,FALSE)</f>
        <v>18</v>
      </c>
      <c r="K349" s="400">
        <v>5772.24</v>
      </c>
      <c r="L349" s="184"/>
      <c r="M349" s="322">
        <f t="shared" si="26"/>
        <v>0</v>
      </c>
      <c r="N349" s="322">
        <f t="shared" si="23"/>
        <v>519.50159999999994</v>
      </c>
      <c r="O349" s="322">
        <f t="shared" si="24"/>
        <v>519.50159999999994</v>
      </c>
      <c r="P349" s="199">
        <f>VLOOKUP(A349,'SALE PARTY MASTR '!$B$5:$I$105,7,FALSE)</f>
        <v>2</v>
      </c>
      <c r="Q349" s="199" t="str">
        <f>VLOOKUP(A349,'SALE PARTY MASTR '!$B$5:$I$105,8,FALSE)</f>
        <v>Local Sale</v>
      </c>
      <c r="R349" s="199" t="s">
        <v>894</v>
      </c>
      <c r="S349" s="401">
        <v>998898</v>
      </c>
      <c r="T349" s="201" t="str">
        <f>VLOOKUP(S349,'SALE HSN MASTER '!$A$6:$D$20,2,FALSE)</f>
        <v>Parts &amp; Accessories Of Motor Vehicles Other</v>
      </c>
      <c r="U349" s="201" t="str">
        <f>VLOOKUP(S349,'SALE HSN MASTER '!$A$6:$D$20,3,FALSE)</f>
        <v>NOS-NUMBERS</v>
      </c>
      <c r="V349" s="201" t="str">
        <f>VLOOKUP(S349,'SALE HSN MASTER '!$A$6:$D$20,4,FALSE)</f>
        <v>Service</v>
      </c>
      <c r="W349" s="401">
        <v>12</v>
      </c>
    </row>
    <row r="350" spans="1:23" ht="14.4" x14ac:dyDescent="0.3">
      <c r="A350" s="423" t="s">
        <v>32</v>
      </c>
      <c r="B350" s="199" t="str">
        <f>VLOOKUP(A350,'SALE PARTY MASTR '!$B$5:$G$280,2,FALSE)</f>
        <v>Pricol Ltd (Formerly Pricol Pune Ltd)</v>
      </c>
      <c r="C350" s="397" t="s">
        <v>1323</v>
      </c>
      <c r="D350" s="398">
        <v>43158</v>
      </c>
      <c r="E350" s="320">
        <f t="shared" si="25"/>
        <v>48236.800000000003</v>
      </c>
      <c r="F350" s="321" t="str">
        <f>VLOOKUP(A350,'SALE PARTY MASTR '!$B$5:$I$105,3,FALSE)</f>
        <v>27-Maharashatra</v>
      </c>
      <c r="G350" s="321" t="str">
        <f>VLOOKUP(A350,'SALE PARTY MASTR '!$B$5:$I$105,4,FALSE)</f>
        <v>N</v>
      </c>
      <c r="H350" s="321" t="str">
        <f>VLOOKUP(A350,'SALE PARTY MASTR '!$B$5:$I$105,5,FALSE)</f>
        <v>Regular</v>
      </c>
      <c r="I350" s="321">
        <f>VLOOKUP(A350,'SALE PARTY MASTR '!$B$5:$I$105,6,FALSE)</f>
        <v>0</v>
      </c>
      <c r="J350" s="262">
        <f>VLOOKUP(S350,'SALE HSN MASTER '!$A$6:$E$20,5,FALSE)</f>
        <v>28</v>
      </c>
      <c r="K350" s="400">
        <v>37685</v>
      </c>
      <c r="L350" s="184"/>
      <c r="M350" s="322">
        <f t="shared" si="26"/>
        <v>0</v>
      </c>
      <c r="N350" s="322">
        <f t="shared" si="23"/>
        <v>5275.9000000000005</v>
      </c>
      <c r="O350" s="322">
        <f t="shared" si="24"/>
        <v>5275.9000000000005</v>
      </c>
      <c r="P350" s="199">
        <f>VLOOKUP(A350,'SALE PARTY MASTR '!$B$5:$I$105,7,FALSE)</f>
        <v>2</v>
      </c>
      <c r="Q350" s="199" t="str">
        <f>VLOOKUP(A350,'SALE PARTY MASTR '!$B$5:$I$105,8,FALSE)</f>
        <v>Local Sale</v>
      </c>
      <c r="R350" s="199" t="s">
        <v>897</v>
      </c>
      <c r="S350" s="401">
        <v>87141090</v>
      </c>
      <c r="T350" s="201" t="str">
        <f>VLOOKUP(S350,'SALE HSN MASTER '!$A$6:$D$20,2,FALSE)</f>
        <v>Parts &amp; Accessories Of Motor Vehicles Other</v>
      </c>
      <c r="U350" s="201" t="str">
        <f>VLOOKUP(S350,'SALE HSN MASTER '!$A$6:$D$20,3,FALSE)</f>
        <v>NOS-NUMBERS</v>
      </c>
      <c r="V350" s="201" t="str">
        <f>VLOOKUP(S350,'SALE HSN MASTER '!$A$6:$D$20,4,FALSE)</f>
        <v>Goods</v>
      </c>
      <c r="W350" s="401">
        <v>500</v>
      </c>
    </row>
    <row r="351" spans="1:23" ht="14.4" x14ac:dyDescent="0.3">
      <c r="A351" s="423" t="s">
        <v>28</v>
      </c>
      <c r="B351" s="199" t="str">
        <f>VLOOKUP(A351,'SALE PARTY MASTR '!$B$5:$G$280,2,FALSE)</f>
        <v>Lumax Auto Technologies Ltd.</v>
      </c>
      <c r="C351" s="397" t="s">
        <v>1324</v>
      </c>
      <c r="D351" s="398">
        <v>43158</v>
      </c>
      <c r="E351" s="320">
        <f t="shared" si="25"/>
        <v>47021.536800000009</v>
      </c>
      <c r="F351" s="321" t="str">
        <f>VLOOKUP(A351,'SALE PARTY MASTR '!$B$5:$I$105,3,FALSE)</f>
        <v>27-Maharashatra</v>
      </c>
      <c r="G351" s="321" t="str">
        <f>VLOOKUP(A351,'SALE PARTY MASTR '!$B$5:$I$105,4,FALSE)</f>
        <v>N</v>
      </c>
      <c r="H351" s="321" t="str">
        <f>VLOOKUP(A351,'SALE PARTY MASTR '!$B$5:$I$105,5,FALSE)</f>
        <v>Regular</v>
      </c>
      <c r="I351" s="321">
        <f>VLOOKUP(A351,'SALE PARTY MASTR '!$B$5:$I$105,6,FALSE)</f>
        <v>0</v>
      </c>
      <c r="J351" s="262">
        <f>VLOOKUP(S351,'SALE HSN MASTER '!$A$6:$E$20,5,FALSE)</f>
        <v>18</v>
      </c>
      <c r="K351" s="400">
        <v>39848.76</v>
      </c>
      <c r="L351" s="184"/>
      <c r="M351" s="322">
        <f t="shared" si="26"/>
        <v>0</v>
      </c>
      <c r="N351" s="322">
        <f t="shared" si="23"/>
        <v>3586.3884000000003</v>
      </c>
      <c r="O351" s="322">
        <f t="shared" si="24"/>
        <v>3586.3884000000003</v>
      </c>
      <c r="P351" s="199">
        <f>VLOOKUP(A351,'SALE PARTY MASTR '!$B$5:$I$105,7,FALSE)</f>
        <v>2</v>
      </c>
      <c r="Q351" s="199" t="str">
        <f>VLOOKUP(A351,'SALE PARTY MASTR '!$B$5:$I$105,8,FALSE)</f>
        <v>Local Sale</v>
      </c>
      <c r="R351" s="199" t="s">
        <v>894</v>
      </c>
      <c r="S351" s="401">
        <v>85129000</v>
      </c>
      <c r="T351" s="201" t="str">
        <f>VLOOKUP(S351,'SALE HSN MASTER '!$A$6:$D$20,2,FALSE)</f>
        <v>Parts &amp; Accessories Of Motor Vehicles Other</v>
      </c>
      <c r="U351" s="201" t="str">
        <f>VLOOKUP(S351,'SALE HSN MASTER '!$A$6:$D$20,3,FALSE)</f>
        <v>NOS-NUMBERS</v>
      </c>
      <c r="V351" s="201" t="str">
        <f>VLOOKUP(S351,'SALE HSN MASTER '!$A$6:$D$20,4,FALSE)</f>
        <v>Goods</v>
      </c>
      <c r="W351" s="401">
        <v>324</v>
      </c>
    </row>
    <row r="352" spans="1:23" ht="14.4" x14ac:dyDescent="0.3">
      <c r="A352" s="423" t="s">
        <v>27</v>
      </c>
      <c r="B352" s="199" t="str">
        <f>VLOOKUP(A352,'SALE PARTY MASTR '!$B$5:$G$280,2,FALSE)</f>
        <v>Rinder India Pvt Ltd.</v>
      </c>
      <c r="C352" s="397" t="s">
        <v>1325</v>
      </c>
      <c r="D352" s="398">
        <v>43158</v>
      </c>
      <c r="E352" s="320">
        <f t="shared" si="25"/>
        <v>35400</v>
      </c>
      <c r="F352" s="321" t="str">
        <f>VLOOKUP(A352,'SALE PARTY MASTR '!$B$5:$I$105,3,FALSE)</f>
        <v>27-Maharashatra</v>
      </c>
      <c r="G352" s="321" t="str">
        <f>VLOOKUP(A352,'SALE PARTY MASTR '!$B$5:$I$105,4,FALSE)</f>
        <v>N</v>
      </c>
      <c r="H352" s="321" t="str">
        <f>VLOOKUP(A352,'SALE PARTY MASTR '!$B$5:$I$105,5,FALSE)</f>
        <v>Regular</v>
      </c>
      <c r="I352" s="321">
        <f>VLOOKUP(A352,'SALE PARTY MASTR '!$B$5:$I$105,6,FALSE)</f>
        <v>0</v>
      </c>
      <c r="J352" s="262">
        <f>VLOOKUP(S352,'SALE HSN MASTER '!$A$6:$E$20,5,FALSE)</f>
        <v>18</v>
      </c>
      <c r="K352" s="400">
        <v>30000</v>
      </c>
      <c r="L352" s="184"/>
      <c r="M352" s="322">
        <f t="shared" si="26"/>
        <v>0</v>
      </c>
      <c r="N352" s="322">
        <f t="shared" si="23"/>
        <v>2700</v>
      </c>
      <c r="O352" s="322">
        <f t="shared" si="24"/>
        <v>2700</v>
      </c>
      <c r="P352" s="199">
        <f>VLOOKUP(A352,'SALE PARTY MASTR '!$B$5:$I$105,7,FALSE)</f>
        <v>2</v>
      </c>
      <c r="Q352" s="199" t="str">
        <f>VLOOKUP(A352,'SALE PARTY MASTR '!$B$5:$I$105,8,FALSE)</f>
        <v>Local Sale</v>
      </c>
      <c r="R352" s="199" t="s">
        <v>894</v>
      </c>
      <c r="S352" s="401">
        <v>85129000</v>
      </c>
      <c r="T352" s="201" t="str">
        <f>VLOOKUP(S352,'SALE HSN MASTER '!$A$6:$D$20,2,FALSE)</f>
        <v>Parts &amp; Accessories Of Motor Vehicles Other</v>
      </c>
      <c r="U352" s="201" t="str">
        <f>VLOOKUP(S352,'SALE HSN MASTER '!$A$6:$D$20,3,FALSE)</f>
        <v>NOS-NUMBERS</v>
      </c>
      <c r="V352" s="201" t="str">
        <f>VLOOKUP(S352,'SALE HSN MASTER '!$A$6:$D$20,4,FALSE)</f>
        <v>Goods</v>
      </c>
      <c r="W352" s="401">
        <v>1200</v>
      </c>
    </row>
    <row r="353" spans="1:23" ht="14.4" x14ac:dyDescent="0.3">
      <c r="A353" s="423" t="s">
        <v>23</v>
      </c>
      <c r="B353" s="199" t="str">
        <f>VLOOKUP(A353,'SALE PARTY MASTR '!$B$5:$G$280,2,FALSE)</f>
        <v>Varroc Polymers Pvt.ltd.</v>
      </c>
      <c r="C353" s="397" t="s">
        <v>1326</v>
      </c>
      <c r="D353" s="398">
        <v>43158</v>
      </c>
      <c r="E353" s="320">
        <f t="shared" si="25"/>
        <v>27745.919999999998</v>
      </c>
      <c r="F353" s="321" t="str">
        <f>VLOOKUP(A353,'SALE PARTY MASTR '!$B$5:$I$105,3,FALSE)</f>
        <v>27-Maharashatra</v>
      </c>
      <c r="G353" s="321" t="str">
        <f>VLOOKUP(A353,'SALE PARTY MASTR '!$B$5:$I$105,4,FALSE)</f>
        <v>N</v>
      </c>
      <c r="H353" s="321" t="str">
        <f>VLOOKUP(A353,'SALE PARTY MASTR '!$B$5:$I$105,5,FALSE)</f>
        <v>Regular</v>
      </c>
      <c r="I353" s="321">
        <f>VLOOKUP(A353,'SALE PARTY MASTR '!$B$5:$I$105,6,FALSE)</f>
        <v>0</v>
      </c>
      <c r="J353" s="262">
        <f>VLOOKUP(S353,'SALE HSN MASTER '!$A$6:$E$20,5,FALSE)</f>
        <v>28</v>
      </c>
      <c r="K353" s="400">
        <v>21676.5</v>
      </c>
      <c r="L353" s="184"/>
      <c r="M353" s="322">
        <f t="shared" si="26"/>
        <v>0</v>
      </c>
      <c r="N353" s="322">
        <f t="shared" si="23"/>
        <v>3034.7100000000005</v>
      </c>
      <c r="O353" s="322">
        <f t="shared" si="24"/>
        <v>3034.7100000000005</v>
      </c>
      <c r="P353" s="199">
        <f>VLOOKUP(A353,'SALE PARTY MASTR '!$B$5:$I$105,7,FALSE)</f>
        <v>2</v>
      </c>
      <c r="Q353" s="199" t="str">
        <f>VLOOKUP(A353,'SALE PARTY MASTR '!$B$5:$I$105,8,FALSE)</f>
        <v>Local Sale</v>
      </c>
      <c r="R353" s="199" t="s">
        <v>897</v>
      </c>
      <c r="S353" s="401">
        <v>87081090</v>
      </c>
      <c r="T353" s="201" t="str">
        <f>VLOOKUP(S353,'SALE HSN MASTER '!$A$6:$D$20,2,FALSE)</f>
        <v>Parts &amp; Accessories Of Motor Vehicles Other</v>
      </c>
      <c r="U353" s="201" t="str">
        <f>VLOOKUP(S353,'SALE HSN MASTER '!$A$6:$D$20,3,FALSE)</f>
        <v>NOS-NUMBERS</v>
      </c>
      <c r="V353" s="201" t="str">
        <f>VLOOKUP(S353,'SALE HSN MASTER '!$A$6:$D$20,4,FALSE)</f>
        <v>Goods</v>
      </c>
      <c r="W353" s="401">
        <v>300</v>
      </c>
    </row>
    <row r="354" spans="1:23" ht="14.4" x14ac:dyDescent="0.3">
      <c r="A354" s="423" t="s">
        <v>23</v>
      </c>
      <c r="B354" s="199" t="str">
        <f>VLOOKUP(A354,'SALE PARTY MASTR '!$B$5:$G$280,2,FALSE)</f>
        <v>Varroc Polymers Pvt.ltd.</v>
      </c>
      <c r="C354" s="397" t="s">
        <v>1327</v>
      </c>
      <c r="D354" s="398">
        <v>43158</v>
      </c>
      <c r="E354" s="320">
        <f t="shared" si="25"/>
        <v>13484.8</v>
      </c>
      <c r="F354" s="321" t="str">
        <f>VLOOKUP(A354,'SALE PARTY MASTR '!$B$5:$I$105,3,FALSE)</f>
        <v>27-Maharashatra</v>
      </c>
      <c r="G354" s="321" t="str">
        <f>VLOOKUP(A354,'SALE PARTY MASTR '!$B$5:$I$105,4,FALSE)</f>
        <v>N</v>
      </c>
      <c r="H354" s="321" t="str">
        <f>VLOOKUP(A354,'SALE PARTY MASTR '!$B$5:$I$105,5,FALSE)</f>
        <v>Regular</v>
      </c>
      <c r="I354" s="321">
        <f>VLOOKUP(A354,'SALE PARTY MASTR '!$B$5:$I$105,6,FALSE)</f>
        <v>0</v>
      </c>
      <c r="J354" s="262">
        <f>VLOOKUP(S354,'SALE HSN MASTER '!$A$6:$E$20,5,FALSE)</f>
        <v>28</v>
      </c>
      <c r="K354" s="400">
        <v>10535</v>
      </c>
      <c r="L354" s="184"/>
      <c r="M354" s="322">
        <f t="shared" si="26"/>
        <v>0</v>
      </c>
      <c r="N354" s="322">
        <f t="shared" si="23"/>
        <v>1474.9</v>
      </c>
      <c r="O354" s="322">
        <f t="shared" si="24"/>
        <v>1474.9</v>
      </c>
      <c r="P354" s="199">
        <f>VLOOKUP(A354,'SALE PARTY MASTR '!$B$5:$I$105,7,FALSE)</f>
        <v>2</v>
      </c>
      <c r="Q354" s="199" t="str">
        <f>VLOOKUP(A354,'SALE PARTY MASTR '!$B$5:$I$105,8,FALSE)</f>
        <v>Local Sale</v>
      </c>
      <c r="R354" s="199" t="s">
        <v>897</v>
      </c>
      <c r="S354" s="401">
        <v>87141090</v>
      </c>
      <c r="T354" s="201" t="str">
        <f>VLOOKUP(S354,'SALE HSN MASTER '!$A$6:$D$20,2,FALSE)</f>
        <v>Parts &amp; Accessories Of Motor Vehicles Other</v>
      </c>
      <c r="U354" s="201" t="str">
        <f>VLOOKUP(S354,'SALE HSN MASTER '!$A$6:$D$20,3,FALSE)</f>
        <v>NOS-NUMBERS</v>
      </c>
      <c r="V354" s="201" t="str">
        <f>VLOOKUP(S354,'SALE HSN MASTER '!$A$6:$D$20,4,FALSE)</f>
        <v>Goods</v>
      </c>
      <c r="W354" s="401">
        <v>140</v>
      </c>
    </row>
    <row r="355" spans="1:23" ht="14.4" x14ac:dyDescent="0.3">
      <c r="A355" s="423" t="s">
        <v>862</v>
      </c>
      <c r="B355" s="199" t="str">
        <f>VLOOKUP(A355,'SALE PARTY MASTR '!$B$5:$G$280,2,FALSE)</f>
        <v>Varroc Engineering Pvt Ltd</v>
      </c>
      <c r="C355" s="397" t="s">
        <v>1328</v>
      </c>
      <c r="D355" s="398">
        <v>43158</v>
      </c>
      <c r="E355" s="320">
        <f t="shared" ref="E355:E372" si="27">+K355+M355+N355+O355</f>
        <v>38354.688000000002</v>
      </c>
      <c r="F355" s="321" t="str">
        <f>VLOOKUP(A355,'SALE PARTY MASTR '!$B$5:$I$105,3,FALSE)</f>
        <v>27-Maharashatra</v>
      </c>
      <c r="G355" s="321" t="str">
        <f>VLOOKUP(A355,'SALE PARTY MASTR '!$B$5:$I$105,4,FALSE)</f>
        <v>N</v>
      </c>
      <c r="H355" s="321" t="str">
        <f>VLOOKUP(A355,'SALE PARTY MASTR '!$B$5:$I$105,5,FALSE)</f>
        <v>Regular</v>
      </c>
      <c r="I355" s="321">
        <f>VLOOKUP(A355,'SALE PARTY MASTR '!$B$5:$I$105,6,FALSE)</f>
        <v>0</v>
      </c>
      <c r="J355" s="262">
        <f>VLOOKUP(S355,'SALE HSN MASTER '!$A$6:$E$20,5,FALSE)</f>
        <v>28</v>
      </c>
      <c r="K355" s="400">
        <v>29964.6</v>
      </c>
      <c r="L355" s="184"/>
      <c r="M355" s="322">
        <f t="shared" ref="M355:M372" si="28">+IF(P355=1,0,IF(N355=0,J355*K355/100,0))</f>
        <v>0</v>
      </c>
      <c r="N355" s="322">
        <f t="shared" ref="N355:N372" si="29">+IF(P355=1,0,IF(Q355="Local Sale",IF(J355=18,K355*0.09,IF(J355=12,K355*0.06,IF(J355=5,K355*0.025,IF(J355=28,K355*0.14,IF(J355=3,K355*0.015,0))))),0))</f>
        <v>4195.0439999999999</v>
      </c>
      <c r="O355" s="322">
        <f t="shared" ref="O355:O372" si="30">+IF(P355=1,0,IF(Q355="Local Sale",IF(J355=18,K355*0.09,IF(J355=12,K355*0.06,IF(J355=5,K355*0.025,IF(J355=28,K355*0.14,IF(J355=3,K355*0.015,0))))),0))</f>
        <v>4195.0439999999999</v>
      </c>
      <c r="P355" s="199">
        <f>VLOOKUP(A355,'SALE PARTY MASTR '!$B$5:$I$105,7,FALSE)</f>
        <v>2</v>
      </c>
      <c r="Q355" s="199" t="str">
        <f>VLOOKUP(A355,'SALE PARTY MASTR '!$B$5:$I$105,8,FALSE)</f>
        <v>Local Sale</v>
      </c>
      <c r="R355" s="199" t="s">
        <v>897</v>
      </c>
      <c r="S355" s="401">
        <v>85119000</v>
      </c>
      <c r="T355" s="201" t="str">
        <f>VLOOKUP(S355,'SALE HSN MASTER '!$A$6:$D$20,2,FALSE)</f>
        <v>Parts &amp; Accessories Of Motor Vehicles Other</v>
      </c>
      <c r="U355" s="201" t="str">
        <f>VLOOKUP(S355,'SALE HSN MASTER '!$A$6:$D$20,3,FALSE)</f>
        <v>NOS-NUMBERS</v>
      </c>
      <c r="V355" s="201" t="str">
        <f>VLOOKUP(S355,'SALE HSN MASTER '!$A$6:$D$20,4,FALSE)</f>
        <v>Goods</v>
      </c>
      <c r="W355" s="401">
        <v>540</v>
      </c>
    </row>
    <row r="356" spans="1:23" ht="14.4" x14ac:dyDescent="0.3">
      <c r="A356" s="423" t="s">
        <v>862</v>
      </c>
      <c r="B356" s="199" t="str">
        <f>VLOOKUP(A356,'SALE PARTY MASTR '!$B$5:$G$280,2,FALSE)</f>
        <v>Varroc Engineering Pvt Ltd</v>
      </c>
      <c r="C356" s="397" t="s">
        <v>1329</v>
      </c>
      <c r="D356" s="398">
        <v>43158</v>
      </c>
      <c r="E356" s="320">
        <f t="shared" si="27"/>
        <v>30468.096000000001</v>
      </c>
      <c r="F356" s="321" t="str">
        <f>VLOOKUP(A356,'SALE PARTY MASTR '!$B$5:$I$105,3,FALSE)</f>
        <v>27-Maharashatra</v>
      </c>
      <c r="G356" s="321" t="str">
        <f>VLOOKUP(A356,'SALE PARTY MASTR '!$B$5:$I$105,4,FALSE)</f>
        <v>N</v>
      </c>
      <c r="H356" s="321" t="str">
        <f>VLOOKUP(A356,'SALE PARTY MASTR '!$B$5:$I$105,5,FALSE)</f>
        <v>Regular</v>
      </c>
      <c r="I356" s="321">
        <f>VLOOKUP(A356,'SALE PARTY MASTR '!$B$5:$I$105,6,FALSE)</f>
        <v>0</v>
      </c>
      <c r="J356" s="262">
        <f>VLOOKUP(S356,'SALE HSN MASTER '!$A$6:$E$20,5,FALSE)</f>
        <v>28</v>
      </c>
      <c r="K356" s="400">
        <v>23803.200000000001</v>
      </c>
      <c r="L356" s="184"/>
      <c r="M356" s="322">
        <f t="shared" si="28"/>
        <v>0</v>
      </c>
      <c r="N356" s="322">
        <f t="shared" si="29"/>
        <v>3332.4480000000003</v>
      </c>
      <c r="O356" s="322">
        <f t="shared" si="30"/>
        <v>3332.4480000000003</v>
      </c>
      <c r="P356" s="199">
        <f>VLOOKUP(A356,'SALE PARTY MASTR '!$B$5:$I$105,7,FALSE)</f>
        <v>2</v>
      </c>
      <c r="Q356" s="199" t="str">
        <f>VLOOKUP(A356,'SALE PARTY MASTR '!$B$5:$I$105,8,FALSE)</f>
        <v>Local Sale</v>
      </c>
      <c r="R356" s="199" t="s">
        <v>897</v>
      </c>
      <c r="S356" s="401">
        <v>87142090</v>
      </c>
      <c r="T356" s="201" t="str">
        <f>VLOOKUP(S356,'SALE HSN MASTER '!$A$6:$D$20,2,FALSE)</f>
        <v>Parts &amp; Accessories Of Motor Vehicles Other</v>
      </c>
      <c r="U356" s="201" t="str">
        <f>VLOOKUP(S356,'SALE HSN MASTER '!$A$6:$D$20,3,FALSE)</f>
        <v>NOS-NUMBERS</v>
      </c>
      <c r="V356" s="201" t="str">
        <f>VLOOKUP(S356,'SALE HSN MASTER '!$A$6:$D$20,4,FALSE)</f>
        <v>Goods</v>
      </c>
      <c r="W356" s="401">
        <v>540</v>
      </c>
    </row>
    <row r="357" spans="1:23" ht="14.4" x14ac:dyDescent="0.3">
      <c r="A357" s="423" t="s">
        <v>23</v>
      </c>
      <c r="B357" s="199" t="str">
        <f>VLOOKUP(A357,'SALE PARTY MASTR '!$B$5:$G$280,2,FALSE)</f>
        <v>Varroc Polymers Pvt.ltd.</v>
      </c>
      <c r="C357" s="397" t="s">
        <v>1330</v>
      </c>
      <c r="D357" s="398">
        <v>43158</v>
      </c>
      <c r="E357" s="320">
        <f t="shared" si="27"/>
        <v>37734.451200000003</v>
      </c>
      <c r="F357" s="321" t="str">
        <f>VLOOKUP(A357,'SALE PARTY MASTR '!$B$5:$I$105,3,FALSE)</f>
        <v>27-Maharashatra</v>
      </c>
      <c r="G357" s="321" t="str">
        <f>VLOOKUP(A357,'SALE PARTY MASTR '!$B$5:$I$105,4,FALSE)</f>
        <v>N</v>
      </c>
      <c r="H357" s="321" t="str">
        <f>VLOOKUP(A357,'SALE PARTY MASTR '!$B$5:$I$105,5,FALSE)</f>
        <v>Regular</v>
      </c>
      <c r="I357" s="321">
        <f>VLOOKUP(A357,'SALE PARTY MASTR '!$B$5:$I$105,6,FALSE)</f>
        <v>0</v>
      </c>
      <c r="J357" s="262">
        <f>VLOOKUP(S357,'SALE HSN MASTER '!$A$6:$E$20,5,FALSE)</f>
        <v>28</v>
      </c>
      <c r="K357" s="400">
        <v>29480.04</v>
      </c>
      <c r="L357" s="184"/>
      <c r="M357" s="322">
        <f t="shared" si="28"/>
        <v>0</v>
      </c>
      <c r="N357" s="322">
        <f t="shared" si="29"/>
        <v>4127.2056000000002</v>
      </c>
      <c r="O357" s="322">
        <f t="shared" si="30"/>
        <v>4127.2056000000002</v>
      </c>
      <c r="P357" s="199">
        <f>VLOOKUP(A357,'SALE PARTY MASTR '!$B$5:$I$105,7,FALSE)</f>
        <v>2</v>
      </c>
      <c r="Q357" s="199" t="str">
        <f>VLOOKUP(A357,'SALE PARTY MASTR '!$B$5:$I$105,8,FALSE)</f>
        <v>Local Sale</v>
      </c>
      <c r="R357" s="199" t="s">
        <v>897</v>
      </c>
      <c r="S357" s="401">
        <v>87081090</v>
      </c>
      <c r="T357" s="201" t="str">
        <f>VLOOKUP(S357,'SALE HSN MASTER '!$A$6:$D$20,2,FALSE)</f>
        <v>Parts &amp; Accessories Of Motor Vehicles Other</v>
      </c>
      <c r="U357" s="201" t="str">
        <f>VLOOKUP(S357,'SALE HSN MASTER '!$A$6:$D$20,3,FALSE)</f>
        <v>NOS-NUMBERS</v>
      </c>
      <c r="V357" s="201" t="str">
        <f>VLOOKUP(S357,'SALE HSN MASTER '!$A$6:$D$20,4,FALSE)</f>
        <v>Goods</v>
      </c>
      <c r="W357" s="401">
        <v>408</v>
      </c>
    </row>
    <row r="358" spans="1:23" ht="14.4" x14ac:dyDescent="0.3">
      <c r="A358" s="423" t="s">
        <v>24</v>
      </c>
      <c r="B358" s="199" t="str">
        <f>VLOOKUP(A358,'SALE PARTY MASTR '!$B$5:$G$280,2,FALSE)</f>
        <v>Tata Autocomp Systems LTD.(X1)</v>
      </c>
      <c r="C358" s="397" t="s">
        <v>1331</v>
      </c>
      <c r="D358" s="398">
        <v>43159</v>
      </c>
      <c r="E358" s="320">
        <f t="shared" si="27"/>
        <v>46592.409600000006</v>
      </c>
      <c r="F358" s="321" t="str">
        <f>VLOOKUP(A358,'SALE PARTY MASTR '!$B$5:$I$105,3,FALSE)</f>
        <v>27-Maharashatra</v>
      </c>
      <c r="G358" s="321" t="str">
        <f>VLOOKUP(A358,'SALE PARTY MASTR '!$B$5:$I$105,4,FALSE)</f>
        <v>N</v>
      </c>
      <c r="H358" s="321" t="str">
        <f>VLOOKUP(A358,'SALE PARTY MASTR '!$B$5:$I$105,5,FALSE)</f>
        <v>Regular</v>
      </c>
      <c r="I358" s="321">
        <f>VLOOKUP(A358,'SALE PARTY MASTR '!$B$5:$I$105,6,FALSE)</f>
        <v>0</v>
      </c>
      <c r="J358" s="262">
        <f>VLOOKUP(S358,'SALE HSN MASTER '!$A$6:$E$20,5,FALSE)</f>
        <v>28</v>
      </c>
      <c r="K358" s="400">
        <v>36400.32</v>
      </c>
      <c r="L358" s="184"/>
      <c r="M358" s="322">
        <f t="shared" si="28"/>
        <v>0</v>
      </c>
      <c r="N358" s="322">
        <f t="shared" si="29"/>
        <v>5096.0448000000006</v>
      </c>
      <c r="O358" s="322">
        <f t="shared" si="30"/>
        <v>5096.0448000000006</v>
      </c>
      <c r="P358" s="199">
        <f>VLOOKUP(A358,'SALE PARTY MASTR '!$B$5:$I$105,7,FALSE)</f>
        <v>2</v>
      </c>
      <c r="Q358" s="199" t="str">
        <f>VLOOKUP(A358,'SALE PARTY MASTR '!$B$5:$I$105,8,FALSE)</f>
        <v>Local Sale</v>
      </c>
      <c r="R358" s="199" t="s">
        <v>897</v>
      </c>
      <c r="S358" s="401">
        <v>87089900</v>
      </c>
      <c r="T358" s="201" t="str">
        <f>VLOOKUP(S358,'SALE HSN MASTER '!$A$6:$D$20,2,FALSE)</f>
        <v>Parts &amp; Accessories Of Motor Vehicles Other</v>
      </c>
      <c r="U358" s="201" t="str">
        <f>VLOOKUP(S358,'SALE HSN MASTER '!$A$6:$D$20,3,FALSE)</f>
        <v>NOS-NUMBERS</v>
      </c>
      <c r="V358" s="201" t="str">
        <f>VLOOKUP(S358,'SALE HSN MASTER '!$A$6:$D$20,4,FALSE)</f>
        <v>Goods</v>
      </c>
      <c r="W358" s="401">
        <v>76</v>
      </c>
    </row>
    <row r="359" spans="1:23" ht="14.4" x14ac:dyDescent="0.3">
      <c r="A359" s="423" t="s">
        <v>31</v>
      </c>
      <c r="B359" s="199" t="str">
        <f>VLOOKUP(A359,'SALE PARTY MASTR '!$B$5:$G$280,2,FALSE)</f>
        <v>Mittal Precision Auto Comps Pvt Ltd,</v>
      </c>
      <c r="C359" s="397" t="s">
        <v>1332</v>
      </c>
      <c r="D359" s="398">
        <v>43159</v>
      </c>
      <c r="E359" s="320">
        <f t="shared" si="27"/>
        <v>6811.0072</v>
      </c>
      <c r="F359" s="321" t="str">
        <f>VLOOKUP(A359,'SALE PARTY MASTR '!$B$5:$I$105,3,FALSE)</f>
        <v>27-Maharashatra</v>
      </c>
      <c r="G359" s="321" t="str">
        <f>VLOOKUP(A359,'SALE PARTY MASTR '!$B$5:$I$105,4,FALSE)</f>
        <v>N</v>
      </c>
      <c r="H359" s="321" t="str">
        <f>VLOOKUP(A359,'SALE PARTY MASTR '!$B$5:$I$105,5,FALSE)</f>
        <v>Regular</v>
      </c>
      <c r="I359" s="321">
        <f>VLOOKUP(A359,'SALE PARTY MASTR '!$B$5:$I$105,6,FALSE)</f>
        <v>0</v>
      </c>
      <c r="J359" s="262">
        <f>VLOOKUP(S359,'SALE HSN MASTER '!$A$6:$E$20,5,FALSE)</f>
        <v>18</v>
      </c>
      <c r="K359" s="400">
        <v>5772.04</v>
      </c>
      <c r="L359" s="184"/>
      <c r="M359" s="322">
        <f t="shared" si="28"/>
        <v>0</v>
      </c>
      <c r="N359" s="322">
        <f t="shared" si="29"/>
        <v>519.48360000000002</v>
      </c>
      <c r="O359" s="322">
        <f t="shared" si="30"/>
        <v>519.48360000000002</v>
      </c>
      <c r="P359" s="199">
        <f>VLOOKUP(A359,'SALE PARTY MASTR '!$B$5:$I$105,7,FALSE)</f>
        <v>2</v>
      </c>
      <c r="Q359" s="199" t="str">
        <f>VLOOKUP(A359,'SALE PARTY MASTR '!$B$5:$I$105,8,FALSE)</f>
        <v>Local Sale</v>
      </c>
      <c r="R359" s="199" t="s">
        <v>894</v>
      </c>
      <c r="S359" s="401">
        <v>998898</v>
      </c>
      <c r="T359" s="201" t="str">
        <f>VLOOKUP(S359,'SALE HSN MASTER '!$A$6:$D$20,2,FALSE)</f>
        <v>Parts &amp; Accessories Of Motor Vehicles Other</v>
      </c>
      <c r="U359" s="201" t="str">
        <f>VLOOKUP(S359,'SALE HSN MASTER '!$A$6:$D$20,3,FALSE)</f>
        <v>NOS-NUMBERS</v>
      </c>
      <c r="V359" s="201" t="str">
        <f>VLOOKUP(S359,'SALE HSN MASTER '!$A$6:$D$20,4,FALSE)</f>
        <v>Service</v>
      </c>
      <c r="W359" s="401">
        <v>12</v>
      </c>
    </row>
    <row r="360" spans="1:23" ht="14.4" x14ac:dyDescent="0.3">
      <c r="A360" s="423" t="s">
        <v>31</v>
      </c>
      <c r="B360" s="199" t="str">
        <f>VLOOKUP(A360,'SALE PARTY MASTR '!$B$5:$G$280,2,FALSE)</f>
        <v>Mittal Precision Auto Comps Pvt Ltd,</v>
      </c>
      <c r="C360" s="397" t="s">
        <v>1333</v>
      </c>
      <c r="D360" s="398">
        <v>43159</v>
      </c>
      <c r="E360" s="320">
        <f t="shared" si="27"/>
        <v>7109.5944</v>
      </c>
      <c r="F360" s="321" t="str">
        <f>VLOOKUP(A360,'SALE PARTY MASTR '!$B$5:$I$105,3,FALSE)</f>
        <v>27-Maharashatra</v>
      </c>
      <c r="G360" s="321" t="str">
        <f>VLOOKUP(A360,'SALE PARTY MASTR '!$B$5:$I$105,4,FALSE)</f>
        <v>N</v>
      </c>
      <c r="H360" s="321" t="str">
        <f>VLOOKUP(A360,'SALE PARTY MASTR '!$B$5:$I$105,5,FALSE)</f>
        <v>Regular</v>
      </c>
      <c r="I360" s="321">
        <f>VLOOKUP(A360,'SALE PARTY MASTR '!$B$5:$I$105,6,FALSE)</f>
        <v>0</v>
      </c>
      <c r="J360" s="262">
        <f>VLOOKUP(S360,'SALE HSN MASTER '!$A$6:$E$20,5,FALSE)</f>
        <v>18</v>
      </c>
      <c r="K360" s="400">
        <v>6025.08</v>
      </c>
      <c r="L360" s="184"/>
      <c r="M360" s="322">
        <f t="shared" si="28"/>
        <v>0</v>
      </c>
      <c r="N360" s="322">
        <f t="shared" si="29"/>
        <v>542.25720000000001</v>
      </c>
      <c r="O360" s="322">
        <f t="shared" si="30"/>
        <v>542.25720000000001</v>
      </c>
      <c r="P360" s="199">
        <f>VLOOKUP(A360,'SALE PARTY MASTR '!$B$5:$I$105,7,FALSE)</f>
        <v>2</v>
      </c>
      <c r="Q360" s="199" t="str">
        <f>VLOOKUP(A360,'SALE PARTY MASTR '!$B$5:$I$105,8,FALSE)</f>
        <v>Local Sale</v>
      </c>
      <c r="R360" s="199" t="s">
        <v>894</v>
      </c>
      <c r="S360" s="401">
        <v>998898</v>
      </c>
      <c r="T360" s="201" t="str">
        <f>VLOOKUP(S360,'SALE HSN MASTER '!$A$6:$D$20,2,FALSE)</f>
        <v>Parts &amp; Accessories Of Motor Vehicles Other</v>
      </c>
      <c r="U360" s="201" t="str">
        <f>VLOOKUP(S360,'SALE HSN MASTER '!$A$6:$D$20,3,FALSE)</f>
        <v>NOS-NUMBERS</v>
      </c>
      <c r="V360" s="201" t="str">
        <f>VLOOKUP(S360,'SALE HSN MASTER '!$A$6:$D$20,4,FALSE)</f>
        <v>Service</v>
      </c>
      <c r="W360" s="401">
        <v>12</v>
      </c>
    </row>
    <row r="361" spans="1:23" ht="14.4" x14ac:dyDescent="0.3">
      <c r="A361" s="423" t="s">
        <v>23</v>
      </c>
      <c r="B361" s="199" t="str">
        <f>VLOOKUP(A361,'SALE PARTY MASTR '!$B$5:$G$280,2,FALSE)</f>
        <v>Varroc Polymers Pvt.ltd.</v>
      </c>
      <c r="C361" s="397" t="s">
        <v>1334</v>
      </c>
      <c r="D361" s="398">
        <v>43159</v>
      </c>
      <c r="E361" s="320">
        <f t="shared" si="27"/>
        <v>28855.756799999999</v>
      </c>
      <c r="F361" s="321" t="str">
        <f>VLOOKUP(A361,'SALE PARTY MASTR '!$B$5:$I$105,3,FALSE)</f>
        <v>27-Maharashatra</v>
      </c>
      <c r="G361" s="321" t="str">
        <f>VLOOKUP(A361,'SALE PARTY MASTR '!$B$5:$I$105,4,FALSE)</f>
        <v>N</v>
      </c>
      <c r="H361" s="321" t="str">
        <f>VLOOKUP(A361,'SALE PARTY MASTR '!$B$5:$I$105,5,FALSE)</f>
        <v>Regular</v>
      </c>
      <c r="I361" s="321">
        <f>VLOOKUP(A361,'SALE PARTY MASTR '!$B$5:$I$105,6,FALSE)</f>
        <v>0</v>
      </c>
      <c r="J361" s="262">
        <f>VLOOKUP(S361,'SALE HSN MASTER '!$A$6:$E$20,5,FALSE)</f>
        <v>28</v>
      </c>
      <c r="K361" s="400">
        <v>22543.56</v>
      </c>
      <c r="L361" s="184"/>
      <c r="M361" s="322">
        <f t="shared" si="28"/>
        <v>0</v>
      </c>
      <c r="N361" s="322">
        <f t="shared" si="29"/>
        <v>3156.0984000000003</v>
      </c>
      <c r="O361" s="322">
        <f t="shared" si="30"/>
        <v>3156.0984000000003</v>
      </c>
      <c r="P361" s="199">
        <f>VLOOKUP(A361,'SALE PARTY MASTR '!$B$5:$I$105,7,FALSE)</f>
        <v>2</v>
      </c>
      <c r="Q361" s="199" t="str">
        <f>VLOOKUP(A361,'SALE PARTY MASTR '!$B$5:$I$105,8,FALSE)</f>
        <v>Local Sale</v>
      </c>
      <c r="R361" s="199" t="s">
        <v>897</v>
      </c>
      <c r="S361" s="401">
        <v>87081090</v>
      </c>
      <c r="T361" s="201" t="str">
        <f>VLOOKUP(S361,'SALE HSN MASTER '!$A$6:$D$20,2,FALSE)</f>
        <v>Parts &amp; Accessories Of Motor Vehicles Other</v>
      </c>
      <c r="U361" s="201" t="str">
        <f>VLOOKUP(S361,'SALE HSN MASTER '!$A$6:$D$20,3,FALSE)</f>
        <v>NOS-NUMBERS</v>
      </c>
      <c r="V361" s="201" t="str">
        <f>VLOOKUP(S361,'SALE HSN MASTER '!$A$6:$D$20,4,FALSE)</f>
        <v>Goods</v>
      </c>
      <c r="W361" s="401">
        <v>312</v>
      </c>
    </row>
    <row r="362" spans="1:23" ht="14.4" x14ac:dyDescent="0.3">
      <c r="A362" s="423" t="s">
        <v>23</v>
      </c>
      <c r="B362" s="199" t="str">
        <f>VLOOKUP(A362,'SALE PARTY MASTR '!$B$5:$G$280,2,FALSE)</f>
        <v>Varroc Polymers Pvt.ltd.</v>
      </c>
      <c r="C362" s="397" t="s">
        <v>1335</v>
      </c>
      <c r="D362" s="398">
        <v>43159</v>
      </c>
      <c r="E362" s="320">
        <f t="shared" si="27"/>
        <v>28801.279999999999</v>
      </c>
      <c r="F362" s="321" t="str">
        <f>VLOOKUP(A362,'SALE PARTY MASTR '!$B$5:$I$105,3,FALSE)</f>
        <v>27-Maharashatra</v>
      </c>
      <c r="G362" s="321" t="str">
        <f>VLOOKUP(A362,'SALE PARTY MASTR '!$B$5:$I$105,4,FALSE)</f>
        <v>N</v>
      </c>
      <c r="H362" s="321" t="str">
        <f>VLOOKUP(A362,'SALE PARTY MASTR '!$B$5:$I$105,5,FALSE)</f>
        <v>Regular</v>
      </c>
      <c r="I362" s="321">
        <f>VLOOKUP(A362,'SALE PARTY MASTR '!$B$5:$I$105,6,FALSE)</f>
        <v>0</v>
      </c>
      <c r="J362" s="262">
        <f>VLOOKUP(S362,'SALE HSN MASTER '!$A$6:$E$20,5,FALSE)</f>
        <v>28</v>
      </c>
      <c r="K362" s="400">
        <v>22501</v>
      </c>
      <c r="L362" s="184"/>
      <c r="M362" s="322">
        <f t="shared" si="28"/>
        <v>0</v>
      </c>
      <c r="N362" s="322">
        <f t="shared" si="29"/>
        <v>3150.1400000000003</v>
      </c>
      <c r="O362" s="322">
        <f t="shared" si="30"/>
        <v>3150.1400000000003</v>
      </c>
      <c r="P362" s="199">
        <f>VLOOKUP(A362,'SALE PARTY MASTR '!$B$5:$I$105,7,FALSE)</f>
        <v>2</v>
      </c>
      <c r="Q362" s="199" t="str">
        <f>VLOOKUP(A362,'SALE PARTY MASTR '!$B$5:$I$105,8,FALSE)</f>
        <v>Local Sale</v>
      </c>
      <c r="R362" s="199" t="s">
        <v>897</v>
      </c>
      <c r="S362" s="401">
        <v>87141090</v>
      </c>
      <c r="T362" s="201" t="str">
        <f>VLOOKUP(S362,'SALE HSN MASTER '!$A$6:$D$20,2,FALSE)</f>
        <v>Parts &amp; Accessories Of Motor Vehicles Other</v>
      </c>
      <c r="U362" s="201" t="str">
        <f>VLOOKUP(S362,'SALE HSN MASTER '!$A$6:$D$20,3,FALSE)</f>
        <v>NOS-NUMBERS</v>
      </c>
      <c r="V362" s="201" t="str">
        <f>VLOOKUP(S362,'SALE HSN MASTER '!$A$6:$D$20,4,FALSE)</f>
        <v>Goods</v>
      </c>
      <c r="W362" s="401">
        <v>484</v>
      </c>
    </row>
    <row r="363" spans="1:23" ht="14.4" x14ac:dyDescent="0.3">
      <c r="A363" s="423" t="s">
        <v>27</v>
      </c>
      <c r="B363" s="199" t="str">
        <f>VLOOKUP(A363,'SALE PARTY MASTR '!$B$5:$G$280,2,FALSE)</f>
        <v>Rinder India Pvt Ltd.</v>
      </c>
      <c r="C363" s="397" t="s">
        <v>1336</v>
      </c>
      <c r="D363" s="398">
        <v>43159</v>
      </c>
      <c r="E363" s="320">
        <f t="shared" si="27"/>
        <v>28320</v>
      </c>
      <c r="F363" s="321" t="str">
        <f>VLOOKUP(A363,'SALE PARTY MASTR '!$B$5:$I$105,3,FALSE)</f>
        <v>27-Maharashatra</v>
      </c>
      <c r="G363" s="321" t="str">
        <f>VLOOKUP(A363,'SALE PARTY MASTR '!$B$5:$I$105,4,FALSE)</f>
        <v>N</v>
      </c>
      <c r="H363" s="321" t="str">
        <f>VLOOKUP(A363,'SALE PARTY MASTR '!$B$5:$I$105,5,FALSE)</f>
        <v>Regular</v>
      </c>
      <c r="I363" s="321">
        <f>VLOOKUP(A363,'SALE PARTY MASTR '!$B$5:$I$105,6,FALSE)</f>
        <v>0</v>
      </c>
      <c r="J363" s="262">
        <f>VLOOKUP(S363,'SALE HSN MASTER '!$A$6:$E$20,5,FALSE)</f>
        <v>18</v>
      </c>
      <c r="K363" s="400">
        <v>24000</v>
      </c>
      <c r="L363" s="184"/>
      <c r="M363" s="322">
        <f t="shared" si="28"/>
        <v>0</v>
      </c>
      <c r="N363" s="322">
        <f t="shared" si="29"/>
        <v>2160</v>
      </c>
      <c r="O363" s="322">
        <f t="shared" si="30"/>
        <v>2160</v>
      </c>
      <c r="P363" s="199">
        <f>VLOOKUP(A363,'SALE PARTY MASTR '!$B$5:$I$105,7,FALSE)</f>
        <v>2</v>
      </c>
      <c r="Q363" s="199" t="str">
        <f>VLOOKUP(A363,'SALE PARTY MASTR '!$B$5:$I$105,8,FALSE)</f>
        <v>Local Sale</v>
      </c>
      <c r="R363" s="199" t="s">
        <v>894</v>
      </c>
      <c r="S363" s="401">
        <v>85129000</v>
      </c>
      <c r="T363" s="201" t="str">
        <f>VLOOKUP(S363,'SALE HSN MASTER '!$A$6:$D$20,2,FALSE)</f>
        <v>Parts &amp; Accessories Of Motor Vehicles Other</v>
      </c>
      <c r="U363" s="201" t="str">
        <f>VLOOKUP(S363,'SALE HSN MASTER '!$A$6:$D$20,3,FALSE)</f>
        <v>NOS-NUMBERS</v>
      </c>
      <c r="V363" s="201" t="str">
        <f>VLOOKUP(S363,'SALE HSN MASTER '!$A$6:$D$20,4,FALSE)</f>
        <v>Goods</v>
      </c>
      <c r="W363" s="401">
        <v>960</v>
      </c>
    </row>
    <row r="364" spans="1:23" ht="14.4" x14ac:dyDescent="0.3">
      <c r="A364" s="423" t="s">
        <v>31</v>
      </c>
      <c r="B364" s="199" t="str">
        <f>VLOOKUP(A364,'SALE PARTY MASTR '!$B$5:$G$280,2,FALSE)</f>
        <v>Mittal Precision Auto Comps Pvt Ltd,</v>
      </c>
      <c r="C364" s="397" t="s">
        <v>1337</v>
      </c>
      <c r="D364" s="398">
        <v>43159</v>
      </c>
      <c r="E364" s="320">
        <f t="shared" si="27"/>
        <v>6811.0072</v>
      </c>
      <c r="F364" s="321" t="str">
        <f>VLOOKUP(A364,'SALE PARTY MASTR '!$B$5:$I$105,3,FALSE)</f>
        <v>27-Maharashatra</v>
      </c>
      <c r="G364" s="321" t="str">
        <f>VLOOKUP(A364,'SALE PARTY MASTR '!$B$5:$I$105,4,FALSE)</f>
        <v>N</v>
      </c>
      <c r="H364" s="321" t="str">
        <f>VLOOKUP(A364,'SALE PARTY MASTR '!$B$5:$I$105,5,FALSE)</f>
        <v>Regular</v>
      </c>
      <c r="I364" s="321">
        <f>VLOOKUP(A364,'SALE PARTY MASTR '!$B$5:$I$105,6,FALSE)</f>
        <v>0</v>
      </c>
      <c r="J364" s="262">
        <f>VLOOKUP(S364,'SALE HSN MASTER '!$A$6:$E$20,5,FALSE)</f>
        <v>18</v>
      </c>
      <c r="K364" s="400">
        <v>5772.04</v>
      </c>
      <c r="L364" s="184"/>
      <c r="M364" s="322">
        <f t="shared" si="28"/>
        <v>0</v>
      </c>
      <c r="N364" s="322">
        <f t="shared" si="29"/>
        <v>519.48360000000002</v>
      </c>
      <c r="O364" s="322">
        <f t="shared" si="30"/>
        <v>519.48360000000002</v>
      </c>
      <c r="P364" s="199">
        <f>VLOOKUP(A364,'SALE PARTY MASTR '!$B$5:$I$105,7,FALSE)</f>
        <v>2</v>
      </c>
      <c r="Q364" s="199" t="str">
        <f>VLOOKUP(A364,'SALE PARTY MASTR '!$B$5:$I$105,8,FALSE)</f>
        <v>Local Sale</v>
      </c>
      <c r="R364" s="199" t="s">
        <v>894</v>
      </c>
      <c r="S364" s="401">
        <v>998898</v>
      </c>
      <c r="T364" s="201" t="str">
        <f>VLOOKUP(S364,'SALE HSN MASTER '!$A$6:$D$20,2,FALSE)</f>
        <v>Parts &amp; Accessories Of Motor Vehicles Other</v>
      </c>
      <c r="U364" s="201" t="str">
        <f>VLOOKUP(S364,'SALE HSN MASTER '!$A$6:$D$20,3,FALSE)</f>
        <v>NOS-NUMBERS</v>
      </c>
      <c r="V364" s="201" t="str">
        <f>VLOOKUP(S364,'SALE HSN MASTER '!$A$6:$D$20,4,FALSE)</f>
        <v>Service</v>
      </c>
      <c r="W364" s="401">
        <v>12</v>
      </c>
    </row>
    <row r="365" spans="1:23" ht="14.4" x14ac:dyDescent="0.3">
      <c r="A365" s="423" t="s">
        <v>32</v>
      </c>
      <c r="B365" s="199" t="str">
        <f>VLOOKUP(A365,'SALE PARTY MASTR '!$B$5:$G$280,2,FALSE)</f>
        <v>Pricol Ltd (Formerly Pricol Pune Ltd)</v>
      </c>
      <c r="C365" s="397" t="s">
        <v>1338</v>
      </c>
      <c r="D365" s="398">
        <v>43159</v>
      </c>
      <c r="E365" s="320">
        <f t="shared" si="27"/>
        <v>38589.440000000002</v>
      </c>
      <c r="F365" s="321" t="str">
        <f>VLOOKUP(A365,'SALE PARTY MASTR '!$B$5:$I$105,3,FALSE)</f>
        <v>27-Maharashatra</v>
      </c>
      <c r="G365" s="321" t="str">
        <f>VLOOKUP(A365,'SALE PARTY MASTR '!$B$5:$I$105,4,FALSE)</f>
        <v>N</v>
      </c>
      <c r="H365" s="321" t="str">
        <f>VLOOKUP(A365,'SALE PARTY MASTR '!$B$5:$I$105,5,FALSE)</f>
        <v>Regular</v>
      </c>
      <c r="I365" s="321">
        <f>VLOOKUP(A365,'SALE PARTY MASTR '!$B$5:$I$105,6,FALSE)</f>
        <v>0</v>
      </c>
      <c r="J365" s="262">
        <f>VLOOKUP(S365,'SALE HSN MASTER '!$A$6:$E$20,5,FALSE)</f>
        <v>28</v>
      </c>
      <c r="K365" s="400">
        <v>30148</v>
      </c>
      <c r="L365" s="184"/>
      <c r="M365" s="322">
        <f t="shared" si="28"/>
        <v>0</v>
      </c>
      <c r="N365" s="322">
        <f t="shared" si="29"/>
        <v>4220.72</v>
      </c>
      <c r="O365" s="322">
        <f t="shared" si="30"/>
        <v>4220.72</v>
      </c>
      <c r="P365" s="199">
        <f>VLOOKUP(A365,'SALE PARTY MASTR '!$B$5:$I$105,7,FALSE)</f>
        <v>2</v>
      </c>
      <c r="Q365" s="199" t="str">
        <f>VLOOKUP(A365,'SALE PARTY MASTR '!$B$5:$I$105,8,FALSE)</f>
        <v>Local Sale</v>
      </c>
      <c r="R365" s="199" t="s">
        <v>897</v>
      </c>
      <c r="S365" s="401">
        <v>87141090</v>
      </c>
      <c r="T365" s="201" t="str">
        <f>VLOOKUP(S365,'SALE HSN MASTER '!$A$6:$D$20,2,FALSE)</f>
        <v>Parts &amp; Accessories Of Motor Vehicles Other</v>
      </c>
      <c r="U365" s="201" t="str">
        <f>VLOOKUP(S365,'SALE HSN MASTER '!$A$6:$D$20,3,FALSE)</f>
        <v>NOS-NUMBERS</v>
      </c>
      <c r="V365" s="201" t="str">
        <f>VLOOKUP(S365,'SALE HSN MASTER '!$A$6:$D$20,4,FALSE)</f>
        <v>Goods</v>
      </c>
      <c r="W365" s="401">
        <v>400</v>
      </c>
    </row>
    <row r="366" spans="1:23" ht="14.4" x14ac:dyDescent="0.3">
      <c r="A366" s="423" t="s">
        <v>25</v>
      </c>
      <c r="B366" s="199" t="str">
        <f>VLOOKUP(A366,'SALE PARTY MASTR '!$B$5:$G$280,2,FALSE)</f>
        <v>VE Commercial vehicles Ltd</v>
      </c>
      <c r="C366" s="397" t="s">
        <v>1339</v>
      </c>
      <c r="D366" s="398">
        <v>43159</v>
      </c>
      <c r="E366" s="320">
        <f t="shared" si="27"/>
        <v>41690.879999999997</v>
      </c>
      <c r="F366" s="321" t="str">
        <f>VLOOKUP(A366,'SALE PARTY MASTR '!$B$5:$I$105,3,FALSE)</f>
        <v>23-Madhya Pradesh</v>
      </c>
      <c r="G366" s="321" t="str">
        <f>VLOOKUP(A366,'SALE PARTY MASTR '!$B$5:$I$105,4,FALSE)</f>
        <v>N</v>
      </c>
      <c r="H366" s="321" t="str">
        <f>VLOOKUP(A366,'SALE PARTY MASTR '!$B$5:$I$105,5,FALSE)</f>
        <v>Regular</v>
      </c>
      <c r="I366" s="321">
        <f>VLOOKUP(A366,'SALE PARTY MASTR '!$B$5:$I$105,6,FALSE)</f>
        <v>0</v>
      </c>
      <c r="J366" s="262">
        <f>VLOOKUP(S366,'SALE HSN MASTER '!$A$6:$E$20,5,FALSE)</f>
        <v>28</v>
      </c>
      <c r="K366" s="400">
        <v>32571</v>
      </c>
      <c r="L366" s="184"/>
      <c r="M366" s="322">
        <f t="shared" si="28"/>
        <v>9119.8799999999992</v>
      </c>
      <c r="N366" s="322">
        <f t="shared" si="29"/>
        <v>0</v>
      </c>
      <c r="O366" s="322">
        <f t="shared" si="30"/>
        <v>0</v>
      </c>
      <c r="P366" s="199">
        <f>VLOOKUP(A366,'SALE PARTY MASTR '!$B$5:$I$105,7,FALSE)</f>
        <v>2</v>
      </c>
      <c r="Q366" s="199" t="str">
        <f>VLOOKUP(A366,'SALE PARTY MASTR '!$B$5:$I$105,8,FALSE)</f>
        <v>Oms Sale</v>
      </c>
      <c r="R366" s="199" t="s">
        <v>903</v>
      </c>
      <c r="S366" s="401">
        <v>87081090</v>
      </c>
      <c r="T366" s="201" t="str">
        <f>VLOOKUP(S366,'SALE HSN MASTER '!$A$6:$D$20,2,FALSE)</f>
        <v>Parts &amp; Accessories Of Motor Vehicles Other</v>
      </c>
      <c r="U366" s="201" t="str">
        <f>VLOOKUP(S366,'SALE HSN MASTER '!$A$6:$D$20,3,FALSE)</f>
        <v>NOS-NUMBERS</v>
      </c>
      <c r="V366" s="201" t="str">
        <f>VLOOKUP(S366,'SALE HSN MASTER '!$A$6:$D$20,4,FALSE)</f>
        <v>Goods</v>
      </c>
      <c r="W366" s="401">
        <v>100</v>
      </c>
    </row>
    <row r="367" spans="1:23" ht="14.4" x14ac:dyDescent="0.3">
      <c r="A367" s="423" t="s">
        <v>25</v>
      </c>
      <c r="B367" s="199" t="str">
        <f>VLOOKUP(A367,'SALE PARTY MASTR '!$B$5:$G$280,2,FALSE)</f>
        <v>VE Commercial vehicles Ltd</v>
      </c>
      <c r="C367" s="397" t="s">
        <v>1340</v>
      </c>
      <c r="D367" s="398">
        <v>43159</v>
      </c>
      <c r="E367" s="320">
        <f t="shared" si="27"/>
        <v>40312.627200000003</v>
      </c>
      <c r="F367" s="321" t="str">
        <f>VLOOKUP(A367,'SALE PARTY MASTR '!$B$5:$I$105,3,FALSE)</f>
        <v>23-Madhya Pradesh</v>
      </c>
      <c r="G367" s="321" t="str">
        <f>VLOOKUP(A367,'SALE PARTY MASTR '!$B$5:$I$105,4,FALSE)</f>
        <v>N</v>
      </c>
      <c r="H367" s="321" t="str">
        <f>VLOOKUP(A367,'SALE PARTY MASTR '!$B$5:$I$105,5,FALSE)</f>
        <v>Regular</v>
      </c>
      <c r="I367" s="321">
        <f>VLOOKUP(A367,'SALE PARTY MASTR '!$B$5:$I$105,6,FALSE)</f>
        <v>0</v>
      </c>
      <c r="J367" s="262">
        <f>VLOOKUP(S367,'SALE HSN MASTER '!$A$6:$E$20,5,FALSE)</f>
        <v>28</v>
      </c>
      <c r="K367" s="400">
        <v>31494.240000000002</v>
      </c>
      <c r="L367" s="184"/>
      <c r="M367" s="322">
        <f t="shared" si="28"/>
        <v>8818.387200000001</v>
      </c>
      <c r="N367" s="322">
        <f t="shared" si="29"/>
        <v>0</v>
      </c>
      <c r="O367" s="322">
        <f t="shared" si="30"/>
        <v>0</v>
      </c>
      <c r="P367" s="199">
        <f>VLOOKUP(A367,'SALE PARTY MASTR '!$B$5:$I$105,7,FALSE)</f>
        <v>2</v>
      </c>
      <c r="Q367" s="199" t="str">
        <f>VLOOKUP(A367,'SALE PARTY MASTR '!$B$5:$I$105,8,FALSE)</f>
        <v>Oms Sale</v>
      </c>
      <c r="R367" s="199" t="s">
        <v>903</v>
      </c>
      <c r="S367" s="401">
        <v>87081090</v>
      </c>
      <c r="T367" s="201" t="str">
        <f>VLOOKUP(S367,'SALE HSN MASTER '!$A$6:$D$20,2,FALSE)</f>
        <v>Parts &amp; Accessories Of Motor Vehicles Other</v>
      </c>
      <c r="U367" s="201" t="str">
        <f>VLOOKUP(S367,'SALE HSN MASTER '!$A$6:$D$20,3,FALSE)</f>
        <v>NOS-NUMBERS</v>
      </c>
      <c r="V367" s="201" t="str">
        <f>VLOOKUP(S367,'SALE HSN MASTER '!$A$6:$D$20,4,FALSE)</f>
        <v>Goods</v>
      </c>
      <c r="W367" s="401">
        <v>16</v>
      </c>
    </row>
    <row r="368" spans="1:23" ht="14.4" x14ac:dyDescent="0.3">
      <c r="A368" s="423" t="s">
        <v>25</v>
      </c>
      <c r="B368" s="199" t="str">
        <f>VLOOKUP(A368,'SALE PARTY MASTR '!$B$5:$G$280,2,FALSE)</f>
        <v>VE Commercial vehicles Ltd</v>
      </c>
      <c r="C368" s="397" t="s">
        <v>1341</v>
      </c>
      <c r="D368" s="398">
        <v>43159</v>
      </c>
      <c r="E368" s="320">
        <f t="shared" si="27"/>
        <v>34848.998399999997</v>
      </c>
      <c r="F368" s="321" t="str">
        <f>VLOOKUP(A368,'SALE PARTY MASTR '!$B$5:$I$105,3,FALSE)</f>
        <v>23-Madhya Pradesh</v>
      </c>
      <c r="G368" s="321" t="str">
        <f>VLOOKUP(A368,'SALE PARTY MASTR '!$B$5:$I$105,4,FALSE)</f>
        <v>N</v>
      </c>
      <c r="H368" s="321" t="str">
        <f>VLOOKUP(A368,'SALE PARTY MASTR '!$B$5:$I$105,5,FALSE)</f>
        <v>Regular</v>
      </c>
      <c r="I368" s="321">
        <f>VLOOKUP(A368,'SALE PARTY MASTR '!$B$5:$I$105,6,FALSE)</f>
        <v>0</v>
      </c>
      <c r="J368" s="262">
        <f>VLOOKUP(S368,'SALE HSN MASTER '!$A$6:$E$20,5,FALSE)</f>
        <v>28</v>
      </c>
      <c r="K368" s="400">
        <v>27225.78</v>
      </c>
      <c r="L368" s="184"/>
      <c r="M368" s="322">
        <f t="shared" si="28"/>
        <v>7623.2183999999997</v>
      </c>
      <c r="N368" s="322">
        <f t="shared" si="29"/>
        <v>0</v>
      </c>
      <c r="O368" s="322">
        <f t="shared" si="30"/>
        <v>0</v>
      </c>
      <c r="P368" s="199">
        <f>VLOOKUP(A368,'SALE PARTY MASTR '!$B$5:$I$105,7,FALSE)</f>
        <v>2</v>
      </c>
      <c r="Q368" s="199" t="str">
        <f>VLOOKUP(A368,'SALE PARTY MASTR '!$B$5:$I$105,8,FALSE)</f>
        <v>Oms Sale</v>
      </c>
      <c r="R368" s="199" t="s">
        <v>903</v>
      </c>
      <c r="S368" s="401">
        <v>87081090</v>
      </c>
      <c r="T368" s="201" t="str">
        <f>VLOOKUP(S368,'SALE HSN MASTER '!$A$6:$D$20,2,FALSE)</f>
        <v>Parts &amp; Accessories Of Motor Vehicles Other</v>
      </c>
      <c r="U368" s="201" t="str">
        <f>VLOOKUP(S368,'SALE HSN MASTER '!$A$6:$D$20,3,FALSE)</f>
        <v>NOS-NUMBERS</v>
      </c>
      <c r="V368" s="201" t="str">
        <f>VLOOKUP(S368,'SALE HSN MASTER '!$A$6:$D$20,4,FALSE)</f>
        <v>Goods</v>
      </c>
      <c r="W368" s="401">
        <v>29</v>
      </c>
    </row>
    <row r="369" spans="1:23" ht="14.4" x14ac:dyDescent="0.3">
      <c r="A369" s="423" t="s">
        <v>25</v>
      </c>
      <c r="B369" s="199" t="str">
        <f>VLOOKUP(A369,'SALE PARTY MASTR '!$B$5:$G$280,2,FALSE)</f>
        <v>VE Commercial vehicles Ltd</v>
      </c>
      <c r="C369" s="397" t="s">
        <v>1342</v>
      </c>
      <c r="D369" s="398">
        <v>43159</v>
      </c>
      <c r="E369" s="320">
        <f t="shared" si="27"/>
        <v>15597.0816</v>
      </c>
      <c r="F369" s="321" t="str">
        <f>VLOOKUP(A369,'SALE PARTY MASTR '!$B$5:$I$105,3,FALSE)</f>
        <v>23-Madhya Pradesh</v>
      </c>
      <c r="G369" s="321" t="str">
        <f>VLOOKUP(A369,'SALE PARTY MASTR '!$B$5:$I$105,4,FALSE)</f>
        <v>N</v>
      </c>
      <c r="H369" s="321" t="str">
        <f>VLOOKUP(A369,'SALE PARTY MASTR '!$B$5:$I$105,5,FALSE)</f>
        <v>Regular</v>
      </c>
      <c r="I369" s="321">
        <f>VLOOKUP(A369,'SALE PARTY MASTR '!$B$5:$I$105,6,FALSE)</f>
        <v>0</v>
      </c>
      <c r="J369" s="262">
        <f>VLOOKUP(S369,'SALE HSN MASTER '!$A$6:$E$20,5,FALSE)</f>
        <v>28</v>
      </c>
      <c r="K369" s="400">
        <v>12185.22</v>
      </c>
      <c r="L369" s="184"/>
      <c r="M369" s="322">
        <f t="shared" si="28"/>
        <v>3411.8615999999997</v>
      </c>
      <c r="N369" s="322">
        <f t="shared" si="29"/>
        <v>0</v>
      </c>
      <c r="O369" s="322">
        <f t="shared" si="30"/>
        <v>0</v>
      </c>
      <c r="P369" s="199">
        <f>VLOOKUP(A369,'SALE PARTY MASTR '!$B$5:$I$105,7,FALSE)</f>
        <v>2</v>
      </c>
      <c r="Q369" s="199" t="str">
        <f>VLOOKUP(A369,'SALE PARTY MASTR '!$B$5:$I$105,8,FALSE)</f>
        <v>Oms Sale</v>
      </c>
      <c r="R369" s="199" t="s">
        <v>903</v>
      </c>
      <c r="S369" s="401">
        <v>87081090</v>
      </c>
      <c r="T369" s="201" t="str">
        <f>VLOOKUP(S369,'SALE HSN MASTER '!$A$6:$D$20,2,FALSE)</f>
        <v>Parts &amp; Accessories Of Motor Vehicles Other</v>
      </c>
      <c r="U369" s="201" t="str">
        <f>VLOOKUP(S369,'SALE HSN MASTER '!$A$6:$D$20,3,FALSE)</f>
        <v>NOS-NUMBERS</v>
      </c>
      <c r="V369" s="201" t="str">
        <f>VLOOKUP(S369,'SALE HSN MASTER '!$A$6:$D$20,4,FALSE)</f>
        <v>Goods</v>
      </c>
      <c r="W369" s="401">
        <v>6</v>
      </c>
    </row>
    <row r="370" spans="1:23" ht="14.4" x14ac:dyDescent="0.3">
      <c r="A370" s="423" t="s">
        <v>23</v>
      </c>
      <c r="B370" s="199" t="str">
        <f>VLOOKUP(A370,'SALE PARTY MASTR '!$B$5:$G$280,2,FALSE)</f>
        <v>Varroc Polymers Pvt.ltd.</v>
      </c>
      <c r="C370" s="397" t="s">
        <v>1343</v>
      </c>
      <c r="D370" s="398">
        <v>43159</v>
      </c>
      <c r="E370" s="320">
        <f t="shared" si="27"/>
        <v>9246.7200000000012</v>
      </c>
      <c r="F370" s="321" t="str">
        <f>VLOOKUP(A370,'SALE PARTY MASTR '!$B$5:$I$105,3,FALSE)</f>
        <v>27-Maharashatra</v>
      </c>
      <c r="G370" s="321" t="str">
        <f>VLOOKUP(A370,'SALE PARTY MASTR '!$B$5:$I$105,4,FALSE)</f>
        <v>N</v>
      </c>
      <c r="H370" s="321" t="str">
        <f>VLOOKUP(A370,'SALE PARTY MASTR '!$B$5:$I$105,5,FALSE)</f>
        <v>Regular</v>
      </c>
      <c r="I370" s="321">
        <f>VLOOKUP(A370,'SALE PARTY MASTR '!$B$5:$I$105,6,FALSE)</f>
        <v>0</v>
      </c>
      <c r="J370" s="262">
        <f>VLOOKUP(S370,'SALE HSN MASTER '!$A$6:$E$20,5,FALSE)</f>
        <v>28</v>
      </c>
      <c r="K370" s="400">
        <v>7224</v>
      </c>
      <c r="L370" s="184"/>
      <c r="M370" s="322">
        <f t="shared" si="28"/>
        <v>0</v>
      </c>
      <c r="N370" s="322">
        <f t="shared" si="29"/>
        <v>1011.3600000000001</v>
      </c>
      <c r="O370" s="322">
        <f t="shared" si="30"/>
        <v>1011.3600000000001</v>
      </c>
      <c r="P370" s="199">
        <f>VLOOKUP(A370,'SALE PARTY MASTR '!$B$5:$I$105,7,FALSE)</f>
        <v>2</v>
      </c>
      <c r="Q370" s="199" t="str">
        <f>VLOOKUP(A370,'SALE PARTY MASTR '!$B$5:$I$105,8,FALSE)</f>
        <v>Local Sale</v>
      </c>
      <c r="R370" s="199" t="s">
        <v>897</v>
      </c>
      <c r="S370" s="401">
        <v>87141090</v>
      </c>
      <c r="T370" s="201" t="str">
        <f>VLOOKUP(S370,'SALE HSN MASTER '!$A$6:$D$20,2,FALSE)</f>
        <v>Parts &amp; Accessories Of Motor Vehicles Other</v>
      </c>
      <c r="U370" s="201" t="str">
        <f>VLOOKUP(S370,'SALE HSN MASTER '!$A$6:$D$20,3,FALSE)</f>
        <v>NOS-NUMBERS</v>
      </c>
      <c r="V370" s="201" t="str">
        <f>VLOOKUP(S370,'SALE HSN MASTER '!$A$6:$D$20,4,FALSE)</f>
        <v>Goods</v>
      </c>
      <c r="W370" s="401">
        <v>96</v>
      </c>
    </row>
    <row r="371" spans="1:23" ht="14.4" x14ac:dyDescent="0.3">
      <c r="A371" s="423" t="s">
        <v>23</v>
      </c>
      <c r="B371" s="199" t="str">
        <f>VLOOKUP(A371,'SALE PARTY MASTR '!$B$5:$G$280,2,FALSE)</f>
        <v>Varroc Polymers Pvt.ltd.</v>
      </c>
      <c r="C371" s="397" t="s">
        <v>1344</v>
      </c>
      <c r="D371" s="398">
        <v>43159</v>
      </c>
      <c r="E371" s="320">
        <f t="shared" si="27"/>
        <v>44393.472000000002</v>
      </c>
      <c r="F371" s="321" t="str">
        <f>VLOOKUP(A371,'SALE PARTY MASTR '!$B$5:$I$105,3,FALSE)</f>
        <v>27-Maharashatra</v>
      </c>
      <c r="G371" s="321" t="str">
        <f>VLOOKUP(A371,'SALE PARTY MASTR '!$B$5:$I$105,4,FALSE)</f>
        <v>N</v>
      </c>
      <c r="H371" s="321" t="str">
        <f>VLOOKUP(A371,'SALE PARTY MASTR '!$B$5:$I$105,5,FALSE)</f>
        <v>Regular</v>
      </c>
      <c r="I371" s="321">
        <f>VLOOKUP(A371,'SALE PARTY MASTR '!$B$5:$I$105,6,FALSE)</f>
        <v>0</v>
      </c>
      <c r="J371" s="262">
        <f>VLOOKUP(S371,'SALE HSN MASTER '!$A$6:$E$20,5,FALSE)</f>
        <v>28</v>
      </c>
      <c r="K371" s="337">
        <v>34682.400000000001</v>
      </c>
      <c r="L371" s="184"/>
      <c r="M371" s="322">
        <f t="shared" si="28"/>
        <v>0</v>
      </c>
      <c r="N371" s="322">
        <f t="shared" si="29"/>
        <v>4855.536000000001</v>
      </c>
      <c r="O371" s="322">
        <f t="shared" si="30"/>
        <v>4855.536000000001</v>
      </c>
      <c r="P371" s="199">
        <f>VLOOKUP(A371,'SALE PARTY MASTR '!$B$5:$I$105,7,FALSE)</f>
        <v>2</v>
      </c>
      <c r="Q371" s="199" t="str">
        <f>VLOOKUP(A371,'SALE PARTY MASTR '!$B$5:$I$105,8,FALSE)</f>
        <v>Local Sale</v>
      </c>
      <c r="R371" s="199" t="s">
        <v>897</v>
      </c>
      <c r="S371" s="401">
        <v>87081090</v>
      </c>
      <c r="T371" s="201" t="str">
        <f>VLOOKUP(S371,'SALE HSN MASTER '!$A$6:$D$20,2,FALSE)</f>
        <v>Parts &amp; Accessories Of Motor Vehicles Other</v>
      </c>
      <c r="U371" s="201" t="str">
        <f>VLOOKUP(S371,'SALE HSN MASTER '!$A$6:$D$20,3,FALSE)</f>
        <v>NOS-NUMBERS</v>
      </c>
      <c r="V371" s="201" t="str">
        <f>VLOOKUP(S371,'SALE HSN MASTER '!$A$6:$D$20,4,FALSE)</f>
        <v>Goods</v>
      </c>
      <c r="W371" s="401">
        <v>480</v>
      </c>
    </row>
    <row r="372" spans="1:23" ht="14.4" x14ac:dyDescent="0.3">
      <c r="A372" s="423" t="s">
        <v>23</v>
      </c>
      <c r="B372" s="199" t="str">
        <f>VLOOKUP(A372,'SALE PARTY MASTR '!$B$5:$G$280,2,FALSE)</f>
        <v>Varroc Polymers Pvt.ltd.</v>
      </c>
      <c r="C372" s="397" t="s">
        <v>1345</v>
      </c>
      <c r="D372" s="398">
        <v>43159</v>
      </c>
      <c r="E372" s="320">
        <f t="shared" si="27"/>
        <v>37734.451200000003</v>
      </c>
      <c r="F372" s="321" t="str">
        <f>VLOOKUP(A372,'SALE PARTY MASTR '!$B$5:$I$105,3,FALSE)</f>
        <v>27-Maharashatra</v>
      </c>
      <c r="G372" s="321" t="str">
        <f>VLOOKUP(A372,'SALE PARTY MASTR '!$B$5:$I$105,4,FALSE)</f>
        <v>N</v>
      </c>
      <c r="H372" s="321" t="str">
        <f>VLOOKUP(A372,'SALE PARTY MASTR '!$B$5:$I$105,5,FALSE)</f>
        <v>Regular</v>
      </c>
      <c r="I372" s="321">
        <f>VLOOKUP(A372,'SALE PARTY MASTR '!$B$5:$I$105,6,FALSE)</f>
        <v>0</v>
      </c>
      <c r="J372" s="262">
        <f>VLOOKUP(S372,'SALE HSN MASTER '!$A$6:$E$20,5,FALSE)</f>
        <v>28</v>
      </c>
      <c r="K372" s="337">
        <v>29480.04</v>
      </c>
      <c r="L372" s="184"/>
      <c r="M372" s="322">
        <f t="shared" si="28"/>
        <v>0</v>
      </c>
      <c r="N372" s="322">
        <f t="shared" si="29"/>
        <v>4127.2056000000002</v>
      </c>
      <c r="O372" s="322">
        <f t="shared" si="30"/>
        <v>4127.2056000000002</v>
      </c>
      <c r="P372" s="199">
        <f>VLOOKUP(A372,'SALE PARTY MASTR '!$B$5:$I$105,7,FALSE)</f>
        <v>2</v>
      </c>
      <c r="Q372" s="199" t="str">
        <f>VLOOKUP(A372,'SALE PARTY MASTR '!$B$5:$I$105,8,FALSE)</f>
        <v>Local Sale</v>
      </c>
      <c r="R372" s="199" t="s">
        <v>897</v>
      </c>
      <c r="S372" s="401">
        <v>87081090</v>
      </c>
      <c r="T372" s="201" t="str">
        <f>VLOOKUP(S372,'SALE HSN MASTER '!$A$6:$D$20,2,FALSE)</f>
        <v>Parts &amp; Accessories Of Motor Vehicles Other</v>
      </c>
      <c r="U372" s="201" t="str">
        <f>VLOOKUP(S372,'SALE HSN MASTER '!$A$6:$D$20,3,FALSE)</f>
        <v>NOS-NUMBERS</v>
      </c>
      <c r="V372" s="201" t="str">
        <f>VLOOKUP(S372,'SALE HSN MASTER '!$A$6:$D$20,4,FALSE)</f>
        <v>Goods</v>
      </c>
      <c r="W372" s="401">
        <v>408</v>
      </c>
    </row>
    <row r="374" spans="1:23" ht="14.4" thickBot="1" x14ac:dyDescent="0.3"/>
    <row r="375" spans="1:23" ht="14.4" thickBot="1" x14ac:dyDescent="0.3">
      <c r="J375" s="386" t="s">
        <v>894</v>
      </c>
      <c r="K375" s="138">
        <f ca="1">SUMIF(SALE!R5:R743,J375,SALE!K5:K737)</f>
        <v>2144326.3699999992</v>
      </c>
    </row>
    <row r="376" spans="1:23" x14ac:dyDescent="0.25">
      <c r="J376" s="386" t="s">
        <v>897</v>
      </c>
      <c r="K376" s="138">
        <f ca="1">SUMIF(SALE!R6:R744,J376,SALE!K6:K738)</f>
        <v>5930777.5900000008</v>
      </c>
    </row>
    <row r="377" spans="1:23" ht="14.4" thickBot="1" x14ac:dyDescent="0.3">
      <c r="K377" s="376">
        <f ca="1">+K376+K375</f>
        <v>8075103.96</v>
      </c>
    </row>
    <row r="378" spans="1:23" ht="14.4" thickBot="1" x14ac:dyDescent="0.3">
      <c r="J378" s="199" t="s">
        <v>897</v>
      </c>
      <c r="K378" s="138">
        <f ca="1">SUMIF(SALE!R8:R746,J378,SALE!K8:K740)</f>
        <v>5930777.5900000008</v>
      </c>
    </row>
    <row r="379" spans="1:23" x14ac:dyDescent="0.25">
      <c r="J379" s="199" t="s">
        <v>894</v>
      </c>
      <c r="K379" s="138">
        <f ca="1">SUMIF(SALE!R9:R747,J379,SALE!K9:K741)</f>
        <v>2114326.3699999992</v>
      </c>
    </row>
    <row r="380" spans="1:23" ht="14.4" thickBot="1" x14ac:dyDescent="0.3">
      <c r="K380" s="376">
        <f ca="1">+K379+K378</f>
        <v>8045103.96</v>
      </c>
    </row>
    <row r="381" spans="1:23" ht="14.4" thickBot="1" x14ac:dyDescent="0.3">
      <c r="J381" s="199" t="s">
        <v>903</v>
      </c>
      <c r="K381" s="138">
        <f ca="1">SUMIF(SALE!R11:R749,J381,SALE!K11:K743)</f>
        <v>372360.85</v>
      </c>
    </row>
    <row r="382" spans="1:23" x14ac:dyDescent="0.25">
      <c r="J382" s="199" t="s">
        <v>908</v>
      </c>
      <c r="K382" s="138">
        <f ca="1">SUMIF(SALE!R12:R750,J382,SALE!K12:K744)</f>
        <v>25307.32</v>
      </c>
    </row>
    <row r="383" spans="1:23" x14ac:dyDescent="0.25">
      <c r="K383" s="376">
        <f ca="1">+K382+K381</f>
        <v>397668.17</v>
      </c>
    </row>
  </sheetData>
  <autoFilter ref="A7:W372"/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'[4]SALE HSN SUMMRY'!#REF!</xm:f>
          </x14:formula1>
          <xm:sqref>S7:S372</xm:sqref>
        </x14:dataValidation>
        <x14:dataValidation type="list" allowBlank="1" showInputMessage="1" showErrorMessage="1">
          <x14:formula1>
            <xm:f>'[4]SALE MASTR PARTY'!#REF!</xm:f>
          </x14:formula1>
          <xm:sqref>A7:A129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31"/>
  <sheetViews>
    <sheetView topLeftCell="A7" workbookViewId="0">
      <selection activeCell="B31" sqref="B31:C31"/>
    </sheetView>
  </sheetViews>
  <sheetFormatPr defaultColWidth="8.88671875" defaultRowHeight="13.8" x14ac:dyDescent="0.25"/>
  <cols>
    <col min="1" max="1" width="4.33203125" style="5" bestFit="1" customWidth="1"/>
    <col min="2" max="2" width="20.5546875" style="5" customWidth="1"/>
    <col min="3" max="3" width="34.6640625" style="5" customWidth="1"/>
    <col min="4" max="4" width="17.44140625" style="5" bestFit="1" customWidth="1"/>
    <col min="5" max="5" width="7.44140625" style="5" bestFit="1" customWidth="1"/>
    <col min="6" max="7" width="8.88671875" style="5"/>
    <col min="8" max="8" width="6.33203125" style="5" bestFit="1" customWidth="1"/>
    <col min="9" max="9" width="8.88671875" style="5" customWidth="1"/>
    <col min="10" max="16384" width="8.88671875" style="5"/>
  </cols>
  <sheetData>
    <row r="3" spans="1:9" x14ac:dyDescent="0.25">
      <c r="A3" s="6" t="s">
        <v>64</v>
      </c>
      <c r="B3" s="6" t="s">
        <v>4</v>
      </c>
      <c r="C3" s="6" t="s">
        <v>6</v>
      </c>
      <c r="D3" s="6" t="s">
        <v>12</v>
      </c>
      <c r="E3" s="6" t="s">
        <v>13</v>
      </c>
      <c r="F3" s="6" t="s">
        <v>8</v>
      </c>
      <c r="G3" s="6" t="s">
        <v>17</v>
      </c>
      <c r="H3" s="17" t="s">
        <v>66</v>
      </c>
      <c r="I3" s="17" t="s">
        <v>67</v>
      </c>
    </row>
    <row r="4" spans="1:9" x14ac:dyDescent="0.25">
      <c r="A4" s="7" t="s">
        <v>65</v>
      </c>
      <c r="B4" s="4" t="s">
        <v>3</v>
      </c>
      <c r="C4" s="4" t="s">
        <v>5</v>
      </c>
      <c r="D4" s="21" t="s">
        <v>11</v>
      </c>
      <c r="E4" s="16" t="s">
        <v>14</v>
      </c>
      <c r="F4" s="21" t="s">
        <v>15</v>
      </c>
      <c r="G4" s="21" t="s">
        <v>16</v>
      </c>
      <c r="H4" s="6" t="s">
        <v>68</v>
      </c>
      <c r="I4" s="6" t="s">
        <v>69</v>
      </c>
    </row>
    <row r="5" spans="1:9" x14ac:dyDescent="0.25">
      <c r="A5" s="8">
        <v>1</v>
      </c>
      <c r="B5" s="9" t="s">
        <v>22</v>
      </c>
      <c r="C5" s="13" t="s">
        <v>43</v>
      </c>
      <c r="D5" s="20" t="s">
        <v>70</v>
      </c>
      <c r="E5" s="20" t="s">
        <v>71</v>
      </c>
      <c r="F5" s="20" t="s">
        <v>72</v>
      </c>
      <c r="G5" s="6"/>
      <c r="H5" s="6">
        <v>2</v>
      </c>
      <c r="I5" s="18" t="s">
        <v>892</v>
      </c>
    </row>
    <row r="6" spans="1:9" x14ac:dyDescent="0.25">
      <c r="A6" s="8">
        <v>2</v>
      </c>
      <c r="B6" s="9" t="s">
        <v>23</v>
      </c>
      <c r="C6" s="13" t="s">
        <v>44</v>
      </c>
      <c r="D6" s="10" t="s">
        <v>70</v>
      </c>
      <c r="E6" s="10" t="s">
        <v>71</v>
      </c>
      <c r="F6" s="10" t="s">
        <v>72</v>
      </c>
      <c r="G6" s="8"/>
      <c r="H6" s="8">
        <v>2</v>
      </c>
      <c r="I6" s="19" t="s">
        <v>892</v>
      </c>
    </row>
    <row r="7" spans="1:9" x14ac:dyDescent="0.25">
      <c r="A7" s="8">
        <v>3</v>
      </c>
      <c r="B7" s="9" t="s">
        <v>24</v>
      </c>
      <c r="C7" s="13" t="s">
        <v>45</v>
      </c>
      <c r="D7" s="10" t="s">
        <v>70</v>
      </c>
      <c r="E7" s="10" t="s">
        <v>71</v>
      </c>
      <c r="F7" s="10" t="s">
        <v>72</v>
      </c>
      <c r="G7" s="8"/>
      <c r="H7" s="8">
        <v>2</v>
      </c>
      <c r="I7" s="19" t="s">
        <v>892</v>
      </c>
    </row>
    <row r="8" spans="1:9" x14ac:dyDescent="0.25">
      <c r="A8" s="8">
        <v>4</v>
      </c>
      <c r="B8" s="9" t="s">
        <v>25</v>
      </c>
      <c r="C8" s="13" t="s">
        <v>46</v>
      </c>
      <c r="D8" s="8" t="s">
        <v>73</v>
      </c>
      <c r="E8" s="10" t="s">
        <v>71</v>
      </c>
      <c r="F8" s="10" t="s">
        <v>72</v>
      </c>
      <c r="G8" s="8"/>
      <c r="H8" s="8">
        <v>2</v>
      </c>
      <c r="I8" s="19" t="s">
        <v>893</v>
      </c>
    </row>
    <row r="9" spans="1:9" x14ac:dyDescent="0.25">
      <c r="A9" s="8">
        <v>5</v>
      </c>
      <c r="B9" s="9" t="s">
        <v>26</v>
      </c>
      <c r="C9" s="13" t="s">
        <v>47</v>
      </c>
      <c r="D9" s="10" t="s">
        <v>70</v>
      </c>
      <c r="E9" s="10" t="s">
        <v>71</v>
      </c>
      <c r="F9" s="10" t="s">
        <v>72</v>
      </c>
      <c r="G9" s="8"/>
      <c r="H9" s="8">
        <v>2</v>
      </c>
      <c r="I9" s="19" t="s">
        <v>892</v>
      </c>
    </row>
    <row r="10" spans="1:9" x14ac:dyDescent="0.25">
      <c r="A10" s="8">
        <v>6</v>
      </c>
      <c r="B10" s="9" t="s">
        <v>27</v>
      </c>
      <c r="C10" s="13" t="s">
        <v>48</v>
      </c>
      <c r="D10" s="10" t="s">
        <v>70</v>
      </c>
      <c r="E10" s="10" t="s">
        <v>71</v>
      </c>
      <c r="F10" s="10" t="s">
        <v>72</v>
      </c>
      <c r="G10" s="8"/>
      <c r="H10" s="8">
        <v>2</v>
      </c>
      <c r="I10" s="19" t="s">
        <v>892</v>
      </c>
    </row>
    <row r="11" spans="1:9" x14ac:dyDescent="0.25">
      <c r="A11" s="8">
        <v>7</v>
      </c>
      <c r="B11" s="9" t="s">
        <v>28</v>
      </c>
      <c r="C11" s="13" t="s">
        <v>49</v>
      </c>
      <c r="D11" s="10" t="s">
        <v>70</v>
      </c>
      <c r="E11" s="10" t="s">
        <v>71</v>
      </c>
      <c r="F11" s="10" t="s">
        <v>72</v>
      </c>
      <c r="G11" s="8"/>
      <c r="H11" s="8">
        <v>2</v>
      </c>
      <c r="I11" s="19" t="s">
        <v>892</v>
      </c>
    </row>
    <row r="12" spans="1:9" x14ac:dyDescent="0.25">
      <c r="A12" s="8">
        <v>8</v>
      </c>
      <c r="B12" s="9" t="s">
        <v>29</v>
      </c>
      <c r="C12" s="13" t="s">
        <v>50</v>
      </c>
      <c r="D12" s="10" t="s">
        <v>70</v>
      </c>
      <c r="E12" s="10" t="s">
        <v>71</v>
      </c>
      <c r="F12" s="10" t="s">
        <v>72</v>
      </c>
      <c r="G12" s="8"/>
      <c r="H12" s="8">
        <v>2</v>
      </c>
      <c r="I12" s="19" t="s">
        <v>893</v>
      </c>
    </row>
    <row r="13" spans="1:9" x14ac:dyDescent="0.25">
      <c r="A13" s="8">
        <v>9</v>
      </c>
      <c r="B13" s="9" t="s">
        <v>30</v>
      </c>
      <c r="C13" s="13" t="s">
        <v>51</v>
      </c>
      <c r="D13" s="10" t="s">
        <v>70</v>
      </c>
      <c r="E13" s="10" t="s">
        <v>71</v>
      </c>
      <c r="F13" s="10" t="s">
        <v>72</v>
      </c>
      <c r="G13" s="8"/>
      <c r="H13" s="8">
        <v>2</v>
      </c>
      <c r="I13" s="19" t="s">
        <v>892</v>
      </c>
    </row>
    <row r="14" spans="1:9" x14ac:dyDescent="0.25">
      <c r="A14" s="8">
        <v>10</v>
      </c>
      <c r="B14" s="9" t="s">
        <v>31</v>
      </c>
      <c r="C14" s="13" t="s">
        <v>52</v>
      </c>
      <c r="D14" s="10" t="s">
        <v>70</v>
      </c>
      <c r="E14" s="10" t="s">
        <v>71</v>
      </c>
      <c r="F14" s="10" t="s">
        <v>72</v>
      </c>
      <c r="G14" s="8"/>
      <c r="H14" s="8">
        <v>2</v>
      </c>
      <c r="I14" s="19" t="s">
        <v>892</v>
      </c>
    </row>
    <row r="15" spans="1:9" x14ac:dyDescent="0.25">
      <c r="A15" s="8">
        <v>11</v>
      </c>
      <c r="B15" s="9" t="s">
        <v>32</v>
      </c>
      <c r="C15" s="13" t="s">
        <v>53</v>
      </c>
      <c r="D15" s="10" t="s">
        <v>70</v>
      </c>
      <c r="E15" s="10" t="s">
        <v>71</v>
      </c>
      <c r="F15" s="10" t="s">
        <v>72</v>
      </c>
      <c r="G15" s="8"/>
      <c r="H15" s="8">
        <v>2</v>
      </c>
      <c r="I15" s="19" t="s">
        <v>892</v>
      </c>
    </row>
    <row r="16" spans="1:9" x14ac:dyDescent="0.25">
      <c r="A16" s="8">
        <v>12</v>
      </c>
      <c r="B16" s="9" t="s">
        <v>33</v>
      </c>
      <c r="C16" s="13" t="s">
        <v>54</v>
      </c>
      <c r="D16" s="10" t="s">
        <v>70</v>
      </c>
      <c r="E16" s="10" t="s">
        <v>71</v>
      </c>
      <c r="F16" s="10" t="s">
        <v>72</v>
      </c>
      <c r="G16" s="8"/>
      <c r="H16" s="8">
        <v>2</v>
      </c>
      <c r="I16" s="19" t="s">
        <v>892</v>
      </c>
    </row>
    <row r="17" spans="1:9" x14ac:dyDescent="0.25">
      <c r="A17" s="8">
        <v>13</v>
      </c>
      <c r="B17" s="9" t="s">
        <v>34</v>
      </c>
      <c r="C17" s="13" t="s">
        <v>55</v>
      </c>
      <c r="D17" s="10" t="s">
        <v>70</v>
      </c>
      <c r="E17" s="10" t="s">
        <v>71</v>
      </c>
      <c r="F17" s="10" t="s">
        <v>72</v>
      </c>
      <c r="G17" s="8"/>
      <c r="H17" s="8">
        <v>2</v>
      </c>
      <c r="I17" s="19" t="s">
        <v>892</v>
      </c>
    </row>
    <row r="18" spans="1:9" x14ac:dyDescent="0.25">
      <c r="A18" s="8">
        <v>14</v>
      </c>
      <c r="B18" s="10" t="s">
        <v>35</v>
      </c>
      <c r="C18" s="14" t="s">
        <v>56</v>
      </c>
      <c r="D18" s="10" t="s">
        <v>70</v>
      </c>
      <c r="E18" s="10" t="s">
        <v>71</v>
      </c>
      <c r="F18" s="10" t="s">
        <v>72</v>
      </c>
      <c r="G18" s="8"/>
      <c r="H18" s="8">
        <v>2</v>
      </c>
      <c r="I18" s="19" t="s">
        <v>892</v>
      </c>
    </row>
    <row r="19" spans="1:9" x14ac:dyDescent="0.25">
      <c r="A19" s="8">
        <v>15</v>
      </c>
      <c r="B19" s="10" t="s">
        <v>36</v>
      </c>
      <c r="C19" s="14" t="s">
        <v>57</v>
      </c>
      <c r="D19" s="10" t="s">
        <v>70</v>
      </c>
      <c r="E19" s="10" t="s">
        <v>71</v>
      </c>
      <c r="F19" s="10" t="s">
        <v>72</v>
      </c>
      <c r="G19" s="8"/>
      <c r="H19" s="8">
        <v>2</v>
      </c>
      <c r="I19" s="19" t="s">
        <v>892</v>
      </c>
    </row>
    <row r="20" spans="1:9" x14ac:dyDescent="0.25">
      <c r="A20" s="8">
        <v>16</v>
      </c>
      <c r="B20" s="11" t="s">
        <v>37</v>
      </c>
      <c r="C20" s="15" t="s">
        <v>58</v>
      </c>
      <c r="D20" s="8" t="s">
        <v>73</v>
      </c>
      <c r="E20" s="10" t="s">
        <v>71</v>
      </c>
      <c r="F20" s="10" t="s">
        <v>72</v>
      </c>
      <c r="G20" s="8"/>
      <c r="H20" s="8">
        <v>2</v>
      </c>
      <c r="I20" s="19" t="s">
        <v>893</v>
      </c>
    </row>
    <row r="21" spans="1:9" x14ac:dyDescent="0.25">
      <c r="A21" s="8">
        <v>17</v>
      </c>
      <c r="B21" s="11" t="s">
        <v>38</v>
      </c>
      <c r="C21" s="15" t="s">
        <v>59</v>
      </c>
      <c r="D21" s="10" t="s">
        <v>70</v>
      </c>
      <c r="E21" s="10" t="s">
        <v>71</v>
      </c>
      <c r="F21" s="10" t="s">
        <v>72</v>
      </c>
      <c r="G21" s="8"/>
      <c r="H21" s="8">
        <v>2</v>
      </c>
      <c r="I21" s="19" t="s">
        <v>892</v>
      </c>
    </row>
    <row r="22" spans="1:9" x14ac:dyDescent="0.25">
      <c r="A22" s="8">
        <v>18</v>
      </c>
      <c r="B22" s="11" t="s">
        <v>39</v>
      </c>
      <c r="C22" s="15" t="s">
        <v>60</v>
      </c>
      <c r="D22" s="10" t="s">
        <v>70</v>
      </c>
      <c r="E22" s="10" t="s">
        <v>71</v>
      </c>
      <c r="F22" s="10" t="s">
        <v>72</v>
      </c>
      <c r="G22" s="8"/>
      <c r="H22" s="8">
        <v>2</v>
      </c>
      <c r="I22" s="19" t="s">
        <v>892</v>
      </c>
    </row>
    <row r="23" spans="1:9" x14ac:dyDescent="0.25">
      <c r="A23" s="8">
        <v>19</v>
      </c>
      <c r="B23" s="10" t="s">
        <v>40</v>
      </c>
      <c r="C23" s="14" t="s">
        <v>61</v>
      </c>
      <c r="D23" s="10" t="s">
        <v>70</v>
      </c>
      <c r="E23" s="10" t="s">
        <v>71</v>
      </c>
      <c r="F23" s="10" t="s">
        <v>72</v>
      </c>
      <c r="G23" s="8"/>
      <c r="H23" s="8">
        <v>2</v>
      </c>
      <c r="I23" s="19" t="s">
        <v>892</v>
      </c>
    </row>
    <row r="24" spans="1:9" x14ac:dyDescent="0.25">
      <c r="A24" s="8">
        <v>20</v>
      </c>
      <c r="B24" s="10" t="s">
        <v>41</v>
      </c>
      <c r="C24" s="14" t="s">
        <v>62</v>
      </c>
      <c r="D24" s="10" t="s">
        <v>70</v>
      </c>
      <c r="E24" s="10" t="s">
        <v>71</v>
      </c>
      <c r="F24" s="10" t="s">
        <v>72</v>
      </c>
      <c r="G24" s="8"/>
      <c r="H24" s="8">
        <v>2</v>
      </c>
      <c r="I24" s="19" t="s">
        <v>892</v>
      </c>
    </row>
    <row r="25" spans="1:9" x14ac:dyDescent="0.25">
      <c r="A25" s="8">
        <v>21</v>
      </c>
      <c r="B25" s="32" t="s">
        <v>976</v>
      </c>
      <c r="C25" s="32" t="s">
        <v>977</v>
      </c>
      <c r="D25" s="10" t="s">
        <v>70</v>
      </c>
      <c r="E25" s="10" t="s">
        <v>71</v>
      </c>
      <c r="F25" s="10" t="s">
        <v>72</v>
      </c>
      <c r="G25" s="8"/>
      <c r="H25" s="8">
        <v>2</v>
      </c>
      <c r="I25" s="19" t="s">
        <v>892</v>
      </c>
    </row>
    <row r="26" spans="1:9" x14ac:dyDescent="0.25">
      <c r="A26" s="8">
        <v>22</v>
      </c>
      <c r="B26" s="10" t="s">
        <v>42</v>
      </c>
      <c r="C26" s="14" t="s">
        <v>63</v>
      </c>
      <c r="D26" s="304" t="s">
        <v>70</v>
      </c>
      <c r="E26" s="10" t="s">
        <v>71</v>
      </c>
      <c r="F26" s="10" t="s">
        <v>72</v>
      </c>
      <c r="G26" s="8"/>
      <c r="H26" s="8">
        <v>2</v>
      </c>
      <c r="I26" s="19" t="s">
        <v>892</v>
      </c>
    </row>
    <row r="27" spans="1:9" ht="14.4" x14ac:dyDescent="0.3">
      <c r="A27" s="8">
        <v>23</v>
      </c>
      <c r="B27" s="422" t="s">
        <v>860</v>
      </c>
      <c r="C27" s="422" t="s">
        <v>861</v>
      </c>
      <c r="D27" s="304" t="s">
        <v>70</v>
      </c>
      <c r="E27" s="10" t="s">
        <v>71</v>
      </c>
      <c r="F27" s="10" t="s">
        <v>72</v>
      </c>
      <c r="G27" s="8"/>
      <c r="H27" s="8">
        <v>2</v>
      </c>
      <c r="I27" s="19" t="s">
        <v>892</v>
      </c>
    </row>
    <row r="28" spans="1:9" ht="14.4" x14ac:dyDescent="0.3">
      <c r="A28" s="8">
        <v>24</v>
      </c>
      <c r="B28" s="422" t="s">
        <v>862</v>
      </c>
      <c r="C28" s="422" t="s">
        <v>863</v>
      </c>
      <c r="D28" s="304" t="s">
        <v>70</v>
      </c>
      <c r="E28" s="10" t="s">
        <v>71</v>
      </c>
      <c r="F28" s="10" t="s">
        <v>72</v>
      </c>
      <c r="G28" s="8"/>
      <c r="H28" s="8">
        <v>2</v>
      </c>
      <c r="I28" s="19" t="s">
        <v>892</v>
      </c>
    </row>
    <row r="29" spans="1:9" ht="14.4" x14ac:dyDescent="0.3">
      <c r="A29" s="8">
        <v>25</v>
      </c>
      <c r="B29" s="8">
        <v>1</v>
      </c>
      <c r="C29" s="425" t="s">
        <v>864</v>
      </c>
      <c r="D29" s="305" t="s">
        <v>73</v>
      </c>
      <c r="E29" s="10" t="s">
        <v>71</v>
      </c>
      <c r="F29" s="10" t="s">
        <v>72</v>
      </c>
      <c r="G29" s="8"/>
      <c r="H29" s="8">
        <v>2</v>
      </c>
      <c r="I29" s="19" t="s">
        <v>893</v>
      </c>
    </row>
    <row r="30" spans="1:9" ht="14.4" x14ac:dyDescent="0.3">
      <c r="A30" s="8">
        <v>26</v>
      </c>
      <c r="B30" s="423" t="s">
        <v>969</v>
      </c>
      <c r="C30" s="199" t="str">
        <f ca="1">VLOOKUP(B30,'SALE PARTY MASTR '!$B$5:$G$280,2,FALSE)</f>
        <v>Membrane Filers (India) Pvt.Ltd</v>
      </c>
      <c r="D30" s="304" t="s">
        <v>70</v>
      </c>
      <c r="E30" s="10" t="s">
        <v>71</v>
      </c>
      <c r="F30" s="10" t="s">
        <v>72</v>
      </c>
      <c r="G30" s="8"/>
      <c r="H30" s="8">
        <v>2</v>
      </c>
      <c r="I30" s="19" t="s">
        <v>892</v>
      </c>
    </row>
    <row r="31" spans="1:9" x14ac:dyDescent="0.25">
      <c r="A31" s="12">
        <v>27</v>
      </c>
      <c r="B31" s="5" t="s">
        <v>978</v>
      </c>
      <c r="C31" s="5" t="s">
        <v>979</v>
      </c>
      <c r="D31" s="305" t="s">
        <v>73</v>
      </c>
      <c r="E31" s="10" t="s">
        <v>71</v>
      </c>
      <c r="F31" s="10" t="s">
        <v>72</v>
      </c>
      <c r="G31" s="8"/>
      <c r="H31" s="8">
        <v>2</v>
      </c>
      <c r="I31" s="19" t="s">
        <v>893</v>
      </c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'[6]SALE MASTER LIST'!#REF!</xm:f>
          </x14:formula1>
          <xm:sqref>C29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0"/>
  <sheetViews>
    <sheetView workbookViewId="0">
      <selection activeCell="E12" sqref="E12"/>
    </sheetView>
  </sheetViews>
  <sheetFormatPr defaultColWidth="8.88671875" defaultRowHeight="13.8" x14ac:dyDescent="0.25"/>
  <cols>
    <col min="1" max="1" width="9.6640625" style="5" bestFit="1" customWidth="1"/>
    <col min="2" max="2" width="35" style="5" bestFit="1" customWidth="1"/>
    <col min="3" max="3" width="16.33203125" style="5" bestFit="1" customWidth="1"/>
    <col min="4" max="16384" width="8.88671875" style="5"/>
  </cols>
  <sheetData>
    <row r="4" spans="1:5" x14ac:dyDescent="0.25">
      <c r="A4" s="6" t="s">
        <v>74</v>
      </c>
      <c r="B4" s="6" t="s">
        <v>75</v>
      </c>
      <c r="C4" s="6" t="s">
        <v>76</v>
      </c>
      <c r="D4" s="23" t="s">
        <v>77</v>
      </c>
      <c r="E4" s="24" t="s">
        <v>78</v>
      </c>
    </row>
    <row r="5" spans="1:5" x14ac:dyDescent="0.25">
      <c r="A5" s="7" t="s">
        <v>79</v>
      </c>
      <c r="B5" s="7" t="s">
        <v>80</v>
      </c>
      <c r="C5" s="7"/>
      <c r="D5" s="25" t="s">
        <v>11</v>
      </c>
      <c r="E5" s="26" t="s">
        <v>0</v>
      </c>
    </row>
    <row r="6" spans="1:5" x14ac:dyDescent="0.25">
      <c r="A6" s="8">
        <v>998898</v>
      </c>
      <c r="B6" s="27" t="s">
        <v>81</v>
      </c>
      <c r="C6" s="182" t="s">
        <v>246</v>
      </c>
      <c r="D6" s="8" t="s">
        <v>82</v>
      </c>
      <c r="E6" s="307">
        <v>18</v>
      </c>
    </row>
    <row r="7" spans="1:5" x14ac:dyDescent="0.25">
      <c r="A7" s="8">
        <v>87081090</v>
      </c>
      <c r="B7" s="27" t="s">
        <v>81</v>
      </c>
      <c r="C7" s="183" t="s">
        <v>246</v>
      </c>
      <c r="D7" s="8" t="s">
        <v>83</v>
      </c>
      <c r="E7" s="307">
        <v>28</v>
      </c>
    </row>
    <row r="8" spans="1:5" x14ac:dyDescent="0.25">
      <c r="A8" s="8">
        <v>87089900</v>
      </c>
      <c r="B8" s="27" t="s">
        <v>81</v>
      </c>
      <c r="C8" s="183" t="s">
        <v>246</v>
      </c>
      <c r="D8" s="8" t="s">
        <v>83</v>
      </c>
      <c r="E8" s="307">
        <v>28</v>
      </c>
    </row>
    <row r="9" spans="1:5" x14ac:dyDescent="0.25">
      <c r="A9" s="8">
        <v>85129000</v>
      </c>
      <c r="B9" s="27" t="s">
        <v>81</v>
      </c>
      <c r="C9" s="183" t="s">
        <v>246</v>
      </c>
      <c r="D9" s="8" t="s">
        <v>83</v>
      </c>
      <c r="E9" s="307">
        <v>18</v>
      </c>
    </row>
    <row r="10" spans="1:5" x14ac:dyDescent="0.25">
      <c r="A10" s="8">
        <v>998873</v>
      </c>
      <c r="B10" s="27" t="s">
        <v>81</v>
      </c>
      <c r="C10" s="183" t="s">
        <v>246</v>
      </c>
      <c r="D10" s="8" t="s">
        <v>82</v>
      </c>
      <c r="E10" s="307">
        <v>18</v>
      </c>
    </row>
    <row r="11" spans="1:5" x14ac:dyDescent="0.25">
      <c r="A11" s="8">
        <v>38140010</v>
      </c>
      <c r="B11" s="27" t="s">
        <v>84</v>
      </c>
      <c r="C11" s="183" t="s">
        <v>237</v>
      </c>
      <c r="D11" s="8" t="s">
        <v>83</v>
      </c>
      <c r="E11" s="307">
        <v>18</v>
      </c>
    </row>
    <row r="12" spans="1:5" x14ac:dyDescent="0.25">
      <c r="A12" s="8">
        <v>87141090</v>
      </c>
      <c r="B12" s="27" t="s">
        <v>81</v>
      </c>
      <c r="C12" s="183" t="s">
        <v>246</v>
      </c>
      <c r="D12" s="8" t="s">
        <v>83</v>
      </c>
      <c r="E12" s="307">
        <v>28</v>
      </c>
    </row>
    <row r="13" spans="1:5" x14ac:dyDescent="0.25">
      <c r="A13" s="8">
        <v>38249990</v>
      </c>
      <c r="B13" s="27" t="s">
        <v>85</v>
      </c>
      <c r="C13" s="183" t="s">
        <v>237</v>
      </c>
      <c r="D13" s="8" t="s">
        <v>83</v>
      </c>
      <c r="E13" s="307">
        <v>28</v>
      </c>
    </row>
    <row r="14" spans="1:5" x14ac:dyDescent="0.25">
      <c r="A14" s="8">
        <v>32082090</v>
      </c>
      <c r="B14" s="27" t="s">
        <v>86</v>
      </c>
      <c r="C14" s="183" t="s">
        <v>237</v>
      </c>
      <c r="D14" s="8" t="s">
        <v>83</v>
      </c>
      <c r="E14" s="307">
        <v>28</v>
      </c>
    </row>
    <row r="15" spans="1:5" x14ac:dyDescent="0.25">
      <c r="A15" s="8">
        <v>38140010</v>
      </c>
      <c r="B15" s="27" t="s">
        <v>84</v>
      </c>
      <c r="C15" s="183" t="s">
        <v>237</v>
      </c>
      <c r="D15" s="8" t="s">
        <v>83</v>
      </c>
      <c r="E15" s="307">
        <v>18</v>
      </c>
    </row>
    <row r="16" spans="1:5" ht="14.4" x14ac:dyDescent="0.3">
      <c r="A16" s="132">
        <v>85119000</v>
      </c>
      <c r="B16" s="306" t="s">
        <v>81</v>
      </c>
      <c r="C16" s="183" t="s">
        <v>246</v>
      </c>
      <c r="D16" s="132" t="s">
        <v>83</v>
      </c>
      <c r="E16" s="307">
        <v>28</v>
      </c>
    </row>
    <row r="17" spans="1:5" ht="14.4" x14ac:dyDescent="0.3">
      <c r="A17" s="132">
        <v>87142090</v>
      </c>
      <c r="B17" s="306" t="s">
        <v>81</v>
      </c>
      <c r="C17" s="183" t="s">
        <v>246</v>
      </c>
      <c r="D17" s="132" t="s">
        <v>83</v>
      </c>
      <c r="E17" s="307">
        <v>28</v>
      </c>
    </row>
    <row r="18" spans="1:5" x14ac:dyDescent="0.25">
      <c r="A18" s="8">
        <v>8421</v>
      </c>
      <c r="B18" s="411" t="s">
        <v>81</v>
      </c>
      <c r="C18" s="183" t="s">
        <v>246</v>
      </c>
      <c r="D18" s="8" t="s">
        <v>83</v>
      </c>
      <c r="E18" s="307">
        <v>18</v>
      </c>
    </row>
    <row r="19" spans="1:5" x14ac:dyDescent="0.25">
      <c r="A19" s="8"/>
      <c r="B19" s="8"/>
      <c r="C19" s="8"/>
      <c r="D19" s="8"/>
      <c r="E19" s="308"/>
    </row>
    <row r="20" spans="1:5" x14ac:dyDescent="0.25">
      <c r="A20" s="7"/>
      <c r="B20" s="7"/>
      <c r="C20" s="7"/>
      <c r="D20" s="7"/>
      <c r="E20" s="7"/>
    </row>
  </sheetData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B331"/>
  <sheetViews>
    <sheetView topLeftCell="C73" workbookViewId="0">
      <selection activeCell="W101" sqref="W101"/>
    </sheetView>
  </sheetViews>
  <sheetFormatPr defaultColWidth="8.88671875" defaultRowHeight="13.8" x14ac:dyDescent="0.25"/>
  <cols>
    <col min="1" max="1" width="18.5546875" style="5" customWidth="1"/>
    <col min="2" max="2" width="21.6640625" style="5" customWidth="1"/>
    <col min="3" max="3" width="11.44140625" style="5" customWidth="1"/>
    <col min="4" max="4" width="10.5546875" style="5" customWidth="1"/>
    <col min="5" max="5" width="14.109375" style="5" customWidth="1"/>
    <col min="6" max="6" width="14.6640625" style="5" hidden="1" customWidth="1"/>
    <col min="7" max="8" width="0" style="5" hidden="1" customWidth="1"/>
    <col min="9" max="9" width="9.109375" style="5" hidden="1" customWidth="1"/>
    <col min="10" max="10" width="9.109375" style="5" bestFit="1" customWidth="1"/>
    <col min="11" max="11" width="14.6640625" style="5" customWidth="1"/>
    <col min="12" max="12" width="10.6640625" style="5" customWidth="1"/>
    <col min="13" max="13" width="14.88671875" style="5" bestFit="1" customWidth="1"/>
    <col min="14" max="14" width="13.6640625" style="5" customWidth="1"/>
    <col min="15" max="15" width="7.109375" style="5" hidden="1" customWidth="1"/>
    <col min="16" max="16" width="8.6640625" style="5" hidden="1" customWidth="1"/>
    <col min="17" max="17" width="10.6640625" style="5" hidden="1" customWidth="1"/>
    <col min="18" max="18" width="11.33203125" style="5" hidden="1" customWidth="1"/>
    <col min="19" max="19" width="10.33203125" style="5" hidden="1" customWidth="1"/>
    <col min="20" max="20" width="10.6640625" style="5" hidden="1" customWidth="1"/>
    <col min="21" max="21" width="9.109375" style="5" hidden="1" customWidth="1"/>
    <col min="22" max="22" width="0" style="5" hidden="1" customWidth="1"/>
    <col min="23" max="23" width="12.33203125" style="5" customWidth="1"/>
    <col min="24" max="24" width="9.6640625" style="5" customWidth="1"/>
    <col min="25" max="25" width="13.6640625" style="5" customWidth="1"/>
    <col min="26" max="26" width="8.6640625" style="5" customWidth="1"/>
    <col min="27" max="27" width="8.88671875" style="5"/>
    <col min="28" max="28" width="11.44140625" style="5" bestFit="1" customWidth="1"/>
    <col min="29" max="16384" width="8.88671875" style="5"/>
  </cols>
  <sheetData>
    <row r="3" spans="1:28" ht="21" customHeight="1" x14ac:dyDescent="0.25">
      <c r="A3" s="186"/>
      <c r="B3" s="186" t="s">
        <v>622</v>
      </c>
      <c r="C3" s="186"/>
      <c r="D3" s="186"/>
      <c r="E3" s="340">
        <f>SUM(E6:E458)</f>
        <v>12892313.250800008</v>
      </c>
      <c r="F3" s="186"/>
      <c r="G3" s="186"/>
      <c r="H3" s="186"/>
      <c r="I3" s="186"/>
      <c r="J3" s="186"/>
      <c r="K3" s="340">
        <f>SUM(K6:K458)</f>
        <v>10588006.860000009</v>
      </c>
      <c r="L3" s="340">
        <f>SUM(L6:L458)</f>
        <v>10923.0576</v>
      </c>
      <c r="M3" s="340">
        <f>SUM(M6:M458)</f>
        <v>1146691.6665999996</v>
      </c>
      <c r="N3" s="340">
        <f>SUM(N6:N458)</f>
        <v>1146691.6665999996</v>
      </c>
      <c r="O3" s="340">
        <f>SUM(O6:O458)</f>
        <v>0</v>
      </c>
      <c r="P3" s="186"/>
      <c r="Q3" s="340">
        <f>SUM(Q6:Q458)</f>
        <v>10923.0576</v>
      </c>
      <c r="R3" s="340">
        <f>SUM(R6:R458)</f>
        <v>1146691.6665999996</v>
      </c>
      <c r="S3" s="340">
        <f>SUM(S6:S458)</f>
        <v>1146691.6665999996</v>
      </c>
      <c r="T3" s="340">
        <f>SUM(T6:T458)</f>
        <v>0</v>
      </c>
      <c r="U3" s="186"/>
      <c r="V3" s="186"/>
      <c r="W3" s="186"/>
      <c r="X3" s="186"/>
      <c r="Y3" s="186"/>
      <c r="Z3" s="186"/>
      <c r="AA3" s="186"/>
      <c r="AB3" s="340">
        <f>SUM(AB6:AB458)</f>
        <v>173527.41999999998</v>
      </c>
    </row>
    <row r="4" spans="1:28" x14ac:dyDescent="0.25">
      <c r="A4" s="7" t="s">
        <v>4</v>
      </c>
      <c r="B4" s="7" t="s">
        <v>6</v>
      </c>
      <c r="C4" s="7" t="s">
        <v>8</v>
      </c>
      <c r="D4" s="7" t="s">
        <v>8</v>
      </c>
      <c r="E4" s="7" t="s">
        <v>8</v>
      </c>
      <c r="F4" s="7" t="s">
        <v>12</v>
      </c>
      <c r="G4" s="7" t="s">
        <v>13</v>
      </c>
      <c r="H4" s="7" t="s">
        <v>8</v>
      </c>
      <c r="I4" s="7" t="s">
        <v>96</v>
      </c>
      <c r="J4" s="7"/>
      <c r="K4" s="7" t="s">
        <v>19</v>
      </c>
      <c r="L4" s="209" t="s">
        <v>643</v>
      </c>
      <c r="M4" s="209" t="s">
        <v>805</v>
      </c>
      <c r="N4" s="209" t="s">
        <v>807</v>
      </c>
      <c r="O4" s="209" t="s">
        <v>21</v>
      </c>
      <c r="P4" s="339" t="s">
        <v>803</v>
      </c>
      <c r="Q4" s="208" t="s">
        <v>802</v>
      </c>
      <c r="R4" s="208" t="s">
        <v>802</v>
      </c>
      <c r="S4" s="208" t="s">
        <v>802</v>
      </c>
      <c r="T4" s="208" t="s">
        <v>802</v>
      </c>
      <c r="U4" s="17" t="s">
        <v>66</v>
      </c>
      <c r="V4" s="247" t="s">
        <v>67</v>
      </c>
      <c r="W4" s="247" t="s">
        <v>78</v>
      </c>
      <c r="X4" s="248" t="s">
        <v>74</v>
      </c>
      <c r="Y4" s="7" t="s">
        <v>75</v>
      </c>
      <c r="Z4" s="7" t="s">
        <v>92</v>
      </c>
      <c r="AA4" s="25" t="s">
        <v>77</v>
      </c>
      <c r="AB4" s="186" t="s">
        <v>93</v>
      </c>
    </row>
    <row r="5" spans="1:28" x14ac:dyDescent="0.25">
      <c r="A5" s="4" t="s">
        <v>3</v>
      </c>
      <c r="B5" s="190" t="s">
        <v>5</v>
      </c>
      <c r="C5" s="190" t="s">
        <v>7</v>
      </c>
      <c r="D5" s="190" t="s">
        <v>9</v>
      </c>
      <c r="E5" s="190" t="s">
        <v>10</v>
      </c>
      <c r="F5" s="190" t="s">
        <v>11</v>
      </c>
      <c r="G5" s="190" t="s">
        <v>14</v>
      </c>
      <c r="H5" s="190" t="s">
        <v>15</v>
      </c>
      <c r="I5" s="190" t="s">
        <v>16</v>
      </c>
      <c r="J5" s="190" t="s">
        <v>0</v>
      </c>
      <c r="K5" s="190" t="s">
        <v>18</v>
      </c>
      <c r="L5" s="190" t="s">
        <v>806</v>
      </c>
      <c r="M5" s="190" t="s">
        <v>806</v>
      </c>
      <c r="N5" s="190" t="s">
        <v>806</v>
      </c>
      <c r="O5" s="190" t="s">
        <v>806</v>
      </c>
      <c r="P5" s="190" t="s">
        <v>804</v>
      </c>
      <c r="Q5" s="249" t="s">
        <v>643</v>
      </c>
      <c r="R5" s="249" t="s">
        <v>644</v>
      </c>
      <c r="S5" s="249" t="s">
        <v>645</v>
      </c>
      <c r="T5" s="249" t="s">
        <v>21</v>
      </c>
      <c r="U5" s="7" t="s">
        <v>68</v>
      </c>
      <c r="V5" s="76" t="s">
        <v>69</v>
      </c>
      <c r="W5" s="76" t="s">
        <v>0</v>
      </c>
      <c r="X5" s="186" t="s">
        <v>94</v>
      </c>
      <c r="Y5" s="7" t="s">
        <v>80</v>
      </c>
      <c r="Z5" s="7"/>
      <c r="AA5" s="25" t="s">
        <v>11</v>
      </c>
      <c r="AB5" s="186" t="s">
        <v>95</v>
      </c>
    </row>
    <row r="6" spans="1:28" ht="14.4" x14ac:dyDescent="0.3">
      <c r="A6" s="128" t="s">
        <v>345</v>
      </c>
      <c r="B6" s="199" t="str">
        <f>VLOOKUP(A6,'PUR-PARTY MASTER'!$B$6:$J$250,2,FALSE)</f>
        <v>Premier Sales Corporation</v>
      </c>
      <c r="C6" s="402" t="s">
        <v>1346</v>
      </c>
      <c r="D6" s="398">
        <v>43132</v>
      </c>
      <c r="E6" s="329">
        <f>+K6+L6+M6+N6+O6</f>
        <v>630</v>
      </c>
      <c r="F6" s="199" t="str">
        <f>VLOOKUP(A6,'PUR-PARTY MASTER'!$B$6:$J$250,3,FALSE)</f>
        <v>27-Maharashatra</v>
      </c>
      <c r="G6" s="199" t="str">
        <f>VLOOKUP(A6,'PUR-PARTY MASTER'!$B$6:$J$250,4,FALSE)</f>
        <v>N</v>
      </c>
      <c r="H6" s="199" t="str">
        <f>VLOOKUP(A6,'PUR-PARTY MASTER'!$B$6:$J$250,5,FALSE)</f>
        <v>Regular</v>
      </c>
      <c r="I6" s="199">
        <f>VLOOKUP(A6,'PUR-PARTY MASTER'!$B$6:$J$250,6,FALSE)</f>
        <v>0</v>
      </c>
      <c r="J6" s="201">
        <v>5</v>
      </c>
      <c r="K6" s="400">
        <v>600</v>
      </c>
      <c r="L6" s="202">
        <f>+IF(U6=1,0,IF(M6=0,J6*K6/100,0))</f>
        <v>0</v>
      </c>
      <c r="M6" s="202">
        <f>+IF(U6=1,0,IF(V6="Local Pur",IF(J6=18,K6*0.09,IF(J6=12,K6*0.06,IF(J6=5,K6*0.025,IF(J6=28,K6*0.14,IF(J6=3,K6*0.015,0))))),0))</f>
        <v>15</v>
      </c>
      <c r="N6" s="202">
        <f>+IF(O6=1,0,IF(V6="Local Pur",IF(J6=18,K6*0.09,IF(J6=12,K6*0.06,IF(J6=5,K6*0.025,IF(J6=28,K6*0.14,IF(J6=3,K6*0.015,0))))),0))</f>
        <v>15</v>
      </c>
      <c r="O6" s="8">
        <v>0</v>
      </c>
      <c r="P6" s="341" t="s">
        <v>177</v>
      </c>
      <c r="Q6" s="329">
        <f>+L6</f>
        <v>0</v>
      </c>
      <c r="R6" s="329">
        <f>+M6</f>
        <v>15</v>
      </c>
      <c r="S6" s="329">
        <f>+N6</f>
        <v>15</v>
      </c>
      <c r="T6" s="8">
        <f>+O6</f>
        <v>0</v>
      </c>
      <c r="U6" s="199">
        <f>VLOOKUP(A6,'PUR-PARTY MASTER'!$B$6:$J$250,7,FALSE)</f>
        <v>2</v>
      </c>
      <c r="V6" s="199" t="str">
        <f>VLOOKUP(A6,'PUR-PARTY MASTER'!$B$6:$J$250,8,FALSE)</f>
        <v>Local Pur</v>
      </c>
      <c r="W6" s="199" t="s">
        <v>897</v>
      </c>
      <c r="X6" s="404">
        <v>61169200</v>
      </c>
      <c r="Y6" s="201" t="str">
        <f>VLOOKUP(X6,'PUR-HSN MASTER'!$A$6:$D$247,2,FALSE)</f>
        <v>Cotton Gloves</v>
      </c>
      <c r="Z6" s="201" t="str">
        <f>VLOOKUP(X6,'PUR-HSN MASTER'!$A$6:$D$247,3,FALSE)</f>
        <v>NOS-NUMBERS</v>
      </c>
      <c r="AA6" s="334" t="str">
        <f>VLOOKUP(X6,'PUR-HSN MASTER'!$A$6:$D$247,4,FALSE)</f>
        <v>Goods</v>
      </c>
      <c r="AB6" s="401">
        <v>50</v>
      </c>
    </row>
    <row r="7" spans="1:28" ht="14.4" x14ac:dyDescent="0.3">
      <c r="A7" s="128" t="s">
        <v>345</v>
      </c>
      <c r="B7" s="199" t="str">
        <f>VLOOKUP(A7,'PUR-PARTY MASTER'!$B$6:$J$250,2,FALSE)</f>
        <v>Premier Sales Corporation</v>
      </c>
      <c r="C7" s="403" t="s">
        <v>1346</v>
      </c>
      <c r="D7" s="398">
        <v>43132</v>
      </c>
      <c r="E7" s="329">
        <f>+K7+L7+M7+N7+O7</f>
        <v>693</v>
      </c>
      <c r="F7" s="199" t="str">
        <f>VLOOKUP(A7,'PUR-PARTY MASTER'!$B$6:$J$250,3,FALSE)</f>
        <v>27-Maharashatra</v>
      </c>
      <c r="G7" s="199" t="str">
        <f>VLOOKUP(A7,'PUR-PARTY MASTER'!$B$6:$J$250,4,FALSE)</f>
        <v>N</v>
      </c>
      <c r="H7" s="199" t="str">
        <f>VLOOKUP(A7,'PUR-PARTY MASTER'!$B$6:$J$250,5,FALSE)</f>
        <v>Regular</v>
      </c>
      <c r="I7" s="199">
        <f>VLOOKUP(A7,'PUR-PARTY MASTER'!$B$6:$J$250,6,FALSE)</f>
        <v>0</v>
      </c>
      <c r="J7" s="201">
        <v>5</v>
      </c>
      <c r="K7" s="400">
        <v>660</v>
      </c>
      <c r="L7" s="202">
        <f t="shared" ref="L7" si="0">+IF(U7=1,0,IF(M7=0,J7*K7/100,0))</f>
        <v>0</v>
      </c>
      <c r="M7" s="202">
        <f>+IF(U7=1,0,IF(V7="Local Pur",IF(J7=18,K7*0.09,IF(J7=12,K7*0.06,IF(J7=5,K7*0.025,IF(J7=28,K7*0.14,IF(J7=3,K7*0.015,0))))),0))</f>
        <v>16.5</v>
      </c>
      <c r="N7" s="202">
        <f>+IF(O7=1,0,IF(V7="Local Pur",IF(J7=18,K7*0.09,IF(J7=12,K7*0.06,IF(J7=5,K7*0.025,IF(J7=28,K7*0.14,IF(J7=3,K7*0.015,0))))),0))</f>
        <v>16.5</v>
      </c>
      <c r="O7" s="8">
        <v>0</v>
      </c>
      <c r="P7" s="341" t="s">
        <v>177</v>
      </c>
      <c r="Q7" s="329">
        <f t="shared" ref="Q7" si="1">+L7</f>
        <v>0</v>
      </c>
      <c r="R7" s="329">
        <f t="shared" ref="R7" si="2">+M7</f>
        <v>16.5</v>
      </c>
      <c r="S7" s="329">
        <f t="shared" ref="S7" si="3">+N7</f>
        <v>16.5</v>
      </c>
      <c r="T7" s="8">
        <f t="shared" ref="T7" si="4">+O7</f>
        <v>0</v>
      </c>
      <c r="U7" s="199">
        <f>VLOOKUP(A7,'PUR-PARTY MASTER'!$B$6:$J$250,7,FALSE)</f>
        <v>2</v>
      </c>
      <c r="V7" s="199" t="str">
        <f>VLOOKUP(A7,'PUR-PARTY MASTER'!$B$6:$J$250,8,FALSE)</f>
        <v>Local Pur</v>
      </c>
      <c r="W7" s="199" t="s">
        <v>898</v>
      </c>
      <c r="X7" s="404">
        <v>60060000</v>
      </c>
      <c r="Y7" s="201" t="str">
        <f>VLOOKUP(X7,'PUR-HSN MASTER'!$A$6:$D$247,2,FALSE)</f>
        <v>Cloth Lint</v>
      </c>
      <c r="Z7" s="201" t="str">
        <f>VLOOKUP(X7,'PUR-HSN MASTER'!$A$6:$D$247,3,FALSE)</f>
        <v>NOS-NUMBERS</v>
      </c>
      <c r="AA7" s="334" t="str">
        <f>VLOOKUP(X7,'PUR-HSN MASTER'!$A$6:$D$247,4,FALSE)</f>
        <v>Goods</v>
      </c>
      <c r="AB7" s="401">
        <v>20</v>
      </c>
    </row>
    <row r="8" spans="1:28" ht="14.4" x14ac:dyDescent="0.3">
      <c r="A8" s="128" t="s">
        <v>345</v>
      </c>
      <c r="B8" s="199" t="str">
        <f>VLOOKUP(A8,'PUR-PARTY MASTER'!$B$6:$J$250,2,FALSE)</f>
        <v>Premier Sales Corporation</v>
      </c>
      <c r="C8" s="402" t="s">
        <v>1347</v>
      </c>
      <c r="D8" s="398">
        <v>43132</v>
      </c>
      <c r="E8" s="329">
        <f t="shared" ref="E8:E71" si="5">+K8+L8+M8+N8+O8</f>
        <v>5824</v>
      </c>
      <c r="F8" s="199" t="str">
        <f>VLOOKUP(A8,'PUR-PARTY MASTER'!$B$6:$J$250,3,FALSE)</f>
        <v>27-Maharashatra</v>
      </c>
      <c r="G8" s="199" t="str">
        <f>VLOOKUP(A8,'PUR-PARTY MASTER'!$B$6:$J$250,4,FALSE)</f>
        <v>N</v>
      </c>
      <c r="H8" s="199" t="str">
        <f>VLOOKUP(A8,'PUR-PARTY MASTER'!$B$6:$J$250,5,FALSE)</f>
        <v>Regular</v>
      </c>
      <c r="I8" s="199">
        <f>VLOOKUP(A8,'PUR-PARTY MASTER'!$B$6:$J$250,6,FALSE)</f>
        <v>0</v>
      </c>
      <c r="J8" s="201">
        <v>12</v>
      </c>
      <c r="K8" s="400">
        <v>5200</v>
      </c>
      <c r="L8" s="202">
        <f t="shared" ref="L8:L71" si="6">+IF(U8=1,0,IF(M8=0,J8*K8/100,0))</f>
        <v>0</v>
      </c>
      <c r="M8" s="202">
        <f t="shared" ref="M8:M71" si="7">+IF(U8=1,0,IF(V8="Local Pur",IF(J8=18,K8*0.09,IF(J8=12,K8*0.06,IF(J8=5,K8*0.025,IF(J8=28,K8*0.14,IF(J8=3,K8*0.015,0))))),0))</f>
        <v>312</v>
      </c>
      <c r="N8" s="202">
        <f t="shared" ref="N8:N71" si="8">+IF(O8=1,0,IF(V8="Local Pur",IF(J8=18,K8*0.09,IF(J8=12,K8*0.06,IF(J8=5,K8*0.025,IF(J8=28,K8*0.14,IF(J8=3,K8*0.015,0))))),0))</f>
        <v>312</v>
      </c>
      <c r="O8" s="8">
        <v>0</v>
      </c>
      <c r="P8" s="341" t="s">
        <v>177</v>
      </c>
      <c r="Q8" s="329">
        <f t="shared" ref="Q8:Q71" si="9">+L8</f>
        <v>0</v>
      </c>
      <c r="R8" s="329">
        <f t="shared" ref="R8:R71" si="10">+M8</f>
        <v>312</v>
      </c>
      <c r="S8" s="329">
        <f t="shared" ref="S8:S71" si="11">+N8</f>
        <v>312</v>
      </c>
      <c r="T8" s="8">
        <f t="shared" ref="T8:T71" si="12">+O8</f>
        <v>0</v>
      </c>
      <c r="U8" s="199">
        <f>VLOOKUP(A8,'PUR-PARTY MASTER'!$B$6:$J$250,7,FALSE)</f>
        <v>2</v>
      </c>
      <c r="V8" s="199" t="str">
        <f>VLOOKUP(A8,'PUR-PARTY MASTER'!$B$6:$J$250,8,FALSE)</f>
        <v>Local Pur</v>
      </c>
      <c r="W8" s="199" t="s">
        <v>902</v>
      </c>
      <c r="X8" s="404">
        <v>40151100</v>
      </c>
      <c r="Y8" s="201" t="str">
        <f>VLOOKUP(X8,'PUR-HSN MASTER'!$A$6:$D$247,2,FALSE)</f>
        <v>Hand Glove</v>
      </c>
      <c r="Z8" s="201" t="str">
        <f>VLOOKUP(X8,'PUR-HSN MASTER'!$A$6:$D$247,3,FALSE)</f>
        <v>NOS-NUMBERS</v>
      </c>
      <c r="AA8" s="334" t="str">
        <f>VLOOKUP(X8,'PUR-HSN MASTER'!$A$6:$D$247,4,FALSE)</f>
        <v>Goods</v>
      </c>
      <c r="AB8" s="401">
        <v>2000</v>
      </c>
    </row>
    <row r="9" spans="1:28" ht="14.4" x14ac:dyDescent="0.3">
      <c r="A9" s="429" t="s">
        <v>345</v>
      </c>
      <c r="B9" s="199" t="str">
        <f>VLOOKUP(A9,'PUR-PARTY MASTER'!$B$6:$J$250,2,FALSE)</f>
        <v>Premier Sales Corporation</v>
      </c>
      <c r="C9" s="402" t="s">
        <v>1347</v>
      </c>
      <c r="D9" s="398">
        <v>43132</v>
      </c>
      <c r="E9" s="329">
        <f t="shared" si="5"/>
        <v>448</v>
      </c>
      <c r="F9" s="199" t="str">
        <f>VLOOKUP(A9,'PUR-PARTY MASTER'!$B$6:$J$250,3,FALSE)</f>
        <v>27-Maharashatra</v>
      </c>
      <c r="G9" s="199" t="str">
        <f>VLOOKUP(A9,'PUR-PARTY MASTER'!$B$6:$J$250,4,FALSE)</f>
        <v>N</v>
      </c>
      <c r="H9" s="199" t="str">
        <f>VLOOKUP(A9,'PUR-PARTY MASTER'!$B$6:$J$250,5,FALSE)</f>
        <v>Regular</v>
      </c>
      <c r="I9" s="199">
        <f>VLOOKUP(A9,'PUR-PARTY MASTER'!$B$6:$J$250,6,FALSE)</f>
        <v>0</v>
      </c>
      <c r="J9" s="201">
        <v>12</v>
      </c>
      <c r="K9" s="400">
        <v>400</v>
      </c>
      <c r="L9" s="202">
        <f t="shared" si="6"/>
        <v>0</v>
      </c>
      <c r="M9" s="202">
        <f t="shared" si="7"/>
        <v>24</v>
      </c>
      <c r="N9" s="202">
        <f t="shared" si="8"/>
        <v>24</v>
      </c>
      <c r="O9" s="8">
        <v>0</v>
      </c>
      <c r="P9" s="341" t="s">
        <v>177</v>
      </c>
      <c r="Q9" s="329">
        <f t="shared" si="9"/>
        <v>0</v>
      </c>
      <c r="R9" s="329">
        <f t="shared" si="10"/>
        <v>24</v>
      </c>
      <c r="S9" s="329">
        <f t="shared" si="11"/>
        <v>24</v>
      </c>
      <c r="T9" s="8">
        <f t="shared" si="12"/>
        <v>0</v>
      </c>
      <c r="U9" s="199">
        <f>VLOOKUP(A9,'PUR-PARTY MASTER'!$B$6:$J$250,7,FALSE)</f>
        <v>2</v>
      </c>
      <c r="V9" s="199" t="str">
        <f>VLOOKUP(A9,'PUR-PARTY MASTER'!$B$6:$J$250,8,FALSE)</f>
        <v>Local Pur</v>
      </c>
      <c r="W9" s="199" t="s">
        <v>902</v>
      </c>
      <c r="X9" s="404">
        <v>96082000</v>
      </c>
      <c r="Y9" s="201" t="str">
        <f>VLOOKUP(X9,'PUR-HSN MASTER'!$A$6:$D$247,2,FALSE)</f>
        <v>Pencil</v>
      </c>
      <c r="Z9" s="201" t="str">
        <f>VLOOKUP(X9,'PUR-HSN MASTER'!$A$6:$D$247,3,FALSE)</f>
        <v>MTR-METERS</v>
      </c>
      <c r="AA9" s="334" t="str">
        <f>VLOOKUP(X9,'PUR-HSN MASTER'!$A$6:$D$247,4,FALSE)</f>
        <v>Goods</v>
      </c>
      <c r="AB9" s="401">
        <v>20</v>
      </c>
    </row>
    <row r="10" spans="1:28" ht="14.4" x14ac:dyDescent="0.3">
      <c r="A10" s="429" t="s">
        <v>345</v>
      </c>
      <c r="B10" s="199" t="str">
        <f>VLOOKUP(A10,'PUR-PARTY MASTER'!$B$6:$J$250,2,FALSE)</f>
        <v>Premier Sales Corporation</v>
      </c>
      <c r="C10" s="402" t="s">
        <v>1348</v>
      </c>
      <c r="D10" s="398">
        <v>43132</v>
      </c>
      <c r="E10" s="329">
        <f t="shared" si="5"/>
        <v>2824.92</v>
      </c>
      <c r="F10" s="199" t="str">
        <f>VLOOKUP(A10,'PUR-PARTY MASTER'!$B$6:$J$250,3,FALSE)</f>
        <v>27-Maharashatra</v>
      </c>
      <c r="G10" s="199" t="str">
        <f>VLOOKUP(A10,'PUR-PARTY MASTER'!$B$6:$J$250,4,FALSE)</f>
        <v>N</v>
      </c>
      <c r="H10" s="199" t="str">
        <f>VLOOKUP(A10,'PUR-PARTY MASTER'!$B$6:$J$250,5,FALSE)</f>
        <v>Regular</v>
      </c>
      <c r="I10" s="199">
        <f>VLOOKUP(A10,'PUR-PARTY MASTER'!$B$6:$J$250,6,FALSE)</f>
        <v>0</v>
      </c>
      <c r="J10" s="201">
        <v>18</v>
      </c>
      <c r="K10" s="400">
        <v>2394</v>
      </c>
      <c r="L10" s="202">
        <f t="shared" si="6"/>
        <v>0</v>
      </c>
      <c r="M10" s="202">
        <f t="shared" si="7"/>
        <v>215.45999999999998</v>
      </c>
      <c r="N10" s="202">
        <f t="shared" si="8"/>
        <v>215.45999999999998</v>
      </c>
      <c r="O10" s="8">
        <v>0</v>
      </c>
      <c r="P10" s="341" t="s">
        <v>177</v>
      </c>
      <c r="Q10" s="329">
        <f t="shared" si="9"/>
        <v>0</v>
      </c>
      <c r="R10" s="329">
        <f t="shared" si="10"/>
        <v>215.45999999999998</v>
      </c>
      <c r="S10" s="329">
        <f t="shared" si="11"/>
        <v>215.45999999999998</v>
      </c>
      <c r="T10" s="8">
        <f t="shared" si="12"/>
        <v>0</v>
      </c>
      <c r="U10" s="199">
        <f>VLOOKUP(A10,'PUR-PARTY MASTER'!$B$6:$J$250,7,FALSE)</f>
        <v>2</v>
      </c>
      <c r="V10" s="199" t="str">
        <f>VLOOKUP(A10,'PUR-PARTY MASTER'!$B$6:$J$250,8,FALSE)</f>
        <v>Local Pur</v>
      </c>
      <c r="W10" s="199" t="s">
        <v>894</v>
      </c>
      <c r="X10" s="404" t="s">
        <v>544</v>
      </c>
      <c r="Y10" s="201" t="str">
        <f>VLOOKUP(X10,'PUR-HSN MASTER'!$A$6:$D$247,2,FALSE)</f>
        <v>Parts &amp; Accessories Of Motor Vehicles Other</v>
      </c>
      <c r="Z10" s="201" t="str">
        <f>VLOOKUP(X10,'PUR-HSN MASTER'!$A$6:$D$247,3,FALSE)</f>
        <v>NOS-NUMBERS</v>
      </c>
      <c r="AA10" s="334" t="str">
        <f>VLOOKUP(X10,'PUR-HSN MASTER'!$A$6:$D$247,4,FALSE)</f>
        <v>Goods</v>
      </c>
      <c r="AB10" s="401">
        <v>3</v>
      </c>
    </row>
    <row r="11" spans="1:28" ht="14.4" x14ac:dyDescent="0.3">
      <c r="A11" s="429" t="s">
        <v>345</v>
      </c>
      <c r="B11" s="199" t="str">
        <f>VLOOKUP(A11,'PUR-PARTY MASTER'!$B$6:$J$250,2,FALSE)</f>
        <v>Premier Sales Corporation</v>
      </c>
      <c r="C11" s="402" t="s">
        <v>1348</v>
      </c>
      <c r="D11" s="398">
        <v>43132</v>
      </c>
      <c r="E11" s="329">
        <f t="shared" si="5"/>
        <v>339.84000000000003</v>
      </c>
      <c r="F11" s="199" t="str">
        <f>VLOOKUP(A11,'PUR-PARTY MASTER'!$B$6:$J$250,3,FALSE)</f>
        <v>27-Maharashatra</v>
      </c>
      <c r="G11" s="199" t="str">
        <f>VLOOKUP(A11,'PUR-PARTY MASTER'!$B$6:$J$250,4,FALSE)</f>
        <v>N</v>
      </c>
      <c r="H11" s="199" t="str">
        <f>VLOOKUP(A11,'PUR-PARTY MASTER'!$B$6:$J$250,5,FALSE)</f>
        <v>Regular</v>
      </c>
      <c r="I11" s="199">
        <f>VLOOKUP(A11,'PUR-PARTY MASTER'!$B$6:$J$250,6,FALSE)</f>
        <v>0</v>
      </c>
      <c r="J11" s="201">
        <v>18</v>
      </c>
      <c r="K11" s="400">
        <v>288</v>
      </c>
      <c r="L11" s="202">
        <f t="shared" si="6"/>
        <v>0</v>
      </c>
      <c r="M11" s="202">
        <f t="shared" si="7"/>
        <v>25.919999999999998</v>
      </c>
      <c r="N11" s="202">
        <f t="shared" si="8"/>
        <v>25.919999999999998</v>
      </c>
      <c r="O11" s="8">
        <v>0</v>
      </c>
      <c r="P11" s="341" t="s">
        <v>177</v>
      </c>
      <c r="Q11" s="329">
        <f t="shared" si="9"/>
        <v>0</v>
      </c>
      <c r="R11" s="329">
        <f t="shared" si="10"/>
        <v>25.919999999999998</v>
      </c>
      <c r="S11" s="329">
        <f t="shared" si="11"/>
        <v>25.919999999999998</v>
      </c>
      <c r="T11" s="8">
        <f t="shared" si="12"/>
        <v>0</v>
      </c>
      <c r="U11" s="199">
        <f>VLOOKUP(A11,'PUR-PARTY MASTER'!$B$6:$J$250,7,FALSE)</f>
        <v>2</v>
      </c>
      <c r="V11" s="199" t="str">
        <f>VLOOKUP(A11,'PUR-PARTY MASTER'!$B$6:$J$250,8,FALSE)</f>
        <v>Local Pur</v>
      </c>
      <c r="W11" s="199" t="s">
        <v>894</v>
      </c>
      <c r="X11" s="404">
        <v>63071090</v>
      </c>
      <c r="Y11" s="201" t="str">
        <f>VLOOKUP(X11,'PUR-HSN MASTER'!$A$6:$D$247,2,FALSE)</f>
        <v>White Napkin</v>
      </c>
      <c r="Z11" s="201" t="str">
        <f>VLOOKUP(X11,'PUR-HSN MASTER'!$A$6:$D$247,3,FALSE)</f>
        <v>NOS-NUMBERS</v>
      </c>
      <c r="AA11" s="334" t="str">
        <f>VLOOKUP(X11,'PUR-HSN MASTER'!$A$6:$D$247,4,FALSE)</f>
        <v>Goods</v>
      </c>
      <c r="AB11" s="401">
        <v>24</v>
      </c>
    </row>
    <row r="12" spans="1:28" ht="14.4" x14ac:dyDescent="0.3">
      <c r="A12" s="429" t="s">
        <v>345</v>
      </c>
      <c r="B12" s="199" t="str">
        <f>VLOOKUP(A12,'PUR-PARTY MASTER'!$B$6:$J$250,2,FALSE)</f>
        <v>Premier Sales Corporation</v>
      </c>
      <c r="C12" s="402" t="s">
        <v>1348</v>
      </c>
      <c r="D12" s="398">
        <v>43132</v>
      </c>
      <c r="E12" s="329">
        <f t="shared" si="5"/>
        <v>552.24</v>
      </c>
      <c r="F12" s="199" t="str">
        <f>VLOOKUP(A12,'PUR-PARTY MASTER'!$B$6:$J$250,3,FALSE)</f>
        <v>27-Maharashatra</v>
      </c>
      <c r="G12" s="199" t="str">
        <f>VLOOKUP(A12,'PUR-PARTY MASTER'!$B$6:$J$250,4,FALSE)</f>
        <v>N</v>
      </c>
      <c r="H12" s="199" t="str">
        <f>VLOOKUP(A12,'PUR-PARTY MASTER'!$B$6:$J$250,5,FALSE)</f>
        <v>Regular</v>
      </c>
      <c r="I12" s="199">
        <f>VLOOKUP(A12,'PUR-PARTY MASTER'!$B$6:$J$250,6,FALSE)</f>
        <v>0</v>
      </c>
      <c r="J12" s="201">
        <v>18</v>
      </c>
      <c r="K12" s="400">
        <v>468</v>
      </c>
      <c r="L12" s="202">
        <f t="shared" si="6"/>
        <v>0</v>
      </c>
      <c r="M12" s="202">
        <f t="shared" si="7"/>
        <v>42.12</v>
      </c>
      <c r="N12" s="202">
        <f t="shared" si="8"/>
        <v>42.12</v>
      </c>
      <c r="O12" s="8">
        <v>0</v>
      </c>
      <c r="P12" s="341" t="s">
        <v>177</v>
      </c>
      <c r="Q12" s="329">
        <f t="shared" si="9"/>
        <v>0</v>
      </c>
      <c r="R12" s="329">
        <f t="shared" si="10"/>
        <v>42.12</v>
      </c>
      <c r="S12" s="329">
        <f t="shared" si="11"/>
        <v>42.12</v>
      </c>
      <c r="T12" s="8">
        <f t="shared" si="12"/>
        <v>0</v>
      </c>
      <c r="U12" s="199">
        <f>VLOOKUP(A12,'PUR-PARTY MASTER'!$B$6:$J$250,7,FALSE)</f>
        <v>2</v>
      </c>
      <c r="V12" s="199" t="str">
        <f>VLOOKUP(A12,'PUR-PARTY MASTER'!$B$6:$J$250,8,FALSE)</f>
        <v>Local Pur</v>
      </c>
      <c r="W12" s="199" t="s">
        <v>894</v>
      </c>
      <c r="X12" s="404" t="s">
        <v>920</v>
      </c>
      <c r="Y12" s="201" t="str">
        <f>VLOOKUP(X12,'PUR-HSN MASTER'!$A$6:$D$247,2,FALSE)</f>
        <v>Soft Broom</v>
      </c>
      <c r="Z12" s="201" t="str">
        <f>VLOOKUP(X12,'PUR-HSN MASTER'!$A$6:$D$247,3,FALSE)</f>
        <v>NOS-NUMBERS</v>
      </c>
      <c r="AA12" s="334" t="str">
        <f>VLOOKUP(X12,'PUR-HSN MASTER'!$A$6:$D$247,4,FALSE)</f>
        <v>Goods</v>
      </c>
      <c r="AB12" s="401">
        <v>6</v>
      </c>
    </row>
    <row r="13" spans="1:28" ht="14.4" x14ac:dyDescent="0.3">
      <c r="A13" s="429" t="s">
        <v>345</v>
      </c>
      <c r="B13" s="199" t="str">
        <f>VLOOKUP(A13,'PUR-PARTY MASTER'!$B$6:$J$250,2,FALSE)</f>
        <v>Premier Sales Corporation</v>
      </c>
      <c r="C13" s="402" t="s">
        <v>1349</v>
      </c>
      <c r="D13" s="398">
        <v>43132</v>
      </c>
      <c r="E13" s="329">
        <f t="shared" si="5"/>
        <v>1456</v>
      </c>
      <c r="F13" s="199" t="str">
        <f>VLOOKUP(A13,'PUR-PARTY MASTER'!$B$6:$J$250,3,FALSE)</f>
        <v>27-Maharashatra</v>
      </c>
      <c r="G13" s="199" t="str">
        <f>VLOOKUP(A13,'PUR-PARTY MASTER'!$B$6:$J$250,4,FALSE)</f>
        <v>N</v>
      </c>
      <c r="H13" s="199" t="str">
        <f>VLOOKUP(A13,'PUR-PARTY MASTER'!$B$6:$J$250,5,FALSE)</f>
        <v>Regular</v>
      </c>
      <c r="I13" s="199">
        <f>VLOOKUP(A13,'PUR-PARTY MASTER'!$B$6:$J$250,6,FALSE)</f>
        <v>0</v>
      </c>
      <c r="J13" s="201">
        <v>12</v>
      </c>
      <c r="K13" s="400">
        <v>1300</v>
      </c>
      <c r="L13" s="202">
        <f t="shared" si="6"/>
        <v>0</v>
      </c>
      <c r="M13" s="202">
        <f t="shared" si="7"/>
        <v>78</v>
      </c>
      <c r="N13" s="202">
        <f t="shared" si="8"/>
        <v>78</v>
      </c>
      <c r="O13" s="8">
        <v>0</v>
      </c>
      <c r="P13" s="341" t="s">
        <v>177</v>
      </c>
      <c r="Q13" s="329">
        <f t="shared" si="9"/>
        <v>0</v>
      </c>
      <c r="R13" s="329">
        <f t="shared" si="10"/>
        <v>78</v>
      </c>
      <c r="S13" s="329">
        <f t="shared" si="11"/>
        <v>78</v>
      </c>
      <c r="T13" s="8">
        <f t="shared" si="12"/>
        <v>0</v>
      </c>
      <c r="U13" s="199">
        <f>VLOOKUP(A13,'PUR-PARTY MASTER'!$B$6:$J$250,7,FALSE)</f>
        <v>2</v>
      </c>
      <c r="V13" s="199" t="str">
        <f>VLOOKUP(A13,'PUR-PARTY MASTER'!$B$6:$J$250,8,FALSE)</f>
        <v>Local Pur</v>
      </c>
      <c r="W13" s="199" t="s">
        <v>902</v>
      </c>
      <c r="X13" s="404">
        <v>59111000</v>
      </c>
      <c r="Y13" s="201" t="str">
        <f>VLOOKUP(X13,'PUR-HSN MASTER'!$A$6:$D$247,2,FALSE)</f>
        <v>Tackrog</v>
      </c>
      <c r="Z13" s="201" t="str">
        <f>VLOOKUP(X13,'PUR-HSN MASTER'!$A$6:$D$247,3,FALSE)</f>
        <v>NOS-NUMBERS</v>
      </c>
      <c r="AA13" s="334" t="str">
        <f>VLOOKUP(X13,'PUR-HSN MASTER'!$A$6:$D$247,4,FALSE)</f>
        <v>Goods</v>
      </c>
      <c r="AB13" s="401">
        <v>100</v>
      </c>
    </row>
    <row r="14" spans="1:28" ht="14.4" x14ac:dyDescent="0.3">
      <c r="A14" s="429" t="s">
        <v>345</v>
      </c>
      <c r="B14" s="199" t="str">
        <f>VLOOKUP(A14,'PUR-PARTY MASTER'!$B$6:$J$250,2,FALSE)</f>
        <v>Premier Sales Corporation</v>
      </c>
      <c r="C14" s="402" t="s">
        <v>1349</v>
      </c>
      <c r="D14" s="398">
        <v>43132</v>
      </c>
      <c r="E14" s="329">
        <f t="shared" si="5"/>
        <v>1904</v>
      </c>
      <c r="F14" s="199" t="str">
        <f>VLOOKUP(A14,'PUR-PARTY MASTER'!$B$6:$J$250,3,FALSE)</f>
        <v>27-Maharashatra</v>
      </c>
      <c r="G14" s="199" t="str">
        <f>VLOOKUP(A14,'PUR-PARTY MASTER'!$B$6:$J$250,4,FALSE)</f>
        <v>N</v>
      </c>
      <c r="H14" s="199" t="str">
        <f>VLOOKUP(A14,'PUR-PARTY MASTER'!$B$6:$J$250,5,FALSE)</f>
        <v>Regular</v>
      </c>
      <c r="I14" s="199">
        <f>VLOOKUP(A14,'PUR-PARTY MASTER'!$B$6:$J$250,6,FALSE)</f>
        <v>0</v>
      </c>
      <c r="J14" s="201">
        <v>12</v>
      </c>
      <c r="K14" s="400">
        <v>1700</v>
      </c>
      <c r="L14" s="202">
        <f t="shared" si="6"/>
        <v>0</v>
      </c>
      <c r="M14" s="202">
        <f t="shared" si="7"/>
        <v>102</v>
      </c>
      <c r="N14" s="202">
        <f t="shared" si="8"/>
        <v>102</v>
      </c>
      <c r="O14" s="8">
        <v>0</v>
      </c>
      <c r="P14" s="341" t="s">
        <v>177</v>
      </c>
      <c r="Q14" s="329">
        <f t="shared" si="9"/>
        <v>0</v>
      </c>
      <c r="R14" s="329">
        <f t="shared" si="10"/>
        <v>102</v>
      </c>
      <c r="S14" s="329">
        <f t="shared" si="11"/>
        <v>102</v>
      </c>
      <c r="T14" s="8">
        <f t="shared" si="12"/>
        <v>0</v>
      </c>
      <c r="U14" s="199">
        <f>VLOOKUP(A14,'PUR-PARTY MASTER'!$B$6:$J$250,7,FALSE)</f>
        <v>2</v>
      </c>
      <c r="V14" s="199" t="str">
        <f>VLOOKUP(A14,'PUR-PARTY MASTER'!$B$6:$J$250,8,FALSE)</f>
        <v>Local Pur</v>
      </c>
      <c r="W14" s="199" t="s">
        <v>902</v>
      </c>
      <c r="X14" s="404" t="s">
        <v>890</v>
      </c>
      <c r="Y14" s="201" t="str">
        <f>VLOOKUP(X14,'PUR-HSN MASTER'!$A$6:$D$247,2,FALSE)</f>
        <v>Uncoated Paper and Paperboard,</v>
      </c>
      <c r="Z14" s="201" t="str">
        <f>VLOOKUP(X14,'PUR-HSN MASTER'!$A$6:$D$247,3,FALSE)</f>
        <v>NOS-NUMBERS</v>
      </c>
      <c r="AA14" s="334" t="str">
        <f>VLOOKUP(X14,'PUR-HSN MASTER'!$A$6:$D$247,4,FALSE)</f>
        <v>Goods</v>
      </c>
      <c r="AB14" s="401">
        <v>10</v>
      </c>
    </row>
    <row r="15" spans="1:28" ht="14.4" x14ac:dyDescent="0.3">
      <c r="A15" s="429" t="s">
        <v>339</v>
      </c>
      <c r="B15" s="199" t="str">
        <f>VLOOKUP(A15,'PUR-PARTY MASTER'!$B$6:$J$250,2,FALSE)</f>
        <v>Axalta Coating Systems India Pvt.Ltd,</v>
      </c>
      <c r="C15" s="403">
        <v>7887681229</v>
      </c>
      <c r="D15" s="398">
        <v>43132</v>
      </c>
      <c r="E15" s="329">
        <f t="shared" si="5"/>
        <v>13579.439999999999</v>
      </c>
      <c r="F15" s="199" t="str">
        <f>VLOOKUP(A15,'PUR-PARTY MASTER'!$B$6:$J$250,3,FALSE)</f>
        <v>27-Maharashatra</v>
      </c>
      <c r="G15" s="199" t="str">
        <f>VLOOKUP(A15,'PUR-PARTY MASTER'!$B$6:$J$250,4,FALSE)</f>
        <v>N</v>
      </c>
      <c r="H15" s="199" t="str">
        <f>VLOOKUP(A15,'PUR-PARTY MASTER'!$B$6:$J$250,5,FALSE)</f>
        <v>Regular</v>
      </c>
      <c r="I15" s="199">
        <f>VLOOKUP(A15,'PUR-PARTY MASTER'!$B$6:$J$250,6,FALSE)</f>
        <v>0</v>
      </c>
      <c r="J15" s="201">
        <v>18</v>
      </c>
      <c r="K15" s="400">
        <v>11508</v>
      </c>
      <c r="L15" s="202">
        <f t="shared" si="6"/>
        <v>0</v>
      </c>
      <c r="M15" s="202">
        <f t="shared" si="7"/>
        <v>1035.72</v>
      </c>
      <c r="N15" s="202">
        <f t="shared" si="8"/>
        <v>1035.72</v>
      </c>
      <c r="O15" s="8">
        <v>0</v>
      </c>
      <c r="P15" s="341" t="s">
        <v>177</v>
      </c>
      <c r="Q15" s="329">
        <f t="shared" si="9"/>
        <v>0</v>
      </c>
      <c r="R15" s="329">
        <f t="shared" si="10"/>
        <v>1035.72</v>
      </c>
      <c r="S15" s="329">
        <f t="shared" si="11"/>
        <v>1035.72</v>
      </c>
      <c r="T15" s="8">
        <f t="shared" si="12"/>
        <v>0</v>
      </c>
      <c r="U15" s="199">
        <f>VLOOKUP(A15,'PUR-PARTY MASTER'!$B$6:$J$250,7,FALSE)</f>
        <v>2</v>
      </c>
      <c r="V15" s="199" t="str">
        <f>VLOOKUP(A15,'PUR-PARTY MASTER'!$B$6:$J$250,8,FALSE)</f>
        <v>Local Pur</v>
      </c>
      <c r="W15" s="199" t="s">
        <v>894</v>
      </c>
      <c r="X15" s="404">
        <v>38249990</v>
      </c>
      <c r="Y15" s="201" t="str">
        <f>VLOOKUP(X15,'PUR-HSN MASTER'!$A$6:$D$247,2,FALSE)</f>
        <v>Others ( Paint &amp; Varnishes)</v>
      </c>
      <c r="Z15" s="201" t="str">
        <f>VLOOKUP(X15,'PUR-HSN MASTER'!$A$6:$D$247,3,FALSE)</f>
        <v>NOS-NUMBERS</v>
      </c>
      <c r="AA15" s="334" t="str">
        <f>VLOOKUP(X15,'PUR-HSN MASTER'!$A$6:$D$247,4,FALSE)</f>
        <v>Goods</v>
      </c>
      <c r="AB15" s="401">
        <v>18</v>
      </c>
    </row>
    <row r="16" spans="1:28" ht="14.4" x14ac:dyDescent="0.3">
      <c r="A16" s="429" t="s">
        <v>339</v>
      </c>
      <c r="B16" s="199" t="str">
        <f>VLOOKUP(A16,'PUR-PARTY MASTER'!$B$6:$J$250,2,FALSE)</f>
        <v>Axalta Coating Systems India Pvt.Ltd,</v>
      </c>
      <c r="C16" s="403">
        <v>7887681231</v>
      </c>
      <c r="D16" s="398">
        <v>43132</v>
      </c>
      <c r="E16" s="329">
        <f t="shared" si="5"/>
        <v>13475.84</v>
      </c>
      <c r="F16" s="199" t="str">
        <f>VLOOKUP(A16,'PUR-PARTY MASTER'!$B$6:$J$250,3,FALSE)</f>
        <v>27-Maharashatra</v>
      </c>
      <c r="G16" s="199" t="str">
        <f>VLOOKUP(A16,'PUR-PARTY MASTER'!$B$6:$J$250,4,FALSE)</f>
        <v>N</v>
      </c>
      <c r="H16" s="199" t="str">
        <f>VLOOKUP(A16,'PUR-PARTY MASTER'!$B$6:$J$250,5,FALSE)</f>
        <v>Regular</v>
      </c>
      <c r="I16" s="199">
        <f>VLOOKUP(A16,'PUR-PARTY MASTER'!$B$6:$J$250,6,FALSE)</f>
        <v>0</v>
      </c>
      <c r="J16" s="201">
        <v>28</v>
      </c>
      <c r="K16" s="400">
        <v>10528</v>
      </c>
      <c r="L16" s="202">
        <f t="shared" si="6"/>
        <v>0</v>
      </c>
      <c r="M16" s="202">
        <f t="shared" si="7"/>
        <v>1473.92</v>
      </c>
      <c r="N16" s="202">
        <f t="shared" si="8"/>
        <v>1473.92</v>
      </c>
      <c r="O16" s="8">
        <v>0</v>
      </c>
      <c r="P16" s="341" t="s">
        <v>177</v>
      </c>
      <c r="Q16" s="329">
        <f t="shared" si="9"/>
        <v>0</v>
      </c>
      <c r="R16" s="329">
        <f t="shared" si="10"/>
        <v>1473.92</v>
      </c>
      <c r="S16" s="329">
        <f t="shared" si="11"/>
        <v>1473.92</v>
      </c>
      <c r="T16" s="8">
        <f t="shared" si="12"/>
        <v>0</v>
      </c>
      <c r="U16" s="199">
        <f>VLOOKUP(A16,'PUR-PARTY MASTER'!$B$6:$J$250,7,FALSE)</f>
        <v>2</v>
      </c>
      <c r="V16" s="199" t="str">
        <f>VLOOKUP(A16,'PUR-PARTY MASTER'!$B$6:$J$250,8,FALSE)</f>
        <v>Local Pur</v>
      </c>
      <c r="W16" s="199" t="s">
        <v>897</v>
      </c>
      <c r="X16" s="404">
        <v>32081090</v>
      </c>
      <c r="Y16" s="201" t="str">
        <f>VLOOKUP(X16,'PUR-HSN MASTER'!$A$6:$D$247,2,FALSE)</f>
        <v>Others ( Paint &amp; Varnishes)</v>
      </c>
      <c r="Z16" s="201" t="str">
        <f>VLOOKUP(X16,'PUR-HSN MASTER'!$A$6:$D$247,3,FALSE)</f>
        <v>NOS-NUMBERS</v>
      </c>
      <c r="AA16" s="334" t="str">
        <f>VLOOKUP(X16,'PUR-HSN MASTER'!$A$6:$D$247,4,FALSE)</f>
        <v>Goods</v>
      </c>
      <c r="AB16" s="401">
        <v>16</v>
      </c>
    </row>
    <row r="17" spans="1:28" ht="14.4" x14ac:dyDescent="0.3">
      <c r="A17" s="429" t="s">
        <v>339</v>
      </c>
      <c r="B17" s="199" t="str">
        <f>VLOOKUP(A17,'PUR-PARTY MASTER'!$B$6:$J$250,2,FALSE)</f>
        <v>Axalta Coating Systems India Pvt.Ltd,</v>
      </c>
      <c r="C17" s="403">
        <v>7887681231</v>
      </c>
      <c r="D17" s="398">
        <v>43132</v>
      </c>
      <c r="E17" s="329">
        <f t="shared" si="5"/>
        <v>16384</v>
      </c>
      <c r="F17" s="199" t="str">
        <f>VLOOKUP(A17,'PUR-PARTY MASTER'!$B$6:$J$250,3,FALSE)</f>
        <v>27-Maharashatra</v>
      </c>
      <c r="G17" s="199" t="str">
        <f>VLOOKUP(A17,'PUR-PARTY MASTER'!$B$6:$J$250,4,FALSE)</f>
        <v>N</v>
      </c>
      <c r="H17" s="199" t="str">
        <f>VLOOKUP(A17,'PUR-PARTY MASTER'!$B$6:$J$250,5,FALSE)</f>
        <v>Regular</v>
      </c>
      <c r="I17" s="199">
        <f>VLOOKUP(A17,'PUR-PARTY MASTER'!$B$6:$J$250,6,FALSE)</f>
        <v>0</v>
      </c>
      <c r="J17" s="201">
        <v>28</v>
      </c>
      <c r="K17" s="400">
        <v>12800</v>
      </c>
      <c r="L17" s="202">
        <f t="shared" si="6"/>
        <v>0</v>
      </c>
      <c r="M17" s="202">
        <f t="shared" si="7"/>
        <v>1792.0000000000002</v>
      </c>
      <c r="N17" s="202">
        <f t="shared" si="8"/>
        <v>1792.0000000000002</v>
      </c>
      <c r="O17" s="8">
        <v>0</v>
      </c>
      <c r="P17" s="341" t="s">
        <v>177</v>
      </c>
      <c r="Q17" s="329">
        <f t="shared" si="9"/>
        <v>0</v>
      </c>
      <c r="R17" s="329">
        <f t="shared" si="10"/>
        <v>1792.0000000000002</v>
      </c>
      <c r="S17" s="329">
        <f t="shared" si="11"/>
        <v>1792.0000000000002</v>
      </c>
      <c r="T17" s="8">
        <f t="shared" si="12"/>
        <v>0</v>
      </c>
      <c r="U17" s="199">
        <f>VLOOKUP(A17,'PUR-PARTY MASTER'!$B$6:$J$250,7,FALSE)</f>
        <v>2</v>
      </c>
      <c r="V17" s="199" t="str">
        <f>VLOOKUP(A17,'PUR-PARTY MASTER'!$B$6:$J$250,8,FALSE)</f>
        <v>Local Pur</v>
      </c>
      <c r="W17" s="199" t="s">
        <v>897</v>
      </c>
      <c r="X17" s="404">
        <v>32082090</v>
      </c>
      <c r="Y17" s="201" t="str">
        <f>VLOOKUP(X17,'PUR-HSN MASTER'!$A$6:$D$247,2,FALSE)</f>
        <v>Others ( Paint &amp; Varnishes)</v>
      </c>
      <c r="Z17" s="201" t="str">
        <f>VLOOKUP(X17,'PUR-HSN MASTER'!$A$6:$D$247,3,FALSE)</f>
        <v>KLR-KILOLITRE</v>
      </c>
      <c r="AA17" s="334" t="str">
        <f>VLOOKUP(X17,'PUR-HSN MASTER'!$A$6:$D$247,4,FALSE)</f>
        <v>Goods</v>
      </c>
      <c r="AB17" s="401">
        <v>20</v>
      </c>
    </row>
    <row r="18" spans="1:28" ht="14.4" x14ac:dyDescent="0.3">
      <c r="A18" s="429" t="s">
        <v>341</v>
      </c>
      <c r="B18" s="199" t="str">
        <f>VLOOKUP(A18,'PUR-PARTY MASTER'!$B$6:$J$250,2,FALSE)</f>
        <v>Ppg Asian Paints Pvt Ltd,</v>
      </c>
      <c r="C18" s="402" t="s">
        <v>1350</v>
      </c>
      <c r="D18" s="398">
        <v>43132</v>
      </c>
      <c r="E18" s="329">
        <f t="shared" si="5"/>
        <v>87040</v>
      </c>
      <c r="F18" s="199" t="str">
        <f>VLOOKUP(A18,'PUR-PARTY MASTER'!$B$6:$J$250,3,FALSE)</f>
        <v>27-Maharashatra</v>
      </c>
      <c r="G18" s="199" t="str">
        <f>VLOOKUP(A18,'PUR-PARTY MASTER'!$B$6:$J$250,4,FALSE)</f>
        <v>N</v>
      </c>
      <c r="H18" s="199" t="str">
        <f>VLOOKUP(A18,'PUR-PARTY MASTER'!$B$6:$J$250,5,FALSE)</f>
        <v>Regular</v>
      </c>
      <c r="I18" s="199">
        <f>VLOOKUP(A18,'PUR-PARTY MASTER'!$B$6:$J$250,6,FALSE)</f>
        <v>0</v>
      </c>
      <c r="J18" s="201">
        <v>28</v>
      </c>
      <c r="K18" s="400">
        <v>68000</v>
      </c>
      <c r="L18" s="202">
        <f t="shared" si="6"/>
        <v>0</v>
      </c>
      <c r="M18" s="202">
        <f t="shared" si="7"/>
        <v>9520</v>
      </c>
      <c r="N18" s="202">
        <f t="shared" si="8"/>
        <v>9520</v>
      </c>
      <c r="O18" s="8">
        <v>0</v>
      </c>
      <c r="P18" s="341" t="s">
        <v>177</v>
      </c>
      <c r="Q18" s="329">
        <f t="shared" si="9"/>
        <v>0</v>
      </c>
      <c r="R18" s="329">
        <f t="shared" si="10"/>
        <v>9520</v>
      </c>
      <c r="S18" s="329">
        <f t="shared" si="11"/>
        <v>9520</v>
      </c>
      <c r="T18" s="8">
        <f t="shared" si="12"/>
        <v>0</v>
      </c>
      <c r="U18" s="199">
        <f>VLOOKUP(A18,'PUR-PARTY MASTER'!$B$6:$J$250,7,FALSE)</f>
        <v>2</v>
      </c>
      <c r="V18" s="199" t="str">
        <f>VLOOKUP(A18,'PUR-PARTY MASTER'!$B$6:$J$250,8,FALSE)</f>
        <v>Local Pur</v>
      </c>
      <c r="W18" s="199" t="s">
        <v>897</v>
      </c>
      <c r="X18" s="404">
        <v>3208</v>
      </c>
      <c r="Y18" s="201" t="str">
        <f>VLOOKUP(X18,'PUR-HSN MASTER'!$A$6:$D$247,2,FALSE)</f>
        <v>Misc Chemical Products Thinner</v>
      </c>
      <c r="Z18" s="201" t="str">
        <f>VLOOKUP(X18,'PUR-HSN MASTER'!$A$6:$D$247,3,FALSE)</f>
        <v>NOS-NUMBERS</v>
      </c>
      <c r="AA18" s="334" t="str">
        <f>VLOOKUP(X18,'PUR-HSN MASTER'!$A$6:$D$247,4,FALSE)</f>
        <v>Goods</v>
      </c>
      <c r="AB18" s="401">
        <v>200</v>
      </c>
    </row>
    <row r="19" spans="1:28" ht="14.4" x14ac:dyDescent="0.3">
      <c r="A19" s="429" t="s">
        <v>341</v>
      </c>
      <c r="B19" s="199" t="str">
        <f>VLOOKUP(A19,'PUR-PARTY MASTER'!$B$6:$J$250,2,FALSE)</f>
        <v>Ppg Asian Paints Pvt Ltd,</v>
      </c>
      <c r="C19" s="402" t="s">
        <v>1351</v>
      </c>
      <c r="D19" s="398">
        <v>43132</v>
      </c>
      <c r="E19" s="329">
        <f t="shared" si="5"/>
        <v>24850.800000000003</v>
      </c>
      <c r="F19" s="199" t="str">
        <f>VLOOKUP(A19,'PUR-PARTY MASTER'!$B$6:$J$250,3,FALSE)</f>
        <v>27-Maharashatra</v>
      </c>
      <c r="G19" s="199" t="str">
        <f>VLOOKUP(A19,'PUR-PARTY MASTER'!$B$6:$J$250,4,FALSE)</f>
        <v>N</v>
      </c>
      <c r="H19" s="199" t="str">
        <f>VLOOKUP(A19,'PUR-PARTY MASTER'!$B$6:$J$250,5,FALSE)</f>
        <v>Regular</v>
      </c>
      <c r="I19" s="199">
        <f>VLOOKUP(A19,'PUR-PARTY MASTER'!$B$6:$J$250,6,FALSE)</f>
        <v>0</v>
      </c>
      <c r="J19" s="201">
        <v>18</v>
      </c>
      <c r="K19" s="400">
        <v>21060</v>
      </c>
      <c r="L19" s="202">
        <f t="shared" si="6"/>
        <v>0</v>
      </c>
      <c r="M19" s="202">
        <f t="shared" si="7"/>
        <v>1895.3999999999999</v>
      </c>
      <c r="N19" s="202">
        <f t="shared" si="8"/>
        <v>1895.3999999999999</v>
      </c>
      <c r="O19" s="8">
        <v>0</v>
      </c>
      <c r="P19" s="341" t="s">
        <v>177</v>
      </c>
      <c r="Q19" s="329">
        <f t="shared" si="9"/>
        <v>0</v>
      </c>
      <c r="R19" s="329">
        <f t="shared" si="10"/>
        <v>1895.3999999999999</v>
      </c>
      <c r="S19" s="329">
        <f t="shared" si="11"/>
        <v>1895.3999999999999</v>
      </c>
      <c r="T19" s="8">
        <f t="shared" si="12"/>
        <v>0</v>
      </c>
      <c r="U19" s="199">
        <f>VLOOKUP(A19,'PUR-PARTY MASTER'!$B$6:$J$250,7,FALSE)</f>
        <v>2</v>
      </c>
      <c r="V19" s="199" t="str">
        <f>VLOOKUP(A19,'PUR-PARTY MASTER'!$B$6:$J$250,8,FALSE)</f>
        <v>Local Pur</v>
      </c>
      <c r="W19" s="199" t="s">
        <v>894</v>
      </c>
      <c r="X19" s="404" t="s">
        <v>549</v>
      </c>
      <c r="Y19" s="201" t="str">
        <f>VLOOKUP(X19,'PUR-HSN MASTER'!$A$6:$D$247,2,FALSE)</f>
        <v>Misc Chemical Products Thinner</v>
      </c>
      <c r="Z19" s="201" t="str">
        <f>VLOOKUP(X19,'PUR-HSN MASTER'!$A$6:$D$247,3,FALSE)</f>
        <v>KLR-KILOLITRE</v>
      </c>
      <c r="AA19" s="334" t="str">
        <f>VLOOKUP(X19,'PUR-HSN MASTER'!$A$6:$D$247,4,FALSE)</f>
        <v>Goods</v>
      </c>
      <c r="AB19" s="401">
        <v>180</v>
      </c>
    </row>
    <row r="20" spans="1:28" ht="14.4" x14ac:dyDescent="0.3">
      <c r="A20" s="429" t="s">
        <v>335</v>
      </c>
      <c r="B20" s="199" t="str">
        <f>VLOOKUP(A20,'PUR-PARTY MASTER'!$B$6:$J$250,2,FALSE)</f>
        <v>Atharva Polymers Pvt Ltd,</v>
      </c>
      <c r="C20" s="403" t="s">
        <v>1352</v>
      </c>
      <c r="D20" s="398">
        <v>43132</v>
      </c>
      <c r="E20" s="329">
        <f t="shared" si="5"/>
        <v>59957.632000000005</v>
      </c>
      <c r="F20" s="199" t="str">
        <f>VLOOKUP(A20,'PUR-PARTY MASTER'!$B$6:$J$250,3,FALSE)</f>
        <v>27-Maharashatra</v>
      </c>
      <c r="G20" s="199" t="str">
        <f>VLOOKUP(A20,'PUR-PARTY MASTER'!$B$6:$J$250,4,FALSE)</f>
        <v>N</v>
      </c>
      <c r="H20" s="199" t="str">
        <f>VLOOKUP(A20,'PUR-PARTY MASTER'!$B$6:$J$250,5,FALSE)</f>
        <v>Regular</v>
      </c>
      <c r="I20" s="199">
        <f>VLOOKUP(A20,'PUR-PARTY MASTER'!$B$6:$J$250,6,FALSE)</f>
        <v>0</v>
      </c>
      <c r="J20" s="201">
        <v>28</v>
      </c>
      <c r="K20" s="400">
        <f>46726.25+115.65</f>
        <v>46841.9</v>
      </c>
      <c r="L20" s="202">
        <f t="shared" si="6"/>
        <v>0</v>
      </c>
      <c r="M20" s="202">
        <f t="shared" si="7"/>
        <v>6557.8660000000009</v>
      </c>
      <c r="N20" s="202">
        <f t="shared" si="8"/>
        <v>6557.8660000000009</v>
      </c>
      <c r="O20" s="8">
        <v>0</v>
      </c>
      <c r="P20" s="341" t="s">
        <v>177</v>
      </c>
      <c r="Q20" s="329">
        <f t="shared" si="9"/>
        <v>0</v>
      </c>
      <c r="R20" s="329">
        <f t="shared" si="10"/>
        <v>6557.8660000000009</v>
      </c>
      <c r="S20" s="329">
        <f t="shared" si="11"/>
        <v>6557.8660000000009</v>
      </c>
      <c r="T20" s="8">
        <f t="shared" si="12"/>
        <v>0</v>
      </c>
      <c r="U20" s="199">
        <f>VLOOKUP(A20,'PUR-PARTY MASTER'!$B$6:$J$250,7,FALSE)</f>
        <v>2</v>
      </c>
      <c r="V20" s="199" t="str">
        <f>VLOOKUP(A20,'PUR-PARTY MASTER'!$B$6:$J$250,8,FALSE)</f>
        <v>Local Pur</v>
      </c>
      <c r="W20" s="199" t="s">
        <v>897</v>
      </c>
      <c r="X20" s="404">
        <v>87141900</v>
      </c>
      <c r="Y20" s="201" t="str">
        <f>VLOOKUP(X20,'PUR-HSN MASTER'!$A$6:$D$247,2,FALSE)</f>
        <v>Parts &amp; Accessories Of Motor Vehicles Other</v>
      </c>
      <c r="Z20" s="201" t="str">
        <f>VLOOKUP(X20,'PUR-HSN MASTER'!$A$6:$D$247,3,FALSE)</f>
        <v>KLR-KILOLITRE</v>
      </c>
      <c r="AA20" s="334" t="str">
        <f>VLOOKUP(X20,'PUR-HSN MASTER'!$A$6:$D$247,4,FALSE)</f>
        <v>Goods</v>
      </c>
      <c r="AB20" s="401">
        <v>1100</v>
      </c>
    </row>
    <row r="21" spans="1:28" ht="14.4" x14ac:dyDescent="0.3">
      <c r="A21" s="429" t="s">
        <v>353</v>
      </c>
      <c r="B21" s="199" t="str">
        <f>VLOOKUP(A21,'PUR-PARTY MASTER'!$B$6:$J$250,2,FALSE)</f>
        <v>Sam Systems</v>
      </c>
      <c r="C21" s="403" t="s">
        <v>1353</v>
      </c>
      <c r="D21" s="398">
        <v>43133</v>
      </c>
      <c r="E21" s="329">
        <f t="shared" si="5"/>
        <v>413</v>
      </c>
      <c r="F21" s="199" t="str">
        <f>VLOOKUP(A21,'PUR-PARTY MASTER'!$B$6:$J$250,3,FALSE)</f>
        <v>27-Maharashatra</v>
      </c>
      <c r="G21" s="199" t="str">
        <f>VLOOKUP(A21,'PUR-PARTY MASTER'!$B$6:$J$250,4,FALSE)</f>
        <v>N</v>
      </c>
      <c r="H21" s="199" t="str">
        <f>VLOOKUP(A21,'PUR-PARTY MASTER'!$B$6:$J$250,5,FALSE)</f>
        <v>Regular</v>
      </c>
      <c r="I21" s="199">
        <f>VLOOKUP(A21,'PUR-PARTY MASTER'!$B$6:$J$250,6,FALSE)</f>
        <v>0</v>
      </c>
      <c r="J21" s="201">
        <v>18</v>
      </c>
      <c r="K21" s="400">
        <v>350</v>
      </c>
      <c r="L21" s="202">
        <f t="shared" si="6"/>
        <v>0</v>
      </c>
      <c r="M21" s="202">
        <f t="shared" si="7"/>
        <v>31.5</v>
      </c>
      <c r="N21" s="202">
        <f t="shared" si="8"/>
        <v>31.5</v>
      </c>
      <c r="O21" s="8">
        <v>0</v>
      </c>
      <c r="P21" s="341" t="s">
        <v>177</v>
      </c>
      <c r="Q21" s="329">
        <f t="shared" si="9"/>
        <v>0</v>
      </c>
      <c r="R21" s="329">
        <f t="shared" si="10"/>
        <v>31.5</v>
      </c>
      <c r="S21" s="329">
        <f t="shared" si="11"/>
        <v>31.5</v>
      </c>
      <c r="T21" s="8">
        <f t="shared" si="12"/>
        <v>0</v>
      </c>
      <c r="U21" s="199">
        <f>VLOOKUP(A21,'PUR-PARTY MASTER'!$B$6:$J$250,7,FALSE)</f>
        <v>2</v>
      </c>
      <c r="V21" s="199" t="str">
        <f>VLOOKUP(A21,'PUR-PARTY MASTER'!$B$6:$J$250,8,FALSE)</f>
        <v>Local Pur</v>
      </c>
      <c r="W21" s="199" t="s">
        <v>894</v>
      </c>
      <c r="X21" s="404" t="s">
        <v>919</v>
      </c>
      <c r="Y21" s="201" t="str">
        <f>VLOOKUP(X21,'PUR-HSN MASTER'!$A$6:$D$247,2,FALSE)</f>
        <v>Mouse</v>
      </c>
      <c r="Z21" s="201" t="str">
        <f>VLOOKUP(X21,'PUR-HSN MASTER'!$A$6:$D$247,3,FALSE)</f>
        <v>NOS-NUMBERS</v>
      </c>
      <c r="AA21" s="334" t="str">
        <f>VLOOKUP(X21,'PUR-HSN MASTER'!$A$6:$D$247,4,FALSE)</f>
        <v>Goods</v>
      </c>
      <c r="AB21" s="401">
        <v>1</v>
      </c>
    </row>
    <row r="22" spans="1:28" ht="14.4" x14ac:dyDescent="0.3">
      <c r="A22" s="429" t="s">
        <v>334</v>
      </c>
      <c r="B22" s="199" t="str">
        <f>VLOOKUP(A22,'PUR-PARTY MASTER'!$B$6:$J$250,2,FALSE)</f>
        <v>Aeroaids Corporation</v>
      </c>
      <c r="C22" s="403" t="s">
        <v>1354</v>
      </c>
      <c r="D22" s="398">
        <v>43133</v>
      </c>
      <c r="E22" s="329">
        <f t="shared" si="5"/>
        <v>44800</v>
      </c>
      <c r="F22" s="199" t="str">
        <f>VLOOKUP(A22,'PUR-PARTY MASTER'!$B$6:$J$250,3,FALSE)</f>
        <v>27-Maharashatra</v>
      </c>
      <c r="G22" s="199" t="str">
        <f>VLOOKUP(A22,'PUR-PARTY MASTER'!$B$6:$J$250,4,FALSE)</f>
        <v>N</v>
      </c>
      <c r="H22" s="199" t="str">
        <f>VLOOKUP(A22,'PUR-PARTY MASTER'!$B$6:$J$250,5,FALSE)</f>
        <v>Regular</v>
      </c>
      <c r="I22" s="199">
        <f>VLOOKUP(A22,'PUR-PARTY MASTER'!$B$6:$J$250,6,FALSE)</f>
        <v>0</v>
      </c>
      <c r="J22" s="201">
        <v>28</v>
      </c>
      <c r="K22" s="400">
        <v>35000</v>
      </c>
      <c r="L22" s="202">
        <f t="shared" si="6"/>
        <v>0</v>
      </c>
      <c r="M22" s="202">
        <f t="shared" si="7"/>
        <v>4900.0000000000009</v>
      </c>
      <c r="N22" s="202">
        <f t="shared" si="8"/>
        <v>4900.0000000000009</v>
      </c>
      <c r="O22" s="8">
        <v>0</v>
      </c>
      <c r="P22" s="341" t="s">
        <v>177</v>
      </c>
      <c r="Q22" s="329">
        <f t="shared" si="9"/>
        <v>0</v>
      </c>
      <c r="R22" s="329">
        <f t="shared" si="10"/>
        <v>4900.0000000000009</v>
      </c>
      <c r="S22" s="329">
        <f t="shared" si="11"/>
        <v>4900.0000000000009</v>
      </c>
      <c r="T22" s="8">
        <f t="shared" si="12"/>
        <v>0</v>
      </c>
      <c r="U22" s="199">
        <f>VLOOKUP(A22,'PUR-PARTY MASTER'!$B$6:$J$250,7,FALSE)</f>
        <v>2</v>
      </c>
      <c r="V22" s="199" t="str">
        <f>VLOOKUP(A22,'PUR-PARTY MASTER'!$B$6:$J$250,8,FALSE)</f>
        <v>Local Pur</v>
      </c>
      <c r="W22" s="199" t="s">
        <v>897</v>
      </c>
      <c r="X22" s="404">
        <v>32082090</v>
      </c>
      <c r="Y22" s="201" t="str">
        <f>VLOOKUP(X22,'PUR-HSN MASTER'!$A$6:$D$247,2,FALSE)</f>
        <v>Others ( Paint &amp; Varnishes)</v>
      </c>
      <c r="Z22" s="201" t="str">
        <f>VLOOKUP(X22,'PUR-HSN MASTER'!$A$6:$D$247,3,FALSE)</f>
        <v>KLR-KILOLITRE</v>
      </c>
      <c r="AA22" s="334" t="str">
        <f>VLOOKUP(X22,'PUR-HSN MASTER'!$A$6:$D$247,4,FALSE)</f>
        <v>Goods</v>
      </c>
      <c r="AB22" s="401">
        <v>200</v>
      </c>
    </row>
    <row r="23" spans="1:28" ht="14.4" x14ac:dyDescent="0.3">
      <c r="A23" s="429" t="s">
        <v>363</v>
      </c>
      <c r="B23" s="199" t="str">
        <f>VLOOKUP(A23,'PUR-PARTY MASTER'!$B$6:$J$250,2,FALSE)</f>
        <v>Mrf Corp Limited</v>
      </c>
      <c r="C23" s="403">
        <v>9330001116</v>
      </c>
      <c r="D23" s="398">
        <v>43133</v>
      </c>
      <c r="E23" s="329">
        <f t="shared" si="5"/>
        <v>25082.879999999997</v>
      </c>
      <c r="F23" s="199" t="str">
        <f>VLOOKUP(A23,'PUR-PARTY MASTER'!$B$6:$J$250,3,FALSE)</f>
        <v>27-Maharashatra</v>
      </c>
      <c r="G23" s="199" t="str">
        <f>VLOOKUP(A23,'PUR-PARTY MASTER'!$B$6:$J$250,4,FALSE)</f>
        <v>N</v>
      </c>
      <c r="H23" s="199" t="str">
        <f>VLOOKUP(A23,'PUR-PARTY MASTER'!$B$6:$J$250,5,FALSE)</f>
        <v>Regular</v>
      </c>
      <c r="I23" s="199">
        <f>VLOOKUP(A23,'PUR-PARTY MASTER'!$B$6:$J$250,6,FALSE)</f>
        <v>0</v>
      </c>
      <c r="J23" s="201">
        <v>28</v>
      </c>
      <c r="K23" s="400">
        <v>19596</v>
      </c>
      <c r="L23" s="202">
        <f t="shared" si="6"/>
        <v>0</v>
      </c>
      <c r="M23" s="202">
        <f t="shared" si="7"/>
        <v>2743.44</v>
      </c>
      <c r="N23" s="202">
        <f t="shared" si="8"/>
        <v>2743.44</v>
      </c>
      <c r="O23" s="8">
        <v>0</v>
      </c>
      <c r="P23" s="341" t="s">
        <v>177</v>
      </c>
      <c r="Q23" s="329">
        <f t="shared" si="9"/>
        <v>0</v>
      </c>
      <c r="R23" s="329">
        <f t="shared" si="10"/>
        <v>2743.44</v>
      </c>
      <c r="S23" s="329">
        <f t="shared" si="11"/>
        <v>2743.44</v>
      </c>
      <c r="T23" s="8">
        <f t="shared" si="12"/>
        <v>0</v>
      </c>
      <c r="U23" s="199">
        <f>VLOOKUP(A23,'PUR-PARTY MASTER'!$B$6:$J$250,7,FALSE)</f>
        <v>2</v>
      </c>
      <c r="V23" s="199" t="str">
        <f>VLOOKUP(A23,'PUR-PARTY MASTER'!$B$6:$J$250,8,FALSE)</f>
        <v>Local Pur</v>
      </c>
      <c r="W23" s="199" t="s">
        <v>897</v>
      </c>
      <c r="X23" s="404">
        <v>32082090</v>
      </c>
      <c r="Y23" s="201" t="str">
        <f>VLOOKUP(X23,'PUR-HSN MASTER'!$A$6:$D$247,2,FALSE)</f>
        <v>Others ( Paint &amp; Varnishes)</v>
      </c>
      <c r="Z23" s="201" t="str">
        <f>VLOOKUP(X23,'PUR-HSN MASTER'!$A$6:$D$247,3,FALSE)</f>
        <v>KLR-KILOLITRE</v>
      </c>
      <c r="AA23" s="334" t="str">
        <f>VLOOKUP(X23,'PUR-HSN MASTER'!$A$6:$D$247,4,FALSE)</f>
        <v>Goods</v>
      </c>
      <c r="AB23" s="401">
        <v>60</v>
      </c>
    </row>
    <row r="24" spans="1:28" ht="14.4" x14ac:dyDescent="0.3">
      <c r="A24" s="429" t="s">
        <v>865</v>
      </c>
      <c r="B24" s="199" t="str">
        <f>VLOOKUP(A24,'PUR-PARTY MASTER'!$B$6:$J$250,2,FALSE)</f>
        <v>Kansai Nerolac Paints Ltd,</v>
      </c>
      <c r="C24" s="403" t="s">
        <v>1355</v>
      </c>
      <c r="D24" s="398">
        <v>43132</v>
      </c>
      <c r="E24" s="329">
        <f t="shared" si="5"/>
        <v>89290.239999999991</v>
      </c>
      <c r="F24" s="199" t="str">
        <f>VLOOKUP(A24,'PUR-PARTY MASTER'!$B$6:$J$250,3,FALSE)</f>
        <v>27-Maharashatra</v>
      </c>
      <c r="G24" s="199" t="str">
        <f>VLOOKUP(A24,'PUR-PARTY MASTER'!$B$6:$J$250,4,FALSE)</f>
        <v>N</v>
      </c>
      <c r="H24" s="199" t="str">
        <f>VLOOKUP(A24,'PUR-PARTY MASTER'!$B$6:$J$250,5,FALSE)</f>
        <v>Regular</v>
      </c>
      <c r="I24" s="199">
        <f>VLOOKUP(A24,'PUR-PARTY MASTER'!$B$6:$J$250,6,FALSE)</f>
        <v>0</v>
      </c>
      <c r="J24" s="201">
        <v>28</v>
      </c>
      <c r="K24" s="400">
        <v>69758</v>
      </c>
      <c r="L24" s="202">
        <f t="shared" si="6"/>
        <v>0</v>
      </c>
      <c r="M24" s="202">
        <f t="shared" si="7"/>
        <v>9766.1200000000008</v>
      </c>
      <c r="N24" s="202">
        <f t="shared" si="8"/>
        <v>9766.1200000000008</v>
      </c>
      <c r="O24" s="8">
        <v>0</v>
      </c>
      <c r="P24" s="341" t="s">
        <v>177</v>
      </c>
      <c r="Q24" s="329">
        <f t="shared" si="9"/>
        <v>0</v>
      </c>
      <c r="R24" s="329">
        <f t="shared" si="10"/>
        <v>9766.1200000000008</v>
      </c>
      <c r="S24" s="329">
        <f t="shared" si="11"/>
        <v>9766.1200000000008</v>
      </c>
      <c r="T24" s="8">
        <f t="shared" si="12"/>
        <v>0</v>
      </c>
      <c r="U24" s="199">
        <f>VLOOKUP(A24,'PUR-PARTY MASTER'!$B$6:$J$250,7,FALSE)</f>
        <v>2</v>
      </c>
      <c r="V24" s="199" t="str">
        <f>VLOOKUP(A24,'PUR-PARTY MASTER'!$B$6:$J$250,8,FALSE)</f>
        <v>Local Pur</v>
      </c>
      <c r="W24" s="199" t="s">
        <v>897</v>
      </c>
      <c r="X24" s="404">
        <v>32082090</v>
      </c>
      <c r="Y24" s="201" t="str">
        <f>VLOOKUP(X24,'PUR-HSN MASTER'!$A$6:$D$247,2,FALSE)</f>
        <v>Others ( Paint &amp; Varnishes)</v>
      </c>
      <c r="Z24" s="201" t="str">
        <f>VLOOKUP(X24,'PUR-HSN MASTER'!$A$6:$D$247,3,FALSE)</f>
        <v>KLR-KILOLITRE</v>
      </c>
      <c r="AA24" s="334" t="str">
        <f>VLOOKUP(X24,'PUR-HSN MASTER'!$A$6:$D$247,4,FALSE)</f>
        <v>Goods</v>
      </c>
      <c r="AB24" s="401">
        <v>200</v>
      </c>
    </row>
    <row r="25" spans="1:28" ht="14.4" x14ac:dyDescent="0.3">
      <c r="A25" s="429" t="s">
        <v>865</v>
      </c>
      <c r="B25" s="199" t="str">
        <f>VLOOKUP(A25,'PUR-PARTY MASTER'!$B$6:$J$250,2,FALSE)</f>
        <v>Kansai Nerolac Paints Ltd,</v>
      </c>
      <c r="C25" s="403" t="s">
        <v>1356</v>
      </c>
      <c r="D25" s="398">
        <v>43132</v>
      </c>
      <c r="E25" s="329">
        <f t="shared" si="5"/>
        <v>10016.784</v>
      </c>
      <c r="F25" s="199" t="str">
        <f>VLOOKUP(A25,'PUR-PARTY MASTER'!$B$6:$J$250,3,FALSE)</f>
        <v>27-Maharashatra</v>
      </c>
      <c r="G25" s="199" t="str">
        <f>VLOOKUP(A25,'PUR-PARTY MASTER'!$B$6:$J$250,4,FALSE)</f>
        <v>N</v>
      </c>
      <c r="H25" s="199" t="str">
        <f>VLOOKUP(A25,'PUR-PARTY MASTER'!$B$6:$J$250,5,FALSE)</f>
        <v>Regular</v>
      </c>
      <c r="I25" s="199">
        <f>VLOOKUP(A25,'PUR-PARTY MASTER'!$B$6:$J$250,6,FALSE)</f>
        <v>0</v>
      </c>
      <c r="J25" s="201">
        <v>18</v>
      </c>
      <c r="K25" s="400">
        <v>8488.7999999999993</v>
      </c>
      <c r="L25" s="202">
        <f t="shared" si="6"/>
        <v>0</v>
      </c>
      <c r="M25" s="202">
        <f t="shared" si="7"/>
        <v>763.99199999999996</v>
      </c>
      <c r="N25" s="202">
        <f t="shared" si="8"/>
        <v>763.99199999999996</v>
      </c>
      <c r="O25" s="8">
        <v>0</v>
      </c>
      <c r="P25" s="341" t="s">
        <v>177</v>
      </c>
      <c r="Q25" s="329">
        <f t="shared" si="9"/>
        <v>0</v>
      </c>
      <c r="R25" s="329">
        <f t="shared" si="10"/>
        <v>763.99199999999996</v>
      </c>
      <c r="S25" s="329">
        <f t="shared" si="11"/>
        <v>763.99199999999996</v>
      </c>
      <c r="T25" s="8">
        <f t="shared" si="12"/>
        <v>0</v>
      </c>
      <c r="U25" s="199">
        <f>VLOOKUP(A25,'PUR-PARTY MASTER'!$B$6:$J$250,7,FALSE)</f>
        <v>2</v>
      </c>
      <c r="V25" s="199" t="str">
        <f>VLOOKUP(A25,'PUR-PARTY MASTER'!$B$6:$J$250,8,FALSE)</f>
        <v>Local Pur</v>
      </c>
      <c r="W25" s="199" t="s">
        <v>894</v>
      </c>
      <c r="X25" s="404">
        <v>38140010</v>
      </c>
      <c r="Y25" s="201" t="str">
        <f>VLOOKUP(X25,'PUR-HSN MASTER'!$A$6:$D$247,2,FALSE)</f>
        <v>Misc Chemical Products Thinner</v>
      </c>
      <c r="Z25" s="201" t="str">
        <f>VLOOKUP(X25,'PUR-HSN MASTER'!$A$6:$D$247,3,FALSE)</f>
        <v>NOS-NUMBERS</v>
      </c>
      <c r="AA25" s="334" t="str">
        <f>VLOOKUP(X25,'PUR-HSN MASTER'!$A$6:$D$247,4,FALSE)</f>
        <v>Goods</v>
      </c>
      <c r="AB25" s="401">
        <v>80</v>
      </c>
    </row>
    <row r="26" spans="1:28" ht="14.4" x14ac:dyDescent="0.3">
      <c r="A26" s="429" t="s">
        <v>24</v>
      </c>
      <c r="B26" s="199" t="str">
        <f>VLOOKUP(A26,'PUR-PARTY MASTER'!$B$6:$J$250,2,FALSE)</f>
        <v>Tata Autocomp Systems LTD.(X1)</v>
      </c>
      <c r="C26" s="402" t="s">
        <v>1357</v>
      </c>
      <c r="D26" s="398">
        <v>43133</v>
      </c>
      <c r="E26" s="329">
        <f t="shared" si="5"/>
        <v>17007.616000000002</v>
      </c>
      <c r="F26" s="199" t="str">
        <f>VLOOKUP(A26,'PUR-PARTY MASTER'!$B$6:$J$250,3,FALSE)</f>
        <v>27-Maharashatra</v>
      </c>
      <c r="G26" s="199" t="str">
        <f>VLOOKUP(A26,'PUR-PARTY MASTER'!$B$6:$J$250,4,FALSE)</f>
        <v>N</v>
      </c>
      <c r="H26" s="199" t="str">
        <f>VLOOKUP(A26,'PUR-PARTY MASTER'!$B$6:$J$250,5,FALSE)</f>
        <v>Regular</v>
      </c>
      <c r="I26" s="199">
        <f>VLOOKUP(A26,'PUR-PARTY MASTER'!$B$6:$J$250,6,FALSE)</f>
        <v>0</v>
      </c>
      <c r="J26" s="201">
        <v>28</v>
      </c>
      <c r="K26" s="400">
        <v>13287.2</v>
      </c>
      <c r="L26" s="202">
        <f t="shared" si="6"/>
        <v>0</v>
      </c>
      <c r="M26" s="202">
        <f t="shared" si="7"/>
        <v>1860.2080000000003</v>
      </c>
      <c r="N26" s="202">
        <f t="shared" si="8"/>
        <v>1860.2080000000003</v>
      </c>
      <c r="O26" s="8">
        <v>0</v>
      </c>
      <c r="P26" s="341" t="s">
        <v>177</v>
      </c>
      <c r="Q26" s="329">
        <f t="shared" si="9"/>
        <v>0</v>
      </c>
      <c r="R26" s="329">
        <f t="shared" si="10"/>
        <v>1860.2080000000003</v>
      </c>
      <c r="S26" s="329">
        <f t="shared" si="11"/>
        <v>1860.2080000000003</v>
      </c>
      <c r="T26" s="8">
        <f t="shared" si="12"/>
        <v>0</v>
      </c>
      <c r="U26" s="199">
        <f>VLOOKUP(A26,'PUR-PARTY MASTER'!$B$6:$J$250,7,FALSE)</f>
        <v>2</v>
      </c>
      <c r="V26" s="199" t="str">
        <f>VLOOKUP(A26,'PUR-PARTY MASTER'!$B$6:$J$250,8,FALSE)</f>
        <v>Local Pur</v>
      </c>
      <c r="W26" s="199" t="s">
        <v>897</v>
      </c>
      <c r="X26" s="404">
        <v>87082900</v>
      </c>
      <c r="Y26" s="201" t="str">
        <f>VLOOKUP(X26,'PUR-HSN MASTER'!$A$6:$D$247,2,FALSE)</f>
        <v>Parts &amp; Accessories Of Motor Vehicles Other</v>
      </c>
      <c r="Z26" s="201" t="str">
        <f>VLOOKUP(X26,'PUR-HSN MASTER'!$A$6:$D$247,3,FALSE)</f>
        <v>NOS-NUMBERS</v>
      </c>
      <c r="AA26" s="334" t="str">
        <f>VLOOKUP(X26,'PUR-HSN MASTER'!$A$6:$D$247,4,FALSE)</f>
        <v>Goods</v>
      </c>
      <c r="AB26" s="401">
        <v>85</v>
      </c>
    </row>
    <row r="27" spans="1:28" ht="14.4" x14ac:dyDescent="0.3">
      <c r="A27" s="429" t="s">
        <v>23</v>
      </c>
      <c r="B27" s="199" t="str">
        <f>VLOOKUP(A27,'PUR-PARTY MASTER'!$B$6:$J$250,2,FALSE)</f>
        <v>Varroc Polymers Pvt Ltd,</v>
      </c>
      <c r="C27" s="403">
        <v>2041067204</v>
      </c>
      <c r="D27" s="398">
        <v>43133</v>
      </c>
      <c r="E27" s="329">
        <f t="shared" si="5"/>
        <v>40722.739199999996</v>
      </c>
      <c r="F27" s="199" t="str">
        <f>VLOOKUP(A27,'PUR-PARTY MASTER'!$B$6:$J$250,3,FALSE)</f>
        <v>27-Maharashatra</v>
      </c>
      <c r="G27" s="199" t="str">
        <f>VLOOKUP(A27,'PUR-PARTY MASTER'!$B$6:$J$250,4,FALSE)</f>
        <v>N</v>
      </c>
      <c r="H27" s="199" t="str">
        <f>VLOOKUP(A27,'PUR-PARTY MASTER'!$B$6:$J$250,5,FALSE)</f>
        <v>Regular</v>
      </c>
      <c r="I27" s="199">
        <f>VLOOKUP(A27,'PUR-PARTY MASTER'!$B$6:$J$250,6,FALSE)</f>
        <v>0</v>
      </c>
      <c r="J27" s="201">
        <v>28</v>
      </c>
      <c r="K27" s="400">
        <v>31814.639999999999</v>
      </c>
      <c r="L27" s="202">
        <f t="shared" si="6"/>
        <v>0</v>
      </c>
      <c r="M27" s="202">
        <f t="shared" si="7"/>
        <v>4454.0496000000003</v>
      </c>
      <c r="N27" s="202">
        <f t="shared" si="8"/>
        <v>4454.0496000000003</v>
      </c>
      <c r="O27" s="8">
        <v>0</v>
      </c>
      <c r="P27" s="341" t="s">
        <v>177</v>
      </c>
      <c r="Q27" s="329">
        <f t="shared" si="9"/>
        <v>0</v>
      </c>
      <c r="R27" s="329">
        <f t="shared" si="10"/>
        <v>4454.0496000000003</v>
      </c>
      <c r="S27" s="329">
        <f t="shared" si="11"/>
        <v>4454.0496000000003</v>
      </c>
      <c r="T27" s="8">
        <f t="shared" si="12"/>
        <v>0</v>
      </c>
      <c r="U27" s="199">
        <f>VLOOKUP(A27,'PUR-PARTY MASTER'!$B$6:$J$250,7,FALSE)</f>
        <v>2</v>
      </c>
      <c r="V27" s="199" t="str">
        <f>VLOOKUP(A27,'PUR-PARTY MASTER'!$B$6:$J$250,8,FALSE)</f>
        <v>Local Pur</v>
      </c>
      <c r="W27" s="199" t="s">
        <v>897</v>
      </c>
      <c r="X27" s="404">
        <v>87141090</v>
      </c>
      <c r="Y27" s="201" t="str">
        <f>VLOOKUP(X27,'PUR-HSN MASTER'!$A$6:$D$247,2,FALSE)</f>
        <v>Parts &amp; Accessories Of Motor Vehicles Other</v>
      </c>
      <c r="Z27" s="201" t="str">
        <f>VLOOKUP(X27,'PUR-HSN MASTER'!$A$6:$D$247,3,FALSE)</f>
        <v>NOS-NUMBERS</v>
      </c>
      <c r="AA27" s="334" t="str">
        <f>VLOOKUP(X27,'PUR-HSN MASTER'!$A$6:$D$247,4,FALSE)</f>
        <v>Goods</v>
      </c>
      <c r="AB27" s="401">
        <v>858</v>
      </c>
    </row>
    <row r="28" spans="1:28" ht="14.4" x14ac:dyDescent="0.3">
      <c r="A28" s="429" t="s">
        <v>23</v>
      </c>
      <c r="B28" s="199" t="str">
        <f>VLOOKUP(A28,'PUR-PARTY MASTER'!$B$6:$J$250,2,FALSE)</f>
        <v>Varroc Polymers Pvt Ltd,</v>
      </c>
      <c r="C28" s="403">
        <v>2041067205</v>
      </c>
      <c r="D28" s="398">
        <v>43133</v>
      </c>
      <c r="E28" s="329">
        <f t="shared" si="5"/>
        <v>40722.739199999996</v>
      </c>
      <c r="F28" s="199" t="str">
        <f>VLOOKUP(A28,'PUR-PARTY MASTER'!$B$6:$J$250,3,FALSE)</f>
        <v>27-Maharashatra</v>
      </c>
      <c r="G28" s="199" t="str">
        <f>VLOOKUP(A28,'PUR-PARTY MASTER'!$B$6:$J$250,4,FALSE)</f>
        <v>N</v>
      </c>
      <c r="H28" s="199" t="str">
        <f>VLOOKUP(A28,'PUR-PARTY MASTER'!$B$6:$J$250,5,FALSE)</f>
        <v>Regular</v>
      </c>
      <c r="I28" s="199">
        <f>VLOOKUP(A28,'PUR-PARTY MASTER'!$B$6:$J$250,6,FALSE)</f>
        <v>0</v>
      </c>
      <c r="J28" s="201">
        <v>28</v>
      </c>
      <c r="K28" s="400">
        <v>31814.639999999999</v>
      </c>
      <c r="L28" s="202">
        <f t="shared" si="6"/>
        <v>0</v>
      </c>
      <c r="M28" s="202">
        <f t="shared" si="7"/>
        <v>4454.0496000000003</v>
      </c>
      <c r="N28" s="202">
        <f t="shared" si="8"/>
        <v>4454.0496000000003</v>
      </c>
      <c r="O28" s="8">
        <v>0</v>
      </c>
      <c r="P28" s="341" t="s">
        <v>177</v>
      </c>
      <c r="Q28" s="329">
        <f t="shared" si="9"/>
        <v>0</v>
      </c>
      <c r="R28" s="329">
        <f t="shared" si="10"/>
        <v>4454.0496000000003</v>
      </c>
      <c r="S28" s="329">
        <f t="shared" si="11"/>
        <v>4454.0496000000003</v>
      </c>
      <c r="T28" s="8">
        <f t="shared" si="12"/>
        <v>0</v>
      </c>
      <c r="U28" s="199">
        <f>VLOOKUP(A28,'PUR-PARTY MASTER'!$B$6:$J$250,7,FALSE)</f>
        <v>2</v>
      </c>
      <c r="V28" s="199" t="str">
        <f>VLOOKUP(A28,'PUR-PARTY MASTER'!$B$6:$J$250,8,FALSE)</f>
        <v>Local Pur</v>
      </c>
      <c r="W28" s="199" t="s">
        <v>897</v>
      </c>
      <c r="X28" s="404">
        <v>87141090</v>
      </c>
      <c r="Y28" s="201" t="str">
        <f>VLOOKUP(X28,'PUR-HSN MASTER'!$A$6:$D$247,2,FALSE)</f>
        <v>Parts &amp; Accessories Of Motor Vehicles Other</v>
      </c>
      <c r="Z28" s="201" t="str">
        <f>VLOOKUP(X28,'PUR-HSN MASTER'!$A$6:$D$247,3,FALSE)</f>
        <v>NOS-NUMBERS</v>
      </c>
      <c r="AA28" s="334" t="str">
        <f>VLOOKUP(X28,'PUR-HSN MASTER'!$A$6:$D$247,4,FALSE)</f>
        <v>Goods</v>
      </c>
      <c r="AB28" s="401">
        <v>858</v>
      </c>
    </row>
    <row r="29" spans="1:28" ht="14.4" x14ac:dyDescent="0.3">
      <c r="A29" s="429" t="s">
        <v>335</v>
      </c>
      <c r="B29" s="199" t="str">
        <f>VLOOKUP(A29,'PUR-PARTY MASTER'!$B$6:$J$250,2,FALSE)</f>
        <v>Atharva Polymers Pvt Ltd,</v>
      </c>
      <c r="C29" s="403" t="s">
        <v>1358</v>
      </c>
      <c r="D29" s="398">
        <v>43133</v>
      </c>
      <c r="E29" s="329">
        <f t="shared" si="5"/>
        <v>96210.880000000005</v>
      </c>
      <c r="F29" s="199" t="str">
        <f>VLOOKUP(A29,'PUR-PARTY MASTER'!$B$6:$J$250,3,FALSE)</f>
        <v>27-Maharashatra</v>
      </c>
      <c r="G29" s="199" t="str">
        <f>VLOOKUP(A29,'PUR-PARTY MASTER'!$B$6:$J$250,4,FALSE)</f>
        <v>N</v>
      </c>
      <c r="H29" s="199" t="str">
        <f>VLOOKUP(A29,'PUR-PARTY MASTER'!$B$6:$J$250,5,FALSE)</f>
        <v>Regular</v>
      </c>
      <c r="I29" s="199">
        <f>VLOOKUP(A29,'PUR-PARTY MASTER'!$B$6:$J$250,6,FALSE)</f>
        <v>0</v>
      </c>
      <c r="J29" s="201">
        <v>28</v>
      </c>
      <c r="K29" s="400">
        <f>74979+185.75</f>
        <v>75164.75</v>
      </c>
      <c r="L29" s="202">
        <f t="shared" si="6"/>
        <v>0</v>
      </c>
      <c r="M29" s="202">
        <f t="shared" si="7"/>
        <v>10523.065000000001</v>
      </c>
      <c r="N29" s="202">
        <f t="shared" si="8"/>
        <v>10523.065000000001</v>
      </c>
      <c r="O29" s="8">
        <v>0</v>
      </c>
      <c r="P29" s="341" t="s">
        <v>177</v>
      </c>
      <c r="Q29" s="329">
        <f t="shared" si="9"/>
        <v>0</v>
      </c>
      <c r="R29" s="329">
        <f t="shared" si="10"/>
        <v>10523.065000000001</v>
      </c>
      <c r="S29" s="329">
        <f t="shared" si="11"/>
        <v>10523.065000000001</v>
      </c>
      <c r="T29" s="8">
        <f t="shared" si="12"/>
        <v>0</v>
      </c>
      <c r="U29" s="199">
        <f>VLOOKUP(A29,'PUR-PARTY MASTER'!$B$6:$J$250,7,FALSE)</f>
        <v>2</v>
      </c>
      <c r="V29" s="199" t="str">
        <f>VLOOKUP(A29,'PUR-PARTY MASTER'!$B$6:$J$250,8,FALSE)</f>
        <v>Local Pur</v>
      </c>
      <c r="W29" s="199" t="s">
        <v>897</v>
      </c>
      <c r="X29" s="404">
        <v>87141900</v>
      </c>
      <c r="Y29" s="201" t="str">
        <f>VLOOKUP(X29,'PUR-HSN MASTER'!$A$6:$D$247,2,FALSE)</f>
        <v>Parts &amp; Accessories Of Motor Vehicles Other</v>
      </c>
      <c r="Z29" s="201" t="str">
        <f>VLOOKUP(X29,'PUR-HSN MASTER'!$A$6:$D$247,3,FALSE)</f>
        <v>KLR-KILOLITRE</v>
      </c>
      <c r="AA29" s="334" t="str">
        <f>VLOOKUP(X29,'PUR-HSN MASTER'!$A$6:$D$247,4,FALSE)</f>
        <v>Goods</v>
      </c>
      <c r="AB29" s="401">
        <v>1765</v>
      </c>
    </row>
    <row r="30" spans="1:28" ht="14.4" x14ac:dyDescent="0.3">
      <c r="A30" s="429" t="s">
        <v>957</v>
      </c>
      <c r="B30" s="199" t="str">
        <f>VLOOKUP(A30,'PUR-PARTY MASTER'!$B$6:$J$250,2,FALSE)</f>
        <v>Sager Enterprises</v>
      </c>
      <c r="C30" s="403">
        <v>767</v>
      </c>
      <c r="D30" s="398">
        <v>43134</v>
      </c>
      <c r="E30" s="329">
        <f t="shared" si="5"/>
        <v>8138.7196000000004</v>
      </c>
      <c r="F30" s="199" t="str">
        <f>VLOOKUP(A30,'PUR-PARTY MASTER'!$B$6:$J$250,3,FALSE)</f>
        <v>27-Maharashatra</v>
      </c>
      <c r="G30" s="199" t="str">
        <f>VLOOKUP(A30,'PUR-PARTY MASTER'!$B$6:$J$250,4,FALSE)</f>
        <v>N</v>
      </c>
      <c r="H30" s="199" t="str">
        <f>VLOOKUP(A30,'PUR-PARTY MASTER'!$B$6:$J$250,5,FALSE)</f>
        <v>Regular</v>
      </c>
      <c r="I30" s="199">
        <f>VLOOKUP(A30,'PUR-PARTY MASTER'!$B$6:$J$250,6,FALSE)</f>
        <v>0</v>
      </c>
      <c r="J30" s="201">
        <v>18</v>
      </c>
      <c r="K30" s="400">
        <v>6897.22</v>
      </c>
      <c r="L30" s="202">
        <f t="shared" si="6"/>
        <v>0</v>
      </c>
      <c r="M30" s="202">
        <f t="shared" si="7"/>
        <v>620.74980000000005</v>
      </c>
      <c r="N30" s="202">
        <f t="shared" si="8"/>
        <v>620.74980000000005</v>
      </c>
      <c r="O30" s="8">
        <v>0</v>
      </c>
      <c r="P30" s="341" t="s">
        <v>177</v>
      </c>
      <c r="Q30" s="329">
        <f t="shared" si="9"/>
        <v>0</v>
      </c>
      <c r="R30" s="329">
        <f t="shared" si="10"/>
        <v>620.74980000000005</v>
      </c>
      <c r="S30" s="329">
        <f t="shared" si="11"/>
        <v>620.74980000000005</v>
      </c>
      <c r="T30" s="8">
        <f t="shared" si="12"/>
        <v>0</v>
      </c>
      <c r="U30" s="199">
        <f>VLOOKUP(A30,'PUR-PARTY MASTER'!$B$6:$J$250,7,FALSE)</f>
        <v>2</v>
      </c>
      <c r="V30" s="199" t="str">
        <f>VLOOKUP(A30,'PUR-PARTY MASTER'!$B$6:$J$250,8,FALSE)</f>
        <v>Local Pur</v>
      </c>
      <c r="W30" s="199" t="s">
        <v>894</v>
      </c>
      <c r="X30" s="404">
        <v>3917</v>
      </c>
      <c r="Y30" s="201" t="str">
        <f>VLOOKUP(X30,'PUR-HSN MASTER'!$A$6:$D$247,2,FALSE)</f>
        <v>Tubes Pipes &amp; Hoses</v>
      </c>
      <c r="Z30" s="201" t="str">
        <f>VLOOKUP(X30,'PUR-HSN MASTER'!$A$6:$D$247,3,FALSE)</f>
        <v>NOS-NUMBERS</v>
      </c>
      <c r="AA30" s="334" t="str">
        <f>VLOOKUP(X30,'PUR-HSN MASTER'!$A$6:$D$247,4,FALSE)</f>
        <v>Goods</v>
      </c>
      <c r="AB30" s="401">
        <v>26</v>
      </c>
    </row>
    <row r="31" spans="1:28" ht="14.4" x14ac:dyDescent="0.3">
      <c r="A31" s="429" t="s">
        <v>360</v>
      </c>
      <c r="B31" s="199" t="str">
        <f>VLOOKUP(A31,'PUR-PARTY MASTER'!$B$6:$J$250,2,FALSE)</f>
        <v>Om logistics ltd.</v>
      </c>
      <c r="C31" s="403">
        <v>280217133601</v>
      </c>
      <c r="D31" s="398">
        <v>43132</v>
      </c>
      <c r="E31" s="329">
        <f t="shared" si="5"/>
        <v>3024</v>
      </c>
      <c r="F31" s="199" t="str">
        <f>VLOOKUP(A31,'PUR-PARTY MASTER'!$B$6:$J$250,3,FALSE)</f>
        <v>27-Maharashatra</v>
      </c>
      <c r="G31" s="199" t="str">
        <f>VLOOKUP(A31,'PUR-PARTY MASTER'!$B$6:$J$250,4,FALSE)</f>
        <v>N</v>
      </c>
      <c r="H31" s="199" t="str">
        <f>VLOOKUP(A31,'PUR-PARTY MASTER'!$B$6:$J$250,5,FALSE)</f>
        <v>Regular</v>
      </c>
      <c r="I31" s="199">
        <f>VLOOKUP(A31,'PUR-PARTY MASTER'!$B$6:$J$250,6,FALSE)</f>
        <v>0</v>
      </c>
      <c r="J31" s="201">
        <v>12</v>
      </c>
      <c r="K31" s="400">
        <v>2700</v>
      </c>
      <c r="L31" s="202">
        <f t="shared" si="6"/>
        <v>0</v>
      </c>
      <c r="M31" s="202">
        <f t="shared" si="7"/>
        <v>162</v>
      </c>
      <c r="N31" s="202">
        <f t="shared" si="8"/>
        <v>162</v>
      </c>
      <c r="O31" s="8">
        <v>0</v>
      </c>
      <c r="P31" s="341" t="s">
        <v>177</v>
      </c>
      <c r="Q31" s="329">
        <f t="shared" si="9"/>
        <v>0</v>
      </c>
      <c r="R31" s="329">
        <f t="shared" si="10"/>
        <v>162</v>
      </c>
      <c r="S31" s="329">
        <f t="shared" si="11"/>
        <v>162</v>
      </c>
      <c r="T31" s="8">
        <f t="shared" si="12"/>
        <v>0</v>
      </c>
      <c r="U31" s="199">
        <f>VLOOKUP(A31,'PUR-PARTY MASTER'!$B$6:$J$250,7,FALSE)</f>
        <v>2</v>
      </c>
      <c r="V31" s="199" t="str">
        <f>VLOOKUP(A31,'PUR-PARTY MASTER'!$B$6:$J$250,8,FALSE)</f>
        <v>Local Pur</v>
      </c>
      <c r="W31" s="199" t="s">
        <v>902</v>
      </c>
      <c r="X31" s="404">
        <v>996511</v>
      </c>
      <c r="Y31" s="201" t="str">
        <f>VLOOKUP(X31,'PUR-HSN MASTER'!$A$6:$D$247,2,FALSE)</f>
        <v>Transportation Of Goods By Road</v>
      </c>
      <c r="Z31" s="201" t="str">
        <f>VLOOKUP(X31,'PUR-HSN MASTER'!$A$6:$D$247,3,FALSE)</f>
        <v>NOS-NUMBERS</v>
      </c>
      <c r="AA31" s="334" t="str">
        <f>VLOOKUP(X31,'PUR-HSN MASTER'!$A$6:$D$247,4,FALSE)</f>
        <v>Services</v>
      </c>
      <c r="AB31" s="401">
        <v>1</v>
      </c>
    </row>
    <row r="32" spans="1:28" ht="14.4" x14ac:dyDescent="0.3">
      <c r="A32" s="430" t="s">
        <v>862</v>
      </c>
      <c r="B32" s="199" t="str">
        <f>VLOOKUP(A32,'PUR-PARTY MASTER'!$B$6:$J$250,2,FALSE)</f>
        <v xml:space="preserve">Varroc Engineering Ltd </v>
      </c>
      <c r="C32" s="403">
        <v>2239997500</v>
      </c>
      <c r="D32" s="398">
        <v>43134</v>
      </c>
      <c r="E32" s="329">
        <f t="shared" si="5"/>
        <v>11819.52</v>
      </c>
      <c r="F32" s="199" t="str">
        <f>VLOOKUP(A32,'PUR-PARTY MASTER'!$B$6:$J$250,3,FALSE)</f>
        <v>27-Maharashatra</v>
      </c>
      <c r="G32" s="199" t="str">
        <f>VLOOKUP(A32,'PUR-PARTY MASTER'!$B$6:$J$250,4,FALSE)</f>
        <v>N</v>
      </c>
      <c r="H32" s="199" t="str">
        <f>VLOOKUP(A32,'PUR-PARTY MASTER'!$B$6:$J$250,5,FALSE)</f>
        <v>Regular</v>
      </c>
      <c r="I32" s="199">
        <f>VLOOKUP(A32,'PUR-PARTY MASTER'!$B$6:$J$250,6,FALSE)</f>
        <v>0</v>
      </c>
      <c r="J32" s="201">
        <v>28</v>
      </c>
      <c r="K32" s="400">
        <v>9234</v>
      </c>
      <c r="L32" s="202">
        <f t="shared" si="6"/>
        <v>0</v>
      </c>
      <c r="M32" s="202">
        <f t="shared" si="7"/>
        <v>1292.7600000000002</v>
      </c>
      <c r="N32" s="202">
        <f t="shared" si="8"/>
        <v>1292.7600000000002</v>
      </c>
      <c r="O32" s="8">
        <v>0</v>
      </c>
      <c r="P32" s="341" t="s">
        <v>177</v>
      </c>
      <c r="Q32" s="329">
        <f t="shared" si="9"/>
        <v>0</v>
      </c>
      <c r="R32" s="329">
        <f t="shared" si="10"/>
        <v>1292.7600000000002</v>
      </c>
      <c r="S32" s="329">
        <f t="shared" si="11"/>
        <v>1292.7600000000002</v>
      </c>
      <c r="T32" s="8">
        <f t="shared" si="12"/>
        <v>0</v>
      </c>
      <c r="U32" s="199">
        <f>VLOOKUP(A32,'PUR-PARTY MASTER'!$B$6:$J$250,7,FALSE)</f>
        <v>2</v>
      </c>
      <c r="V32" s="199" t="str">
        <f>VLOOKUP(A32,'PUR-PARTY MASTER'!$B$6:$J$250,8,FALSE)</f>
        <v>Local Pur</v>
      </c>
      <c r="W32" s="199" t="s">
        <v>897</v>
      </c>
      <c r="X32" s="404">
        <v>87142090</v>
      </c>
      <c r="Y32" s="201" t="str">
        <f>VLOOKUP(X32,'PUR-HSN MASTER'!$A$6:$D$247,2,FALSE)</f>
        <v>Parts &amp; Accessories Of Motor Vehicles Other</v>
      </c>
      <c r="Z32" s="201" t="str">
        <f>VLOOKUP(X32,'PUR-HSN MASTER'!$A$6:$D$247,3,FALSE)</f>
        <v>NOS-NUMBERS</v>
      </c>
      <c r="AA32" s="334" t="str">
        <f>VLOOKUP(X32,'PUR-HSN MASTER'!$A$6:$D$247,4,FALSE)</f>
        <v>Goods</v>
      </c>
      <c r="AB32" s="401">
        <v>1080</v>
      </c>
    </row>
    <row r="33" spans="1:28" ht="14.4" x14ac:dyDescent="0.3">
      <c r="A33" s="430" t="s">
        <v>862</v>
      </c>
      <c r="B33" s="199" t="str">
        <f>VLOOKUP(A33,'PUR-PARTY MASTER'!$B$6:$J$250,2,FALSE)</f>
        <v xml:space="preserve">Varroc Engineering Ltd </v>
      </c>
      <c r="C33" s="403">
        <v>2239997501</v>
      </c>
      <c r="D33" s="398">
        <v>43134</v>
      </c>
      <c r="E33" s="329">
        <f t="shared" si="5"/>
        <v>22571.520000000004</v>
      </c>
      <c r="F33" s="199" t="str">
        <f>VLOOKUP(A33,'PUR-PARTY MASTER'!$B$6:$J$250,3,FALSE)</f>
        <v>27-Maharashatra</v>
      </c>
      <c r="G33" s="199" t="str">
        <f>VLOOKUP(A33,'PUR-PARTY MASTER'!$B$6:$J$250,4,FALSE)</f>
        <v>N</v>
      </c>
      <c r="H33" s="199" t="str">
        <f>VLOOKUP(A33,'PUR-PARTY MASTER'!$B$6:$J$250,5,FALSE)</f>
        <v>Regular</v>
      </c>
      <c r="I33" s="199">
        <f>VLOOKUP(A33,'PUR-PARTY MASTER'!$B$6:$J$250,6,FALSE)</f>
        <v>0</v>
      </c>
      <c r="J33" s="201">
        <v>28</v>
      </c>
      <c r="K33" s="400">
        <v>17634</v>
      </c>
      <c r="L33" s="202">
        <f t="shared" si="6"/>
        <v>0</v>
      </c>
      <c r="M33" s="202">
        <f t="shared" si="7"/>
        <v>2468.7600000000002</v>
      </c>
      <c r="N33" s="202">
        <f t="shared" si="8"/>
        <v>2468.7600000000002</v>
      </c>
      <c r="O33" s="8">
        <v>0</v>
      </c>
      <c r="P33" s="341" t="s">
        <v>177</v>
      </c>
      <c r="Q33" s="329">
        <f t="shared" si="9"/>
        <v>0</v>
      </c>
      <c r="R33" s="329">
        <f t="shared" si="10"/>
        <v>2468.7600000000002</v>
      </c>
      <c r="S33" s="329">
        <f t="shared" si="11"/>
        <v>2468.7600000000002</v>
      </c>
      <c r="T33" s="8">
        <f t="shared" si="12"/>
        <v>0</v>
      </c>
      <c r="U33" s="199">
        <f>VLOOKUP(A33,'PUR-PARTY MASTER'!$B$6:$J$250,7,FALSE)</f>
        <v>2</v>
      </c>
      <c r="V33" s="199" t="str">
        <f>VLOOKUP(A33,'PUR-PARTY MASTER'!$B$6:$J$250,8,FALSE)</f>
        <v>Local Pur</v>
      </c>
      <c r="W33" s="199" t="s">
        <v>897</v>
      </c>
      <c r="X33" s="404">
        <v>87142090</v>
      </c>
      <c r="Y33" s="201" t="str">
        <f>VLOOKUP(X33,'PUR-HSN MASTER'!$A$6:$D$247,2,FALSE)</f>
        <v>Parts &amp; Accessories Of Motor Vehicles Other</v>
      </c>
      <c r="Z33" s="201" t="str">
        <f>VLOOKUP(X33,'PUR-HSN MASTER'!$A$6:$D$247,3,FALSE)</f>
        <v>NOS-NUMBERS</v>
      </c>
      <c r="AA33" s="334" t="str">
        <f>VLOOKUP(X33,'PUR-HSN MASTER'!$A$6:$D$247,4,FALSE)</f>
        <v>Goods</v>
      </c>
      <c r="AB33" s="401">
        <v>600</v>
      </c>
    </row>
    <row r="34" spans="1:28" ht="14.4" x14ac:dyDescent="0.3">
      <c r="A34" s="430" t="s">
        <v>862</v>
      </c>
      <c r="B34" s="199" t="str">
        <f>VLOOKUP(A34,'PUR-PARTY MASTER'!$B$6:$J$250,2,FALSE)</f>
        <v xml:space="preserve">Varroc Engineering Ltd </v>
      </c>
      <c r="C34" s="403">
        <v>2239997502</v>
      </c>
      <c r="D34" s="398">
        <v>43134</v>
      </c>
      <c r="E34" s="329">
        <f t="shared" si="5"/>
        <v>26002.944</v>
      </c>
      <c r="F34" s="199" t="str">
        <f>VLOOKUP(A34,'PUR-PARTY MASTER'!$B$6:$J$250,3,FALSE)</f>
        <v>27-Maharashatra</v>
      </c>
      <c r="G34" s="199" t="str">
        <f>VLOOKUP(A34,'PUR-PARTY MASTER'!$B$6:$J$250,4,FALSE)</f>
        <v>N</v>
      </c>
      <c r="H34" s="199" t="str">
        <f>VLOOKUP(A34,'PUR-PARTY MASTER'!$B$6:$J$250,5,FALSE)</f>
        <v>Regular</v>
      </c>
      <c r="I34" s="199">
        <f>VLOOKUP(A34,'PUR-PARTY MASTER'!$B$6:$J$250,6,FALSE)</f>
        <v>0</v>
      </c>
      <c r="J34" s="201">
        <v>28</v>
      </c>
      <c r="K34" s="400">
        <v>20314.8</v>
      </c>
      <c r="L34" s="202">
        <f t="shared" si="6"/>
        <v>0</v>
      </c>
      <c r="M34" s="202">
        <f t="shared" si="7"/>
        <v>2844.0720000000001</v>
      </c>
      <c r="N34" s="202">
        <f t="shared" si="8"/>
        <v>2844.0720000000001</v>
      </c>
      <c r="O34" s="8">
        <v>0</v>
      </c>
      <c r="P34" s="341" t="s">
        <v>177</v>
      </c>
      <c r="Q34" s="329">
        <f t="shared" si="9"/>
        <v>0</v>
      </c>
      <c r="R34" s="329">
        <f t="shared" si="10"/>
        <v>2844.0720000000001</v>
      </c>
      <c r="S34" s="329">
        <f t="shared" si="11"/>
        <v>2844.0720000000001</v>
      </c>
      <c r="T34" s="8">
        <f t="shared" si="12"/>
        <v>0</v>
      </c>
      <c r="U34" s="199">
        <f>VLOOKUP(A34,'PUR-PARTY MASTER'!$B$6:$J$250,7,FALSE)</f>
        <v>2</v>
      </c>
      <c r="V34" s="199" t="str">
        <f>VLOOKUP(A34,'PUR-PARTY MASTER'!$B$6:$J$250,8,FALSE)</f>
        <v>Local Pur</v>
      </c>
      <c r="W34" s="199" t="s">
        <v>897</v>
      </c>
      <c r="X34" s="404">
        <v>87142090</v>
      </c>
      <c r="Y34" s="201" t="str">
        <f>VLOOKUP(X34,'PUR-HSN MASTER'!$A$6:$D$247,2,FALSE)</f>
        <v>Parts &amp; Accessories Of Motor Vehicles Other</v>
      </c>
      <c r="Z34" s="201" t="str">
        <f>VLOOKUP(X34,'PUR-HSN MASTER'!$A$6:$D$247,3,FALSE)</f>
        <v>NOS-NUMBERS</v>
      </c>
      <c r="AA34" s="334" t="str">
        <f>VLOOKUP(X34,'PUR-HSN MASTER'!$A$6:$D$247,4,FALSE)</f>
        <v>Goods</v>
      </c>
      <c r="AB34" s="401">
        <v>2376</v>
      </c>
    </row>
    <row r="35" spans="1:28" ht="14.4" x14ac:dyDescent="0.3">
      <c r="A35" s="430" t="s">
        <v>862</v>
      </c>
      <c r="B35" s="199" t="str">
        <f>VLOOKUP(A35,'PUR-PARTY MASTER'!$B$6:$J$250,2,FALSE)</f>
        <v xml:space="preserve">Varroc Engineering Ltd </v>
      </c>
      <c r="C35" s="403">
        <v>2239997503</v>
      </c>
      <c r="D35" s="398">
        <v>43134</v>
      </c>
      <c r="E35" s="329">
        <f t="shared" si="5"/>
        <v>31600.127999999997</v>
      </c>
      <c r="F35" s="199" t="str">
        <f>VLOOKUP(A35,'PUR-PARTY MASTER'!$B$6:$J$250,3,FALSE)</f>
        <v>27-Maharashatra</v>
      </c>
      <c r="G35" s="199" t="str">
        <f>VLOOKUP(A35,'PUR-PARTY MASTER'!$B$6:$J$250,4,FALSE)</f>
        <v>N</v>
      </c>
      <c r="H35" s="199" t="str">
        <f>VLOOKUP(A35,'PUR-PARTY MASTER'!$B$6:$J$250,5,FALSE)</f>
        <v>Regular</v>
      </c>
      <c r="I35" s="199">
        <f>VLOOKUP(A35,'PUR-PARTY MASTER'!$B$6:$J$250,6,FALSE)</f>
        <v>0</v>
      </c>
      <c r="J35" s="201">
        <v>28</v>
      </c>
      <c r="K35" s="400">
        <v>24687.599999999999</v>
      </c>
      <c r="L35" s="202">
        <f t="shared" si="6"/>
        <v>0</v>
      </c>
      <c r="M35" s="202">
        <f t="shared" si="7"/>
        <v>3456.2640000000001</v>
      </c>
      <c r="N35" s="202">
        <f t="shared" si="8"/>
        <v>3456.2640000000001</v>
      </c>
      <c r="O35" s="8">
        <v>0</v>
      </c>
      <c r="P35" s="341" t="s">
        <v>177</v>
      </c>
      <c r="Q35" s="329">
        <f t="shared" si="9"/>
        <v>0</v>
      </c>
      <c r="R35" s="329">
        <f t="shared" si="10"/>
        <v>3456.2640000000001</v>
      </c>
      <c r="S35" s="329">
        <f t="shared" si="11"/>
        <v>3456.2640000000001</v>
      </c>
      <c r="T35" s="8">
        <f t="shared" si="12"/>
        <v>0</v>
      </c>
      <c r="U35" s="199">
        <f>VLOOKUP(A35,'PUR-PARTY MASTER'!$B$6:$J$250,7,FALSE)</f>
        <v>2</v>
      </c>
      <c r="V35" s="199" t="str">
        <f>VLOOKUP(A35,'PUR-PARTY MASTER'!$B$6:$J$250,8,FALSE)</f>
        <v>Local Pur</v>
      </c>
      <c r="W35" s="199" t="s">
        <v>897</v>
      </c>
      <c r="X35" s="404">
        <v>87142090</v>
      </c>
      <c r="Y35" s="201" t="str">
        <f>VLOOKUP(X35,'PUR-HSN MASTER'!$A$6:$D$247,2,FALSE)</f>
        <v>Parts &amp; Accessories Of Motor Vehicles Other</v>
      </c>
      <c r="Z35" s="201" t="str">
        <f>VLOOKUP(X35,'PUR-HSN MASTER'!$A$6:$D$247,3,FALSE)</f>
        <v>NOS-NUMBERS</v>
      </c>
      <c r="AA35" s="334" t="str">
        <f>VLOOKUP(X35,'PUR-HSN MASTER'!$A$6:$D$247,4,FALSE)</f>
        <v>Goods</v>
      </c>
      <c r="AB35" s="401">
        <v>840</v>
      </c>
    </row>
    <row r="36" spans="1:28" ht="14.4" x14ac:dyDescent="0.3">
      <c r="A36" s="429" t="s">
        <v>37</v>
      </c>
      <c r="B36" s="199" t="str">
        <f>VLOOKUP(A36,'PUR-PARTY MASTER'!$B$6:$J$250,2,FALSE)</f>
        <v>Tech-Force Composites Pvt,Ltd.,(Indore)</v>
      </c>
      <c r="C36" s="403">
        <v>17631985</v>
      </c>
      <c r="D36" s="398">
        <v>43133</v>
      </c>
      <c r="E36" s="329">
        <f t="shared" si="5"/>
        <v>15708.288</v>
      </c>
      <c r="F36" s="199" t="str">
        <f>VLOOKUP(A36,'PUR-PARTY MASTER'!$B$6:$J$250,3,FALSE)</f>
        <v>23-Madhya Pradesh</v>
      </c>
      <c r="G36" s="199" t="str">
        <f>VLOOKUP(A36,'PUR-PARTY MASTER'!$B$6:$J$250,4,FALSE)</f>
        <v>N</v>
      </c>
      <c r="H36" s="199" t="str">
        <f>VLOOKUP(A36,'PUR-PARTY MASTER'!$B$6:$J$250,5,FALSE)</f>
        <v>Regular</v>
      </c>
      <c r="I36" s="199">
        <f>VLOOKUP(A36,'PUR-PARTY MASTER'!$B$6:$J$250,6,FALSE)</f>
        <v>0</v>
      </c>
      <c r="J36" s="201">
        <v>28</v>
      </c>
      <c r="K36" s="400">
        <v>12272.1</v>
      </c>
      <c r="L36" s="202">
        <f t="shared" si="6"/>
        <v>3436.1880000000001</v>
      </c>
      <c r="M36" s="202">
        <f t="shared" si="7"/>
        <v>0</v>
      </c>
      <c r="N36" s="202">
        <f t="shared" si="8"/>
        <v>0</v>
      </c>
      <c r="O36" s="8">
        <v>0</v>
      </c>
      <c r="P36" s="341" t="s">
        <v>177</v>
      </c>
      <c r="Q36" s="329">
        <f t="shared" si="9"/>
        <v>3436.1880000000001</v>
      </c>
      <c r="R36" s="329">
        <f t="shared" si="10"/>
        <v>0</v>
      </c>
      <c r="S36" s="329">
        <f t="shared" si="11"/>
        <v>0</v>
      </c>
      <c r="T36" s="8">
        <f t="shared" si="12"/>
        <v>0</v>
      </c>
      <c r="U36" s="199">
        <f>VLOOKUP(A36,'PUR-PARTY MASTER'!$B$6:$J$250,7,FALSE)</f>
        <v>2</v>
      </c>
      <c r="V36" s="199" t="str">
        <f>VLOOKUP(A36,'PUR-PARTY MASTER'!$B$6:$J$250,8,FALSE)</f>
        <v>Oms Pur</v>
      </c>
      <c r="W36" s="199" t="s">
        <v>903</v>
      </c>
      <c r="X36" s="404">
        <v>87081090</v>
      </c>
      <c r="Y36" s="201" t="str">
        <f>VLOOKUP(X36,'PUR-HSN MASTER'!$A$6:$D$247,2,FALSE)</f>
        <v>Parts &amp; Accessories Of Motor Vehicles Other</v>
      </c>
      <c r="Z36" s="201" t="str">
        <f>VLOOKUP(X36,'PUR-HSN MASTER'!$A$6:$D$247,3,FALSE)</f>
        <v>NOS-NUMBERS</v>
      </c>
      <c r="AA36" s="334" t="str">
        <f>VLOOKUP(X36,'PUR-HSN MASTER'!$A$6:$D$247,4,FALSE)</f>
        <v>Goods</v>
      </c>
      <c r="AB36" s="401">
        <v>20</v>
      </c>
    </row>
    <row r="37" spans="1:28" ht="14.4" x14ac:dyDescent="0.3">
      <c r="A37" s="429" t="s">
        <v>27</v>
      </c>
      <c r="B37" s="199" t="str">
        <f>VLOOKUP(A37,'PUR-PARTY MASTER'!$B$6:$J$250,2,FALSE)</f>
        <v>Rinder India Pvt Ltd.</v>
      </c>
      <c r="C37" s="403">
        <v>2701821606</v>
      </c>
      <c r="D37" s="398">
        <v>43134</v>
      </c>
      <c r="E37" s="329">
        <f t="shared" si="5"/>
        <v>46982.880000000005</v>
      </c>
      <c r="F37" s="199" t="str">
        <f>VLOOKUP(A37,'PUR-PARTY MASTER'!$B$6:$J$250,3,FALSE)</f>
        <v>27-Maharashatra</v>
      </c>
      <c r="G37" s="199" t="str">
        <f>VLOOKUP(A37,'PUR-PARTY MASTER'!$B$6:$J$250,4,FALSE)</f>
        <v>N</v>
      </c>
      <c r="H37" s="199" t="str">
        <f>VLOOKUP(A37,'PUR-PARTY MASTER'!$B$6:$J$250,5,FALSE)</f>
        <v>Regular</v>
      </c>
      <c r="I37" s="199">
        <f>VLOOKUP(A37,'PUR-PARTY MASTER'!$B$6:$J$250,6,FALSE)</f>
        <v>0</v>
      </c>
      <c r="J37" s="201">
        <v>18</v>
      </c>
      <c r="K37" s="400">
        <v>39816</v>
      </c>
      <c r="L37" s="202">
        <f t="shared" si="6"/>
        <v>0</v>
      </c>
      <c r="M37" s="202">
        <f t="shared" si="7"/>
        <v>3583.44</v>
      </c>
      <c r="N37" s="202">
        <f t="shared" si="8"/>
        <v>3583.44</v>
      </c>
      <c r="O37" s="8">
        <v>0</v>
      </c>
      <c r="P37" s="341" t="s">
        <v>177</v>
      </c>
      <c r="Q37" s="329">
        <f t="shared" si="9"/>
        <v>0</v>
      </c>
      <c r="R37" s="329">
        <f t="shared" si="10"/>
        <v>3583.44</v>
      </c>
      <c r="S37" s="329">
        <f t="shared" si="11"/>
        <v>3583.44</v>
      </c>
      <c r="T37" s="8">
        <f t="shared" si="12"/>
        <v>0</v>
      </c>
      <c r="U37" s="199">
        <f>VLOOKUP(A37,'PUR-PARTY MASTER'!$B$6:$J$250,7,FALSE)</f>
        <v>2</v>
      </c>
      <c r="V37" s="199" t="str">
        <f>VLOOKUP(A37,'PUR-PARTY MASTER'!$B$6:$J$250,8,FALSE)</f>
        <v>Local Pur</v>
      </c>
      <c r="W37" s="199" t="s">
        <v>894</v>
      </c>
      <c r="X37" s="404">
        <v>85129000</v>
      </c>
      <c r="Y37" s="201" t="str">
        <f>VLOOKUP(X37,'PUR-HSN MASTER'!$A$6:$D$247,2,FALSE)</f>
        <v>Lighting &amp; Fitting</v>
      </c>
      <c r="Z37" s="201" t="str">
        <f>VLOOKUP(X37,'PUR-HSN MASTER'!$A$6:$D$247,3,FALSE)</f>
        <v>NOS-NUMBERS</v>
      </c>
      <c r="AA37" s="334" t="str">
        <f>VLOOKUP(X37,'PUR-HSN MASTER'!$A$6:$D$247,4,FALSE)</f>
        <v>Goods</v>
      </c>
      <c r="AB37" s="401">
        <v>3600</v>
      </c>
    </row>
    <row r="38" spans="1:28" ht="14.4" x14ac:dyDescent="0.3">
      <c r="A38" s="429" t="s">
        <v>335</v>
      </c>
      <c r="B38" s="199" t="str">
        <f>VLOOKUP(A38,'PUR-PARTY MASTER'!$B$6:$J$250,2,FALSE)</f>
        <v>Atharva Polymers Pvt Ltd,</v>
      </c>
      <c r="C38" s="403" t="s">
        <v>1359</v>
      </c>
      <c r="D38" s="398">
        <v>43134</v>
      </c>
      <c r="E38" s="329">
        <f t="shared" si="5"/>
        <v>49572.224000000002</v>
      </c>
      <c r="F38" s="199" t="str">
        <f>VLOOKUP(A38,'PUR-PARTY MASTER'!$B$6:$J$250,3,FALSE)</f>
        <v>27-Maharashatra</v>
      </c>
      <c r="G38" s="199" t="str">
        <f>VLOOKUP(A38,'PUR-PARTY MASTER'!$B$6:$J$250,4,FALSE)</f>
        <v>N</v>
      </c>
      <c r="H38" s="199" t="str">
        <f>VLOOKUP(A38,'PUR-PARTY MASTER'!$B$6:$J$250,5,FALSE)</f>
        <v>Regular</v>
      </c>
      <c r="I38" s="199">
        <f>VLOOKUP(A38,'PUR-PARTY MASTER'!$B$6:$J$250,6,FALSE)</f>
        <v>0</v>
      </c>
      <c r="J38" s="201">
        <v>28</v>
      </c>
      <c r="K38" s="400">
        <f>38633.5+94.8</f>
        <v>38728.300000000003</v>
      </c>
      <c r="L38" s="202">
        <f t="shared" si="6"/>
        <v>0</v>
      </c>
      <c r="M38" s="202">
        <f t="shared" si="7"/>
        <v>5421.9620000000014</v>
      </c>
      <c r="N38" s="202">
        <f t="shared" si="8"/>
        <v>5421.9620000000014</v>
      </c>
      <c r="O38" s="8">
        <v>0</v>
      </c>
      <c r="P38" s="341" t="s">
        <v>177</v>
      </c>
      <c r="Q38" s="329">
        <f t="shared" si="9"/>
        <v>0</v>
      </c>
      <c r="R38" s="329">
        <f t="shared" si="10"/>
        <v>5421.9620000000014</v>
      </c>
      <c r="S38" s="329">
        <f t="shared" si="11"/>
        <v>5421.9620000000014</v>
      </c>
      <c r="T38" s="8">
        <f t="shared" si="12"/>
        <v>0</v>
      </c>
      <c r="U38" s="199">
        <f>VLOOKUP(A38,'PUR-PARTY MASTER'!$B$6:$J$250,7,FALSE)</f>
        <v>2</v>
      </c>
      <c r="V38" s="199" t="str">
        <f>VLOOKUP(A38,'PUR-PARTY MASTER'!$B$6:$J$250,8,FALSE)</f>
        <v>Local Pur</v>
      </c>
      <c r="W38" s="199" t="s">
        <v>897</v>
      </c>
      <c r="X38" s="404">
        <v>87141900</v>
      </c>
      <c r="Y38" s="201" t="str">
        <f>VLOOKUP(X38,'PUR-HSN MASTER'!$A$6:$D$247,2,FALSE)</f>
        <v>Parts &amp; Accessories Of Motor Vehicles Other</v>
      </c>
      <c r="Z38" s="201" t="str">
        <f>VLOOKUP(X38,'PUR-HSN MASTER'!$A$6:$D$247,3,FALSE)</f>
        <v>KLR-KILOLITRE</v>
      </c>
      <c r="AA38" s="334" t="str">
        <f>VLOOKUP(X38,'PUR-HSN MASTER'!$A$6:$D$247,4,FALSE)</f>
        <v>Goods</v>
      </c>
      <c r="AB38" s="401">
        <v>910</v>
      </c>
    </row>
    <row r="39" spans="1:28" ht="14.4" x14ac:dyDescent="0.3">
      <c r="A39" s="429" t="s">
        <v>335</v>
      </c>
      <c r="B39" s="199" t="str">
        <f>VLOOKUP(A39,'PUR-PARTY MASTER'!$B$6:$J$250,2,FALSE)</f>
        <v>Atharva Polymers Pvt Ltd,</v>
      </c>
      <c r="C39" s="403" t="s">
        <v>1360</v>
      </c>
      <c r="D39" s="398">
        <v>43134</v>
      </c>
      <c r="E39" s="329">
        <f t="shared" si="5"/>
        <v>39791.743999999999</v>
      </c>
      <c r="F39" s="199" t="str">
        <f>VLOOKUP(A39,'PUR-PARTY MASTER'!$B$6:$J$250,3,FALSE)</f>
        <v>27-Maharashatra</v>
      </c>
      <c r="G39" s="199" t="str">
        <f>VLOOKUP(A39,'PUR-PARTY MASTER'!$B$6:$J$250,4,FALSE)</f>
        <v>N</v>
      </c>
      <c r="H39" s="199" t="str">
        <f>VLOOKUP(A39,'PUR-PARTY MASTER'!$B$6:$J$250,5,FALSE)</f>
        <v>Regular</v>
      </c>
      <c r="I39" s="199">
        <f>VLOOKUP(A39,'PUR-PARTY MASTER'!$B$6:$J$250,6,FALSE)</f>
        <v>0</v>
      </c>
      <c r="J39" s="201">
        <v>28</v>
      </c>
      <c r="K39" s="400">
        <f>31010.5+76.8</f>
        <v>31087.3</v>
      </c>
      <c r="L39" s="202">
        <f t="shared" si="6"/>
        <v>0</v>
      </c>
      <c r="M39" s="202">
        <f t="shared" si="7"/>
        <v>4352.2220000000007</v>
      </c>
      <c r="N39" s="202">
        <f t="shared" si="8"/>
        <v>4352.2220000000007</v>
      </c>
      <c r="O39" s="8">
        <v>0</v>
      </c>
      <c r="P39" s="341" t="s">
        <v>177</v>
      </c>
      <c r="Q39" s="329">
        <f t="shared" si="9"/>
        <v>0</v>
      </c>
      <c r="R39" s="329">
        <f t="shared" si="10"/>
        <v>4352.2220000000007</v>
      </c>
      <c r="S39" s="329">
        <f t="shared" si="11"/>
        <v>4352.2220000000007</v>
      </c>
      <c r="T39" s="8">
        <f t="shared" si="12"/>
        <v>0</v>
      </c>
      <c r="U39" s="199">
        <f>VLOOKUP(A39,'PUR-PARTY MASTER'!$B$6:$J$250,7,FALSE)</f>
        <v>2</v>
      </c>
      <c r="V39" s="199" t="str">
        <f>VLOOKUP(A39,'PUR-PARTY MASTER'!$B$6:$J$250,8,FALSE)</f>
        <v>Local Pur</v>
      </c>
      <c r="W39" s="199" t="s">
        <v>897</v>
      </c>
      <c r="X39" s="404">
        <v>87141900</v>
      </c>
      <c r="Y39" s="201" t="str">
        <f>VLOOKUP(X39,'PUR-HSN MASTER'!$A$6:$D$247,2,FALSE)</f>
        <v>Parts &amp; Accessories Of Motor Vehicles Other</v>
      </c>
      <c r="Z39" s="201" t="str">
        <f>VLOOKUP(X39,'PUR-HSN MASTER'!$A$6:$D$247,3,FALSE)</f>
        <v>KLR-KILOLITRE</v>
      </c>
      <c r="AA39" s="334" t="str">
        <f>VLOOKUP(X39,'PUR-HSN MASTER'!$A$6:$D$247,4,FALSE)</f>
        <v>Goods</v>
      </c>
      <c r="AB39" s="401">
        <v>730</v>
      </c>
    </row>
    <row r="40" spans="1:28" ht="14.4" x14ac:dyDescent="0.3">
      <c r="A40" s="429" t="s">
        <v>345</v>
      </c>
      <c r="B40" s="199" t="str">
        <f>VLOOKUP(A40,'PUR-PARTY MASTER'!$B$6:$J$250,2,FALSE)</f>
        <v>Premier Sales Corporation</v>
      </c>
      <c r="C40" s="403" t="s">
        <v>1361</v>
      </c>
      <c r="D40" s="398">
        <v>43133</v>
      </c>
      <c r="E40" s="329">
        <f t="shared" si="5"/>
        <v>12757.5</v>
      </c>
      <c r="F40" s="199" t="str">
        <f>VLOOKUP(A40,'PUR-PARTY MASTER'!$B$6:$J$250,3,FALSE)</f>
        <v>27-Maharashatra</v>
      </c>
      <c r="G40" s="199" t="str">
        <f>VLOOKUP(A40,'PUR-PARTY MASTER'!$B$6:$J$250,4,FALSE)</f>
        <v>N</v>
      </c>
      <c r="H40" s="199" t="str">
        <f>VLOOKUP(A40,'PUR-PARTY MASTER'!$B$6:$J$250,5,FALSE)</f>
        <v>Regular</v>
      </c>
      <c r="I40" s="199">
        <f>VLOOKUP(A40,'PUR-PARTY MASTER'!$B$6:$J$250,6,FALSE)</f>
        <v>0</v>
      </c>
      <c r="J40" s="201">
        <v>5</v>
      </c>
      <c r="K40" s="400">
        <v>12150</v>
      </c>
      <c r="L40" s="202">
        <f t="shared" si="6"/>
        <v>0</v>
      </c>
      <c r="M40" s="202">
        <f t="shared" si="7"/>
        <v>303.75</v>
      </c>
      <c r="N40" s="202">
        <f t="shared" si="8"/>
        <v>303.75</v>
      </c>
      <c r="O40" s="8">
        <v>0</v>
      </c>
      <c r="P40" s="341" t="s">
        <v>177</v>
      </c>
      <c r="Q40" s="329">
        <f t="shared" si="9"/>
        <v>0</v>
      </c>
      <c r="R40" s="329">
        <f t="shared" si="10"/>
        <v>303.75</v>
      </c>
      <c r="S40" s="329">
        <f t="shared" si="11"/>
        <v>303.75</v>
      </c>
      <c r="T40" s="8">
        <f t="shared" si="12"/>
        <v>0</v>
      </c>
      <c r="U40" s="199">
        <f>VLOOKUP(A40,'PUR-PARTY MASTER'!$B$6:$J$250,7,FALSE)</f>
        <v>2</v>
      </c>
      <c r="V40" s="199" t="str">
        <f>VLOOKUP(A40,'PUR-PARTY MASTER'!$B$6:$J$250,8,FALSE)</f>
        <v>Local Pur</v>
      </c>
      <c r="W40" s="199" t="s">
        <v>898</v>
      </c>
      <c r="X40" s="404">
        <v>5407</v>
      </c>
      <c r="Y40" s="201" t="str">
        <f>VLOOKUP(X40,'PUR-HSN MASTER'!$A$6:$D$247,2,FALSE)</f>
        <v>Cloth Filter</v>
      </c>
      <c r="Z40" s="201" t="str">
        <f>VLOOKUP(X40,'PUR-HSN MASTER'!$A$6:$D$247,3,FALSE)</f>
        <v>MTR-METERS</v>
      </c>
      <c r="AA40" s="334" t="str">
        <f>VLOOKUP(X40,'PUR-HSN MASTER'!$A$6:$D$247,4,FALSE)</f>
        <v>Goods</v>
      </c>
      <c r="AB40" s="401">
        <v>45</v>
      </c>
    </row>
    <row r="41" spans="1:28" ht="14.4" x14ac:dyDescent="0.3">
      <c r="A41" s="429" t="s">
        <v>379</v>
      </c>
      <c r="B41" s="199" t="str">
        <f>VLOOKUP(A41,'PUR-PARTY MASTER'!$B$6:$J$250,2,FALSE)</f>
        <v>Allwell Products</v>
      </c>
      <c r="C41" s="403" t="s">
        <v>1362</v>
      </c>
      <c r="D41" s="398">
        <v>43135</v>
      </c>
      <c r="E41" s="329">
        <f t="shared" si="5"/>
        <v>234702</v>
      </c>
      <c r="F41" s="199" t="str">
        <f>VLOOKUP(A41,'PUR-PARTY MASTER'!$B$6:$J$250,3,FALSE)</f>
        <v>27-Maharashatra</v>
      </c>
      <c r="G41" s="199" t="str">
        <f>VLOOKUP(A41,'PUR-PARTY MASTER'!$B$6:$J$250,4,FALSE)</f>
        <v>N</v>
      </c>
      <c r="H41" s="199" t="str">
        <f>VLOOKUP(A41,'PUR-PARTY MASTER'!$B$6:$J$250,5,FALSE)</f>
        <v>Regular</v>
      </c>
      <c r="I41" s="199">
        <f>VLOOKUP(A41,'PUR-PARTY MASTER'!$B$6:$J$250,6,FALSE)</f>
        <v>0</v>
      </c>
      <c r="J41" s="201">
        <v>18</v>
      </c>
      <c r="K41" s="400">
        <v>198900</v>
      </c>
      <c r="L41" s="202">
        <f t="shared" si="6"/>
        <v>0</v>
      </c>
      <c r="M41" s="202">
        <f t="shared" si="7"/>
        <v>17901</v>
      </c>
      <c r="N41" s="202">
        <f t="shared" si="8"/>
        <v>17901</v>
      </c>
      <c r="O41" s="8">
        <v>0</v>
      </c>
      <c r="P41" s="341" t="s">
        <v>177</v>
      </c>
      <c r="Q41" s="329">
        <f t="shared" si="9"/>
        <v>0</v>
      </c>
      <c r="R41" s="329">
        <f t="shared" si="10"/>
        <v>17901</v>
      </c>
      <c r="S41" s="329">
        <f t="shared" si="11"/>
        <v>17901</v>
      </c>
      <c r="T41" s="8">
        <f t="shared" si="12"/>
        <v>0</v>
      </c>
      <c r="U41" s="199">
        <f>VLOOKUP(A41,'PUR-PARTY MASTER'!$B$6:$J$250,7,FALSE)</f>
        <v>2</v>
      </c>
      <c r="V41" s="199" t="str">
        <f>VLOOKUP(A41,'PUR-PARTY MASTER'!$B$6:$J$250,8,FALSE)</f>
        <v>Local Pur</v>
      </c>
      <c r="W41" s="199" t="s">
        <v>894</v>
      </c>
      <c r="X41" s="404">
        <v>8466300</v>
      </c>
      <c r="Y41" s="201" t="str">
        <f>VLOOKUP(X41,'PUR-HSN MASTER'!$A$6:$D$247,2,FALSE)</f>
        <v>Allwell Skid</v>
      </c>
      <c r="Z41" s="201" t="str">
        <f>VLOOKUP(X41,'PUR-HSN MASTER'!$A$6:$D$247,3,FALSE)</f>
        <v>NOS-NUMBERS</v>
      </c>
      <c r="AA41" s="334" t="str">
        <f>VLOOKUP(X41,'PUR-HSN MASTER'!$A$6:$D$247,4,FALSE)</f>
        <v>Goods</v>
      </c>
      <c r="AB41" s="401">
        <v>51</v>
      </c>
    </row>
    <row r="42" spans="1:28" ht="14.4" x14ac:dyDescent="0.3">
      <c r="A42" s="429" t="s">
        <v>866</v>
      </c>
      <c r="B42" s="199" t="str">
        <f>VLOOKUP(A42,'PUR-PARTY MASTER'!$B$6:$J$250,2,FALSE)</f>
        <v>Origa Lease Finance Pvt Ltd</v>
      </c>
      <c r="C42" s="403" t="s">
        <v>1363</v>
      </c>
      <c r="D42" s="398">
        <v>43132</v>
      </c>
      <c r="E42" s="329">
        <f t="shared" si="5"/>
        <v>482489.59999999998</v>
      </c>
      <c r="F42" s="199" t="str">
        <f>VLOOKUP(A42,'PUR-PARTY MASTER'!$B$6:$J$250,3,FALSE)</f>
        <v>27-Maharashatra</v>
      </c>
      <c r="G42" s="199" t="str">
        <f>VLOOKUP(A42,'PUR-PARTY MASTER'!$B$6:$J$250,4,FALSE)</f>
        <v>N</v>
      </c>
      <c r="H42" s="199" t="str">
        <f>VLOOKUP(A42,'PUR-PARTY MASTER'!$B$6:$J$250,5,FALSE)</f>
        <v>Regular</v>
      </c>
      <c r="I42" s="199">
        <f>VLOOKUP(A42,'PUR-PARTY MASTER'!$B$6:$J$250,6,FALSE)</f>
        <v>0</v>
      </c>
      <c r="J42" s="201">
        <v>28</v>
      </c>
      <c r="K42" s="400">
        <v>376945</v>
      </c>
      <c r="L42" s="202">
        <f t="shared" si="6"/>
        <v>0</v>
      </c>
      <c r="M42" s="202">
        <f t="shared" si="7"/>
        <v>52772.3</v>
      </c>
      <c r="N42" s="202">
        <f t="shared" si="8"/>
        <v>52772.3</v>
      </c>
      <c r="O42" s="8">
        <v>0</v>
      </c>
      <c r="P42" s="341" t="s">
        <v>177</v>
      </c>
      <c r="Q42" s="329">
        <f t="shared" si="9"/>
        <v>0</v>
      </c>
      <c r="R42" s="329">
        <f t="shared" si="10"/>
        <v>52772.3</v>
      </c>
      <c r="S42" s="329">
        <f t="shared" si="11"/>
        <v>52772.3</v>
      </c>
      <c r="T42" s="8">
        <f t="shared" si="12"/>
        <v>0</v>
      </c>
      <c r="U42" s="199">
        <f>VLOOKUP(A42,'PUR-PARTY MASTER'!$B$6:$J$250,7,FALSE)</f>
        <v>2</v>
      </c>
      <c r="V42" s="199" t="str">
        <f>VLOOKUP(A42,'PUR-PARTY MASTER'!$B$6:$J$250,8,FALSE)</f>
        <v>Local Pur</v>
      </c>
      <c r="W42" s="199" t="s">
        <v>897</v>
      </c>
      <c r="X42" s="404">
        <v>441480</v>
      </c>
      <c r="Y42" s="201" t="str">
        <f>VLOOKUP(X42,'PUR-HSN MASTER'!$A$6:$D$247,2,FALSE)</f>
        <v>Lease Rental Machinery</v>
      </c>
      <c r="Z42" s="201" t="str">
        <f>VLOOKUP(X42,'PUR-HSN MASTER'!$A$6:$D$247,3,FALSE)</f>
        <v>NOS-NUMBERS</v>
      </c>
      <c r="AA42" s="334" t="str">
        <f>VLOOKUP(X42,'PUR-HSN MASTER'!$A$6:$D$247,4,FALSE)</f>
        <v>Goods</v>
      </c>
      <c r="AB42" s="401">
        <v>1</v>
      </c>
    </row>
    <row r="43" spans="1:28" ht="14.4" x14ac:dyDescent="0.3">
      <c r="A43" s="429" t="s">
        <v>23</v>
      </c>
      <c r="B43" s="199" t="str">
        <f>VLOOKUP(A43,'PUR-PARTY MASTER'!$B$6:$J$250,2,FALSE)</f>
        <v>Varroc Polymers Pvt Ltd,</v>
      </c>
      <c r="C43" s="403">
        <v>2041068082</v>
      </c>
      <c r="D43" s="398">
        <v>43136</v>
      </c>
      <c r="E43" s="329">
        <f t="shared" si="5"/>
        <v>13367.552</v>
      </c>
      <c r="F43" s="199" t="str">
        <f>VLOOKUP(A43,'PUR-PARTY MASTER'!$B$6:$J$250,3,FALSE)</f>
        <v>27-Maharashatra</v>
      </c>
      <c r="G43" s="199" t="str">
        <f>VLOOKUP(A43,'PUR-PARTY MASTER'!$B$6:$J$250,4,FALSE)</f>
        <v>N</v>
      </c>
      <c r="H43" s="199" t="str">
        <f>VLOOKUP(A43,'PUR-PARTY MASTER'!$B$6:$J$250,5,FALSE)</f>
        <v>Regular</v>
      </c>
      <c r="I43" s="199">
        <f>VLOOKUP(A43,'PUR-PARTY MASTER'!$B$6:$J$250,6,FALSE)</f>
        <v>0</v>
      </c>
      <c r="J43" s="201">
        <v>28</v>
      </c>
      <c r="K43" s="400">
        <v>10443.4</v>
      </c>
      <c r="L43" s="202">
        <f t="shared" si="6"/>
        <v>0</v>
      </c>
      <c r="M43" s="202">
        <f t="shared" si="7"/>
        <v>1462.076</v>
      </c>
      <c r="N43" s="202">
        <f t="shared" si="8"/>
        <v>1462.076</v>
      </c>
      <c r="O43" s="8">
        <v>0</v>
      </c>
      <c r="P43" s="341" t="s">
        <v>177</v>
      </c>
      <c r="Q43" s="329">
        <f t="shared" si="9"/>
        <v>0</v>
      </c>
      <c r="R43" s="329">
        <f t="shared" si="10"/>
        <v>1462.076</v>
      </c>
      <c r="S43" s="329">
        <f t="shared" si="11"/>
        <v>1462.076</v>
      </c>
      <c r="T43" s="8">
        <f t="shared" si="12"/>
        <v>0</v>
      </c>
      <c r="U43" s="199">
        <f>VLOOKUP(A43,'PUR-PARTY MASTER'!$B$6:$J$250,7,FALSE)</f>
        <v>2</v>
      </c>
      <c r="V43" s="199" t="str">
        <f>VLOOKUP(A43,'PUR-PARTY MASTER'!$B$6:$J$250,8,FALSE)</f>
        <v>Local Pur</v>
      </c>
      <c r="W43" s="199" t="s">
        <v>897</v>
      </c>
      <c r="X43" s="404">
        <v>87141090</v>
      </c>
      <c r="Y43" s="201" t="str">
        <f>VLOOKUP(X43,'PUR-HSN MASTER'!$A$6:$D$247,2,FALSE)</f>
        <v>Parts &amp; Accessories Of Motor Vehicles Other</v>
      </c>
      <c r="Z43" s="201" t="str">
        <f>VLOOKUP(X43,'PUR-HSN MASTER'!$A$6:$D$247,3,FALSE)</f>
        <v>NOS-NUMBERS</v>
      </c>
      <c r="AA43" s="334" t="str">
        <f>VLOOKUP(X43,'PUR-HSN MASTER'!$A$6:$D$247,4,FALSE)</f>
        <v>Goods</v>
      </c>
      <c r="AB43" s="401">
        <v>505</v>
      </c>
    </row>
    <row r="44" spans="1:28" ht="14.4" x14ac:dyDescent="0.3">
      <c r="A44" s="429" t="s">
        <v>23</v>
      </c>
      <c r="B44" s="199" t="str">
        <f>VLOOKUP(A44,'PUR-PARTY MASTER'!$B$6:$J$250,2,FALSE)</f>
        <v>Varroc Polymers Pvt Ltd,</v>
      </c>
      <c r="C44" s="403">
        <v>2041068083</v>
      </c>
      <c r="D44" s="398">
        <v>43136</v>
      </c>
      <c r="E44" s="329">
        <f t="shared" si="5"/>
        <v>13367.552</v>
      </c>
      <c r="F44" s="199" t="str">
        <f>VLOOKUP(A44,'PUR-PARTY MASTER'!$B$6:$J$250,3,FALSE)</f>
        <v>27-Maharashatra</v>
      </c>
      <c r="G44" s="199" t="str">
        <f>VLOOKUP(A44,'PUR-PARTY MASTER'!$B$6:$J$250,4,FALSE)</f>
        <v>N</v>
      </c>
      <c r="H44" s="199" t="str">
        <f>VLOOKUP(A44,'PUR-PARTY MASTER'!$B$6:$J$250,5,FALSE)</f>
        <v>Regular</v>
      </c>
      <c r="I44" s="199">
        <f>VLOOKUP(A44,'PUR-PARTY MASTER'!$B$6:$J$250,6,FALSE)</f>
        <v>0</v>
      </c>
      <c r="J44" s="201">
        <v>28</v>
      </c>
      <c r="K44" s="400">
        <v>10443.4</v>
      </c>
      <c r="L44" s="202">
        <f t="shared" si="6"/>
        <v>0</v>
      </c>
      <c r="M44" s="202">
        <f t="shared" si="7"/>
        <v>1462.076</v>
      </c>
      <c r="N44" s="202">
        <f t="shared" si="8"/>
        <v>1462.076</v>
      </c>
      <c r="O44" s="8">
        <v>0</v>
      </c>
      <c r="P44" s="341" t="s">
        <v>177</v>
      </c>
      <c r="Q44" s="329">
        <f t="shared" si="9"/>
        <v>0</v>
      </c>
      <c r="R44" s="329">
        <f t="shared" si="10"/>
        <v>1462.076</v>
      </c>
      <c r="S44" s="329">
        <f t="shared" si="11"/>
        <v>1462.076</v>
      </c>
      <c r="T44" s="8">
        <f t="shared" si="12"/>
        <v>0</v>
      </c>
      <c r="U44" s="199">
        <f>VLOOKUP(A44,'PUR-PARTY MASTER'!$B$6:$J$250,7,FALSE)</f>
        <v>2</v>
      </c>
      <c r="V44" s="199" t="str">
        <f>VLOOKUP(A44,'PUR-PARTY MASTER'!$B$6:$J$250,8,FALSE)</f>
        <v>Local Pur</v>
      </c>
      <c r="W44" s="199" t="s">
        <v>897</v>
      </c>
      <c r="X44" s="404">
        <v>87141090</v>
      </c>
      <c r="Y44" s="201" t="str">
        <f>VLOOKUP(X44,'PUR-HSN MASTER'!$A$6:$D$247,2,FALSE)</f>
        <v>Parts &amp; Accessories Of Motor Vehicles Other</v>
      </c>
      <c r="Z44" s="201" t="str">
        <f>VLOOKUP(X44,'PUR-HSN MASTER'!$A$6:$D$247,3,FALSE)</f>
        <v>NOS-NUMBERS</v>
      </c>
      <c r="AA44" s="334" t="str">
        <f>VLOOKUP(X44,'PUR-HSN MASTER'!$A$6:$D$247,4,FALSE)</f>
        <v>Goods</v>
      </c>
      <c r="AB44" s="401">
        <v>505</v>
      </c>
    </row>
    <row r="45" spans="1:28" ht="14.4" x14ac:dyDescent="0.3">
      <c r="A45" s="128" t="s">
        <v>383</v>
      </c>
      <c r="B45" s="199" t="str">
        <f>VLOOKUP(A45,'PUR-PARTY MASTER'!$B$6:$J$250,2,FALSE)</f>
        <v>Dhumal Motor Glass</v>
      </c>
      <c r="C45" s="403">
        <v>213</v>
      </c>
      <c r="D45" s="398">
        <v>43136</v>
      </c>
      <c r="E45" s="329">
        <f t="shared" si="5"/>
        <v>111392</v>
      </c>
      <c r="F45" s="199" t="str">
        <f>VLOOKUP(A45,'PUR-PARTY MASTER'!$B$6:$J$250,3,FALSE)</f>
        <v>27-Maharashatra</v>
      </c>
      <c r="G45" s="199" t="str">
        <f>VLOOKUP(A45,'PUR-PARTY MASTER'!$B$6:$J$250,4,FALSE)</f>
        <v>N</v>
      </c>
      <c r="H45" s="199" t="str">
        <f>VLOOKUP(A45,'PUR-PARTY MASTER'!$B$6:$J$250,5,FALSE)</f>
        <v>Regular</v>
      </c>
      <c r="I45" s="199">
        <f>VLOOKUP(A45,'PUR-PARTY MASTER'!$B$6:$J$250,6,FALSE)</f>
        <v>0</v>
      </c>
      <c r="J45" s="201">
        <v>18</v>
      </c>
      <c r="K45" s="400">
        <v>94400</v>
      </c>
      <c r="L45" s="202">
        <f t="shared" si="6"/>
        <v>0</v>
      </c>
      <c r="M45" s="202">
        <f t="shared" si="7"/>
        <v>8496</v>
      </c>
      <c r="N45" s="202">
        <f t="shared" si="8"/>
        <v>8496</v>
      </c>
      <c r="O45" s="8">
        <v>0</v>
      </c>
      <c r="P45" s="341" t="s">
        <v>177</v>
      </c>
      <c r="Q45" s="329">
        <f t="shared" si="9"/>
        <v>0</v>
      </c>
      <c r="R45" s="329">
        <f t="shared" si="10"/>
        <v>8496</v>
      </c>
      <c r="S45" s="329">
        <f t="shared" si="11"/>
        <v>8496</v>
      </c>
      <c r="T45" s="8">
        <f t="shared" si="12"/>
        <v>0</v>
      </c>
      <c r="U45" s="199">
        <f>VLOOKUP(A45,'PUR-PARTY MASTER'!$B$6:$J$250,7,FALSE)</f>
        <v>2</v>
      </c>
      <c r="V45" s="199" t="str">
        <f>VLOOKUP(A45,'PUR-PARTY MASTER'!$B$6:$J$250,8,FALSE)</f>
        <v>Local Pur</v>
      </c>
      <c r="W45" s="199" t="s">
        <v>894</v>
      </c>
      <c r="X45" s="404" t="s">
        <v>915</v>
      </c>
      <c r="Y45" s="201" t="str">
        <f>VLOOKUP(X45,'PUR-HSN MASTER'!$A$6:$D$247,2,FALSE)</f>
        <v>Lamineted glass</v>
      </c>
      <c r="Z45" s="201" t="str">
        <f>VLOOKUP(X45,'PUR-HSN MASTER'!$A$6:$D$247,3,FALSE)</f>
        <v>NOS-NUMBERS</v>
      </c>
      <c r="AA45" s="334" t="str">
        <f>VLOOKUP(X45,'PUR-HSN MASTER'!$A$6:$D$247,4,FALSE)</f>
        <v>Goods</v>
      </c>
      <c r="AB45" s="401">
        <v>59</v>
      </c>
    </row>
    <row r="46" spans="1:28" ht="14.4" x14ac:dyDescent="0.3">
      <c r="A46" s="128" t="s">
        <v>24</v>
      </c>
      <c r="B46" s="199" t="str">
        <f>VLOOKUP(A46,'PUR-PARTY MASTER'!$B$6:$J$250,2,FALSE)</f>
        <v>Tata Autocomp Systems LTD.(X1)</v>
      </c>
      <c r="C46" s="403" t="s">
        <v>1364</v>
      </c>
      <c r="D46" s="398">
        <v>43136</v>
      </c>
      <c r="E46" s="329">
        <f t="shared" si="5"/>
        <v>21467.340799999998</v>
      </c>
      <c r="F46" s="199" t="str">
        <f>VLOOKUP(A46,'PUR-PARTY MASTER'!$B$6:$J$250,3,FALSE)</f>
        <v>27-Maharashatra</v>
      </c>
      <c r="G46" s="199" t="str">
        <f>VLOOKUP(A46,'PUR-PARTY MASTER'!$B$6:$J$250,4,FALSE)</f>
        <v>N</v>
      </c>
      <c r="H46" s="199" t="str">
        <f>VLOOKUP(A46,'PUR-PARTY MASTER'!$B$6:$J$250,5,FALSE)</f>
        <v>Regular</v>
      </c>
      <c r="I46" s="199">
        <f>VLOOKUP(A46,'PUR-PARTY MASTER'!$B$6:$J$250,6,FALSE)</f>
        <v>0</v>
      </c>
      <c r="J46" s="201">
        <v>28</v>
      </c>
      <c r="K46" s="400">
        <f>10758.56+6012.8</f>
        <v>16771.36</v>
      </c>
      <c r="L46" s="202">
        <f t="shared" si="6"/>
        <v>0</v>
      </c>
      <c r="M46" s="202">
        <f t="shared" si="7"/>
        <v>2347.9904000000001</v>
      </c>
      <c r="N46" s="202">
        <f t="shared" si="8"/>
        <v>2347.9904000000001</v>
      </c>
      <c r="O46" s="8">
        <v>0</v>
      </c>
      <c r="P46" s="341" t="s">
        <v>177</v>
      </c>
      <c r="Q46" s="329">
        <f t="shared" si="9"/>
        <v>0</v>
      </c>
      <c r="R46" s="329">
        <f t="shared" si="10"/>
        <v>2347.9904000000001</v>
      </c>
      <c r="S46" s="329">
        <f t="shared" si="11"/>
        <v>2347.9904000000001</v>
      </c>
      <c r="T46" s="8">
        <f t="shared" si="12"/>
        <v>0</v>
      </c>
      <c r="U46" s="199">
        <f>VLOOKUP(A46,'PUR-PARTY MASTER'!$B$6:$J$250,7,FALSE)</f>
        <v>2</v>
      </c>
      <c r="V46" s="199" t="str">
        <f>VLOOKUP(A46,'PUR-PARTY MASTER'!$B$6:$J$250,8,FALSE)</f>
        <v>Local Pur</v>
      </c>
      <c r="W46" s="199" t="s">
        <v>897</v>
      </c>
      <c r="X46" s="404">
        <v>87089900</v>
      </c>
      <c r="Y46" s="201" t="str">
        <f>VLOOKUP(X46,'PUR-HSN MASTER'!$A$6:$D$247,2,FALSE)</f>
        <v>Parts &amp; Accessories Of Motor Vehicles Other</v>
      </c>
      <c r="Z46" s="201" t="str">
        <f>VLOOKUP(X46,'PUR-HSN MASTER'!$A$6:$D$247,3,FALSE)</f>
        <v>NOS-NUMBERS</v>
      </c>
      <c r="AA46" s="334" t="str">
        <f>VLOOKUP(X46,'PUR-HSN MASTER'!$A$6:$D$247,4,FALSE)</f>
        <v>Goods</v>
      </c>
      <c r="AB46" s="401">
        <v>116</v>
      </c>
    </row>
    <row r="47" spans="1:28" ht="14.4" x14ac:dyDescent="0.3">
      <c r="A47" s="128" t="s">
        <v>24</v>
      </c>
      <c r="B47" s="199" t="str">
        <f>VLOOKUP(A47,'PUR-PARTY MASTER'!$B$6:$J$250,2,FALSE)</f>
        <v>Tata Autocomp Systems LTD.(X1)</v>
      </c>
      <c r="C47" s="403" t="s">
        <v>1364</v>
      </c>
      <c r="D47" s="398">
        <v>43136</v>
      </c>
      <c r="E47" s="329">
        <f t="shared" si="5"/>
        <v>8003.5839999999998</v>
      </c>
      <c r="F47" s="199" t="str">
        <f>VLOOKUP(A47,'PUR-PARTY MASTER'!$B$6:$J$250,3,FALSE)</f>
        <v>27-Maharashatra</v>
      </c>
      <c r="G47" s="199" t="str">
        <f>VLOOKUP(A47,'PUR-PARTY MASTER'!$B$6:$J$250,4,FALSE)</f>
        <v>N</v>
      </c>
      <c r="H47" s="199" t="str">
        <f>VLOOKUP(A47,'PUR-PARTY MASTER'!$B$6:$J$250,5,FALSE)</f>
        <v>Regular</v>
      </c>
      <c r="I47" s="199">
        <f>VLOOKUP(A47,'PUR-PARTY MASTER'!$B$6:$J$250,6,FALSE)</f>
        <v>0</v>
      </c>
      <c r="J47" s="201">
        <v>28</v>
      </c>
      <c r="K47" s="400">
        <v>6252.8</v>
      </c>
      <c r="L47" s="202">
        <f t="shared" si="6"/>
        <v>0</v>
      </c>
      <c r="M47" s="202">
        <f t="shared" si="7"/>
        <v>875.39200000000005</v>
      </c>
      <c r="N47" s="202">
        <f t="shared" si="8"/>
        <v>875.39200000000005</v>
      </c>
      <c r="O47" s="8">
        <v>0</v>
      </c>
      <c r="P47" s="341" t="s">
        <v>177</v>
      </c>
      <c r="Q47" s="329">
        <f t="shared" si="9"/>
        <v>0</v>
      </c>
      <c r="R47" s="329">
        <f t="shared" si="10"/>
        <v>875.39200000000005</v>
      </c>
      <c r="S47" s="329">
        <f t="shared" si="11"/>
        <v>875.39200000000005</v>
      </c>
      <c r="T47" s="8">
        <f t="shared" si="12"/>
        <v>0</v>
      </c>
      <c r="U47" s="199">
        <f>VLOOKUP(A47,'PUR-PARTY MASTER'!$B$6:$J$250,7,FALSE)</f>
        <v>2</v>
      </c>
      <c r="V47" s="199" t="str">
        <f>VLOOKUP(A47,'PUR-PARTY MASTER'!$B$6:$J$250,8,FALSE)</f>
        <v>Local Pur</v>
      </c>
      <c r="W47" s="199" t="s">
        <v>897</v>
      </c>
      <c r="X47" s="404">
        <v>87082900</v>
      </c>
      <c r="Y47" s="201" t="str">
        <f>VLOOKUP(X47,'PUR-HSN MASTER'!$A$6:$D$247,2,FALSE)</f>
        <v>Parts &amp; Accessories Of Motor Vehicles Other</v>
      </c>
      <c r="Z47" s="201" t="str">
        <f>VLOOKUP(X47,'PUR-HSN MASTER'!$A$6:$D$247,3,FALSE)</f>
        <v>NOS-NUMBERS</v>
      </c>
      <c r="AA47" s="334" t="str">
        <f>VLOOKUP(X47,'PUR-HSN MASTER'!$A$6:$D$247,4,FALSE)</f>
        <v>Goods</v>
      </c>
      <c r="AB47" s="401">
        <v>40</v>
      </c>
    </row>
    <row r="48" spans="1:28" ht="14.4" x14ac:dyDescent="0.3">
      <c r="A48" s="128" t="s">
        <v>374</v>
      </c>
      <c r="B48" s="199" t="str">
        <f>VLOOKUP(A48,'PUR-PARTY MASTER'!$B$6:$J$250,2,FALSE)</f>
        <v>Galva Decoparts Pvt.Ltd</v>
      </c>
      <c r="C48" s="402">
        <v>2510</v>
      </c>
      <c r="D48" s="398">
        <v>43136</v>
      </c>
      <c r="E48" s="329">
        <f t="shared" si="5"/>
        <v>45425.664000000004</v>
      </c>
      <c r="F48" s="199" t="str">
        <f>VLOOKUP(A48,'PUR-PARTY MASTER'!$B$6:$J$250,3,FALSE)</f>
        <v>27-Maharashatra</v>
      </c>
      <c r="G48" s="199" t="str">
        <f>VLOOKUP(A48,'PUR-PARTY MASTER'!$B$6:$J$250,4,FALSE)</f>
        <v>N</v>
      </c>
      <c r="H48" s="199" t="str">
        <f>VLOOKUP(A48,'PUR-PARTY MASTER'!$B$6:$J$250,5,FALSE)</f>
        <v>Regular</v>
      </c>
      <c r="I48" s="199">
        <f>VLOOKUP(A48,'PUR-PARTY MASTER'!$B$6:$J$250,6,FALSE)</f>
        <v>0</v>
      </c>
      <c r="J48" s="201">
        <v>28</v>
      </c>
      <c r="K48" s="400">
        <v>35488.800000000003</v>
      </c>
      <c r="L48" s="202">
        <f t="shared" si="6"/>
        <v>0</v>
      </c>
      <c r="M48" s="202">
        <f t="shared" si="7"/>
        <v>4968.4320000000007</v>
      </c>
      <c r="N48" s="202">
        <f t="shared" si="8"/>
        <v>4968.4320000000007</v>
      </c>
      <c r="O48" s="8">
        <v>0</v>
      </c>
      <c r="P48" s="341" t="s">
        <v>177</v>
      </c>
      <c r="Q48" s="329">
        <f t="shared" si="9"/>
        <v>0</v>
      </c>
      <c r="R48" s="329">
        <f t="shared" si="10"/>
        <v>4968.4320000000007</v>
      </c>
      <c r="S48" s="329">
        <f t="shared" si="11"/>
        <v>4968.4320000000007</v>
      </c>
      <c r="T48" s="8">
        <f t="shared" si="12"/>
        <v>0</v>
      </c>
      <c r="U48" s="199">
        <f>VLOOKUP(A48,'PUR-PARTY MASTER'!$B$6:$J$250,7,FALSE)</f>
        <v>2</v>
      </c>
      <c r="V48" s="199" t="str">
        <f>VLOOKUP(A48,'PUR-PARTY MASTER'!$B$6:$J$250,8,FALSE)</f>
        <v>Local Pur</v>
      </c>
      <c r="W48" s="199" t="s">
        <v>897</v>
      </c>
      <c r="X48" s="404">
        <v>87089900</v>
      </c>
      <c r="Y48" s="201" t="str">
        <f>VLOOKUP(X48,'PUR-HSN MASTER'!$A$6:$D$247,2,FALSE)</f>
        <v>Parts &amp; Accessories Of Motor Vehicles Other</v>
      </c>
      <c r="Z48" s="201" t="str">
        <f>VLOOKUP(X48,'PUR-HSN MASTER'!$A$6:$D$247,3,FALSE)</f>
        <v>NOS-NUMBERS</v>
      </c>
      <c r="AA48" s="334" t="str">
        <f>VLOOKUP(X48,'PUR-HSN MASTER'!$A$6:$D$247,4,FALSE)</f>
        <v>Goods</v>
      </c>
      <c r="AB48" s="401">
        <v>1590</v>
      </c>
    </row>
    <row r="49" spans="1:28" ht="14.4" x14ac:dyDescent="0.3">
      <c r="A49" s="128" t="s">
        <v>335</v>
      </c>
      <c r="B49" s="199" t="str">
        <f>VLOOKUP(A49,'PUR-PARTY MASTER'!$B$6:$J$250,2,FALSE)</f>
        <v>Atharva Polymers Pvt Ltd,</v>
      </c>
      <c r="C49" s="403" t="s">
        <v>1365</v>
      </c>
      <c r="D49" s="398">
        <v>43136</v>
      </c>
      <c r="E49" s="329">
        <f t="shared" si="5"/>
        <v>58049.216</v>
      </c>
      <c r="F49" s="199" t="str">
        <f>VLOOKUP(A49,'PUR-PARTY MASTER'!$B$6:$J$250,3,FALSE)</f>
        <v>27-Maharashatra</v>
      </c>
      <c r="G49" s="199" t="str">
        <f>VLOOKUP(A49,'PUR-PARTY MASTER'!$B$6:$J$250,4,FALSE)</f>
        <v>N</v>
      </c>
      <c r="H49" s="199" t="str">
        <f>VLOOKUP(A49,'PUR-PARTY MASTER'!$B$6:$J$250,5,FALSE)</f>
        <v>Regular</v>
      </c>
      <c r="I49" s="199">
        <f>VLOOKUP(A49,'PUR-PARTY MASTER'!$B$6:$J$250,6,FALSE)</f>
        <v>0</v>
      </c>
      <c r="J49" s="201">
        <v>28</v>
      </c>
      <c r="K49" s="400">
        <f>45239+111.95</f>
        <v>45350.95</v>
      </c>
      <c r="L49" s="202">
        <f t="shared" si="6"/>
        <v>0</v>
      </c>
      <c r="M49" s="202">
        <f t="shared" si="7"/>
        <v>6349.1329999999998</v>
      </c>
      <c r="N49" s="202">
        <f t="shared" si="8"/>
        <v>6349.1329999999998</v>
      </c>
      <c r="O49" s="8">
        <v>0</v>
      </c>
      <c r="P49" s="341" t="s">
        <v>177</v>
      </c>
      <c r="Q49" s="329">
        <f t="shared" si="9"/>
        <v>0</v>
      </c>
      <c r="R49" s="329">
        <f t="shared" si="10"/>
        <v>6349.1329999999998</v>
      </c>
      <c r="S49" s="329">
        <f t="shared" si="11"/>
        <v>6349.1329999999998</v>
      </c>
      <c r="T49" s="8">
        <f t="shared" si="12"/>
        <v>0</v>
      </c>
      <c r="U49" s="199">
        <f>VLOOKUP(A49,'PUR-PARTY MASTER'!$B$6:$J$250,7,FALSE)</f>
        <v>2</v>
      </c>
      <c r="V49" s="199" t="str">
        <f>VLOOKUP(A49,'PUR-PARTY MASTER'!$B$6:$J$250,8,FALSE)</f>
        <v>Local Pur</v>
      </c>
      <c r="W49" s="199" t="s">
        <v>897</v>
      </c>
      <c r="X49" s="404">
        <v>87141900</v>
      </c>
      <c r="Y49" s="201" t="str">
        <f>VLOOKUP(X49,'PUR-HSN MASTER'!$A$6:$D$247,2,FALSE)</f>
        <v>Parts &amp; Accessories Of Motor Vehicles Other</v>
      </c>
      <c r="Z49" s="201" t="str">
        <f>VLOOKUP(X49,'PUR-HSN MASTER'!$A$6:$D$247,3,FALSE)</f>
        <v>KLR-KILOLITRE</v>
      </c>
      <c r="AA49" s="334" t="str">
        <f>VLOOKUP(X49,'PUR-HSN MASTER'!$A$6:$D$247,4,FALSE)</f>
        <v>Goods</v>
      </c>
      <c r="AB49" s="401">
        <v>1065</v>
      </c>
    </row>
    <row r="50" spans="1:28" ht="14.4" x14ac:dyDescent="0.3">
      <c r="A50" s="431" t="s">
        <v>862</v>
      </c>
      <c r="B50" s="199" t="str">
        <f>VLOOKUP(A50,'PUR-PARTY MASTER'!$B$6:$J$250,2,FALSE)</f>
        <v xml:space="preserve">Varroc Engineering Ltd </v>
      </c>
      <c r="C50" s="403">
        <v>2239997750</v>
      </c>
      <c r="D50" s="398">
        <v>43136</v>
      </c>
      <c r="E50" s="329">
        <f t="shared" si="5"/>
        <v>8273.6640000000007</v>
      </c>
      <c r="F50" s="199" t="str">
        <f>VLOOKUP(A50,'PUR-PARTY MASTER'!$B$6:$J$250,3,FALSE)</f>
        <v>27-Maharashatra</v>
      </c>
      <c r="G50" s="199" t="str">
        <f>VLOOKUP(A50,'PUR-PARTY MASTER'!$B$6:$J$250,4,FALSE)</f>
        <v>N</v>
      </c>
      <c r="H50" s="199" t="str">
        <f>VLOOKUP(A50,'PUR-PARTY MASTER'!$B$6:$J$250,5,FALSE)</f>
        <v>Regular</v>
      </c>
      <c r="I50" s="199">
        <f>VLOOKUP(A50,'PUR-PARTY MASTER'!$B$6:$J$250,6,FALSE)</f>
        <v>0</v>
      </c>
      <c r="J50" s="201">
        <v>28</v>
      </c>
      <c r="K50" s="400">
        <v>6463.8</v>
      </c>
      <c r="L50" s="202">
        <f t="shared" si="6"/>
        <v>0</v>
      </c>
      <c r="M50" s="202">
        <f t="shared" si="7"/>
        <v>904.93200000000013</v>
      </c>
      <c r="N50" s="202">
        <f t="shared" si="8"/>
        <v>904.93200000000013</v>
      </c>
      <c r="O50" s="8">
        <v>0</v>
      </c>
      <c r="P50" s="341" t="s">
        <v>177</v>
      </c>
      <c r="Q50" s="329">
        <f t="shared" si="9"/>
        <v>0</v>
      </c>
      <c r="R50" s="329">
        <f t="shared" si="10"/>
        <v>904.93200000000013</v>
      </c>
      <c r="S50" s="329">
        <f t="shared" si="11"/>
        <v>904.93200000000013</v>
      </c>
      <c r="T50" s="8">
        <f t="shared" si="12"/>
        <v>0</v>
      </c>
      <c r="U50" s="199">
        <f>VLOOKUP(A50,'PUR-PARTY MASTER'!$B$6:$J$250,7,FALSE)</f>
        <v>2</v>
      </c>
      <c r="V50" s="199" t="str">
        <f>VLOOKUP(A50,'PUR-PARTY MASTER'!$B$6:$J$250,8,FALSE)</f>
        <v>Local Pur</v>
      </c>
      <c r="W50" s="199" t="s">
        <v>897</v>
      </c>
      <c r="X50" s="404">
        <v>87142090</v>
      </c>
      <c r="Y50" s="201" t="str">
        <f>VLOOKUP(X50,'PUR-HSN MASTER'!$A$6:$D$247,2,FALSE)</f>
        <v>Parts &amp; Accessories Of Motor Vehicles Other</v>
      </c>
      <c r="Z50" s="201" t="str">
        <f>VLOOKUP(X50,'PUR-HSN MASTER'!$A$6:$D$247,3,FALSE)</f>
        <v>NOS-NUMBERS</v>
      </c>
      <c r="AA50" s="334" t="str">
        <f>VLOOKUP(X50,'PUR-HSN MASTER'!$A$6:$D$247,4,FALSE)</f>
        <v>Goods</v>
      </c>
      <c r="AB50" s="401">
        <v>756</v>
      </c>
    </row>
    <row r="51" spans="1:28" ht="14.4" x14ac:dyDescent="0.3">
      <c r="A51" s="431" t="s">
        <v>862</v>
      </c>
      <c r="B51" s="199" t="str">
        <f>VLOOKUP(A51,'PUR-PARTY MASTER'!$B$6:$J$250,2,FALSE)</f>
        <v xml:space="preserve">Varroc Engineering Ltd </v>
      </c>
      <c r="C51" s="403">
        <v>2239997751</v>
      </c>
      <c r="D51" s="398">
        <v>43136</v>
      </c>
      <c r="E51" s="329">
        <f t="shared" si="5"/>
        <v>22571.520000000004</v>
      </c>
      <c r="F51" s="199" t="str">
        <f>VLOOKUP(A51,'PUR-PARTY MASTER'!$B$6:$J$250,3,FALSE)</f>
        <v>27-Maharashatra</v>
      </c>
      <c r="G51" s="199" t="str">
        <f>VLOOKUP(A51,'PUR-PARTY MASTER'!$B$6:$J$250,4,FALSE)</f>
        <v>N</v>
      </c>
      <c r="H51" s="199" t="str">
        <f>VLOOKUP(A51,'PUR-PARTY MASTER'!$B$6:$J$250,5,FALSE)</f>
        <v>Regular</v>
      </c>
      <c r="I51" s="199">
        <f>VLOOKUP(A51,'PUR-PARTY MASTER'!$B$6:$J$250,6,FALSE)</f>
        <v>0</v>
      </c>
      <c r="J51" s="201">
        <v>28</v>
      </c>
      <c r="K51" s="400">
        <v>17634</v>
      </c>
      <c r="L51" s="202">
        <f t="shared" si="6"/>
        <v>0</v>
      </c>
      <c r="M51" s="202">
        <f t="shared" si="7"/>
        <v>2468.7600000000002</v>
      </c>
      <c r="N51" s="202">
        <f t="shared" si="8"/>
        <v>2468.7600000000002</v>
      </c>
      <c r="O51" s="8">
        <v>0</v>
      </c>
      <c r="P51" s="341" t="s">
        <v>177</v>
      </c>
      <c r="Q51" s="329">
        <f t="shared" si="9"/>
        <v>0</v>
      </c>
      <c r="R51" s="329">
        <f t="shared" si="10"/>
        <v>2468.7600000000002</v>
      </c>
      <c r="S51" s="329">
        <f t="shared" si="11"/>
        <v>2468.7600000000002</v>
      </c>
      <c r="T51" s="8">
        <f t="shared" si="12"/>
        <v>0</v>
      </c>
      <c r="U51" s="199">
        <f>VLOOKUP(A51,'PUR-PARTY MASTER'!$B$6:$J$250,7,FALSE)</f>
        <v>2</v>
      </c>
      <c r="V51" s="199" t="str">
        <f>VLOOKUP(A51,'PUR-PARTY MASTER'!$B$6:$J$250,8,FALSE)</f>
        <v>Local Pur</v>
      </c>
      <c r="W51" s="199" t="s">
        <v>897</v>
      </c>
      <c r="X51" s="404">
        <v>87142090</v>
      </c>
      <c r="Y51" s="201" t="str">
        <f>VLOOKUP(X51,'PUR-HSN MASTER'!$A$6:$D$247,2,FALSE)</f>
        <v>Parts &amp; Accessories Of Motor Vehicles Other</v>
      </c>
      <c r="Z51" s="201" t="str">
        <f>VLOOKUP(X51,'PUR-HSN MASTER'!$A$6:$D$247,3,FALSE)</f>
        <v>NOS-NUMBERS</v>
      </c>
      <c r="AA51" s="334" t="str">
        <f>VLOOKUP(X51,'PUR-HSN MASTER'!$A$6:$D$247,4,FALSE)</f>
        <v>Goods</v>
      </c>
      <c r="AB51" s="401">
        <v>600</v>
      </c>
    </row>
    <row r="52" spans="1:28" ht="14.4" x14ac:dyDescent="0.3">
      <c r="A52" s="128" t="s">
        <v>357</v>
      </c>
      <c r="B52" s="199" t="str">
        <f>VLOOKUP(A52,'PUR-PARTY MASTER'!$B$6:$J$250,2,FALSE)</f>
        <v>Shubham Biz Facility Management (p) Ltd,</v>
      </c>
      <c r="C52" s="403" t="s">
        <v>1366</v>
      </c>
      <c r="D52" s="398">
        <v>43132</v>
      </c>
      <c r="E52" s="329">
        <f t="shared" si="5"/>
        <v>27140</v>
      </c>
      <c r="F52" s="199" t="str">
        <f>VLOOKUP(A52,'PUR-PARTY MASTER'!$B$6:$J$250,3,FALSE)</f>
        <v>27-Maharashatra</v>
      </c>
      <c r="G52" s="199" t="str">
        <f>VLOOKUP(A52,'PUR-PARTY MASTER'!$B$6:$J$250,4,FALSE)</f>
        <v>N</v>
      </c>
      <c r="H52" s="199" t="str">
        <f>VLOOKUP(A52,'PUR-PARTY MASTER'!$B$6:$J$250,5,FALSE)</f>
        <v>Regular</v>
      </c>
      <c r="I52" s="199">
        <f>VLOOKUP(A52,'PUR-PARTY MASTER'!$B$6:$J$250,6,FALSE)</f>
        <v>0</v>
      </c>
      <c r="J52" s="201">
        <v>18</v>
      </c>
      <c r="K52" s="400">
        <v>23000</v>
      </c>
      <c r="L52" s="202">
        <f t="shared" si="6"/>
        <v>0</v>
      </c>
      <c r="M52" s="202">
        <f t="shared" si="7"/>
        <v>2070</v>
      </c>
      <c r="N52" s="202">
        <f t="shared" si="8"/>
        <v>2070</v>
      </c>
      <c r="O52" s="8">
        <v>0</v>
      </c>
      <c r="P52" s="341" t="s">
        <v>177</v>
      </c>
      <c r="Q52" s="329">
        <f t="shared" si="9"/>
        <v>0</v>
      </c>
      <c r="R52" s="329">
        <f t="shared" si="10"/>
        <v>2070</v>
      </c>
      <c r="S52" s="329">
        <f t="shared" si="11"/>
        <v>2070</v>
      </c>
      <c r="T52" s="8">
        <f t="shared" si="12"/>
        <v>0</v>
      </c>
      <c r="U52" s="199">
        <f>VLOOKUP(A52,'PUR-PARTY MASTER'!$B$6:$J$250,7,FALSE)</f>
        <v>2</v>
      </c>
      <c r="V52" s="199" t="str">
        <f>VLOOKUP(A52,'PUR-PARTY MASTER'!$B$6:$J$250,8,FALSE)</f>
        <v>Local Pur</v>
      </c>
      <c r="W52" s="199" t="s">
        <v>894</v>
      </c>
      <c r="X52" s="404">
        <v>998519</v>
      </c>
      <c r="Y52" s="201" t="str">
        <f>VLOOKUP(X52,'PUR-HSN MASTER'!$A$6:$D$247,2,FALSE)</f>
        <v>Manpower Recuritment Agency Se</v>
      </c>
      <c r="Z52" s="201" t="str">
        <f>VLOOKUP(X52,'PUR-HSN MASTER'!$A$6:$D$247,3,FALSE)</f>
        <v>NOS-NUMBERS</v>
      </c>
      <c r="AA52" s="334" t="str">
        <f>VLOOKUP(X52,'PUR-HSN MASTER'!$A$6:$D$247,4,FALSE)</f>
        <v>Services</v>
      </c>
      <c r="AB52" s="401">
        <v>1</v>
      </c>
    </row>
    <row r="53" spans="1:28" ht="14.4" x14ac:dyDescent="0.3">
      <c r="A53" s="128" t="s">
        <v>357</v>
      </c>
      <c r="B53" s="199" t="str">
        <f>VLOOKUP(A53,'PUR-PARTY MASTER'!$B$6:$J$250,2,FALSE)</f>
        <v>Shubham Biz Facility Management (p) Ltd,</v>
      </c>
      <c r="C53" s="403" t="s">
        <v>1367</v>
      </c>
      <c r="D53" s="398">
        <v>43132</v>
      </c>
      <c r="E53" s="329">
        <f t="shared" si="5"/>
        <v>1128347.8599999999</v>
      </c>
      <c r="F53" s="199" t="str">
        <f>VLOOKUP(A53,'PUR-PARTY MASTER'!$B$6:$J$250,3,FALSE)</f>
        <v>27-Maharashatra</v>
      </c>
      <c r="G53" s="199" t="str">
        <f>VLOOKUP(A53,'PUR-PARTY MASTER'!$B$6:$J$250,4,FALSE)</f>
        <v>N</v>
      </c>
      <c r="H53" s="199" t="str">
        <f>VLOOKUP(A53,'PUR-PARTY MASTER'!$B$6:$J$250,5,FALSE)</f>
        <v>Regular</v>
      </c>
      <c r="I53" s="199">
        <f>VLOOKUP(A53,'PUR-PARTY MASTER'!$B$6:$J$250,6,FALSE)</f>
        <v>0</v>
      </c>
      <c r="J53" s="201">
        <v>18</v>
      </c>
      <c r="K53" s="400">
        <v>956227</v>
      </c>
      <c r="L53" s="202">
        <f t="shared" si="6"/>
        <v>0</v>
      </c>
      <c r="M53" s="202">
        <f t="shared" si="7"/>
        <v>86060.43</v>
      </c>
      <c r="N53" s="202">
        <f t="shared" si="8"/>
        <v>86060.43</v>
      </c>
      <c r="O53" s="8">
        <v>0</v>
      </c>
      <c r="P53" s="341" t="s">
        <v>177</v>
      </c>
      <c r="Q53" s="329">
        <f t="shared" si="9"/>
        <v>0</v>
      </c>
      <c r="R53" s="329">
        <f t="shared" si="10"/>
        <v>86060.43</v>
      </c>
      <c r="S53" s="329">
        <f t="shared" si="11"/>
        <v>86060.43</v>
      </c>
      <c r="T53" s="8">
        <f t="shared" si="12"/>
        <v>0</v>
      </c>
      <c r="U53" s="199">
        <f>VLOOKUP(A53,'PUR-PARTY MASTER'!$B$6:$J$250,7,FALSE)</f>
        <v>2</v>
      </c>
      <c r="V53" s="199" t="str">
        <f>VLOOKUP(A53,'PUR-PARTY MASTER'!$B$6:$J$250,8,FALSE)</f>
        <v>Local Pur</v>
      </c>
      <c r="W53" s="199" t="s">
        <v>894</v>
      </c>
      <c r="X53" s="404">
        <v>998519</v>
      </c>
      <c r="Y53" s="201" t="str">
        <f>VLOOKUP(X53,'PUR-HSN MASTER'!$A$6:$D$247,2,FALSE)</f>
        <v>Manpower Recuritment Agency Se</v>
      </c>
      <c r="Z53" s="201" t="str">
        <f>VLOOKUP(X53,'PUR-HSN MASTER'!$A$6:$D$247,3,FALSE)</f>
        <v>NOS-NUMBERS</v>
      </c>
      <c r="AA53" s="334" t="str">
        <f>VLOOKUP(X53,'PUR-HSN MASTER'!$A$6:$D$247,4,FALSE)</f>
        <v>Services</v>
      </c>
      <c r="AB53" s="401">
        <v>1</v>
      </c>
    </row>
    <row r="54" spans="1:28" ht="14.4" x14ac:dyDescent="0.3">
      <c r="A54" s="128" t="s">
        <v>377</v>
      </c>
      <c r="B54" s="199" t="str">
        <f>VLOOKUP(A54,'PUR-PARTY MASTER'!$B$6:$J$250,2,FALSE)</f>
        <v>Akzo Noble India Limited</v>
      </c>
      <c r="C54" s="403" t="s">
        <v>1368</v>
      </c>
      <c r="D54" s="398">
        <v>43136</v>
      </c>
      <c r="E54" s="329">
        <f t="shared" si="5"/>
        <v>48649.511999999995</v>
      </c>
      <c r="F54" s="199" t="str">
        <f>VLOOKUP(A54,'PUR-PARTY MASTER'!$B$6:$J$250,3,FALSE)</f>
        <v>27-Maharashatra</v>
      </c>
      <c r="G54" s="199" t="str">
        <f>VLOOKUP(A54,'PUR-PARTY MASTER'!$B$6:$J$250,4,FALSE)</f>
        <v>N</v>
      </c>
      <c r="H54" s="199" t="str">
        <f>VLOOKUP(A54,'PUR-PARTY MASTER'!$B$6:$J$250,5,FALSE)</f>
        <v>Regular</v>
      </c>
      <c r="I54" s="199">
        <f>VLOOKUP(A54,'PUR-PARTY MASTER'!$B$6:$J$250,6,FALSE)</f>
        <v>0</v>
      </c>
      <c r="J54" s="201">
        <v>18</v>
      </c>
      <c r="K54" s="400">
        <v>41228.400000000001</v>
      </c>
      <c r="L54" s="202">
        <f t="shared" si="6"/>
        <v>0</v>
      </c>
      <c r="M54" s="202">
        <f t="shared" si="7"/>
        <v>3710.556</v>
      </c>
      <c r="N54" s="202">
        <f t="shared" si="8"/>
        <v>3710.556</v>
      </c>
      <c r="O54" s="8">
        <v>0</v>
      </c>
      <c r="P54" s="341" t="s">
        <v>177</v>
      </c>
      <c r="Q54" s="329">
        <f t="shared" si="9"/>
        <v>0</v>
      </c>
      <c r="R54" s="329">
        <f t="shared" si="10"/>
        <v>3710.556</v>
      </c>
      <c r="S54" s="329">
        <f t="shared" si="11"/>
        <v>3710.556</v>
      </c>
      <c r="T54" s="8">
        <f t="shared" si="12"/>
        <v>0</v>
      </c>
      <c r="U54" s="199">
        <f>VLOOKUP(A54,'PUR-PARTY MASTER'!$B$6:$J$250,7,FALSE)</f>
        <v>2</v>
      </c>
      <c r="V54" s="199" t="str">
        <f>VLOOKUP(A54,'PUR-PARTY MASTER'!$B$6:$J$250,8,FALSE)</f>
        <v>Local Pur</v>
      </c>
      <c r="W54" s="199" t="s">
        <v>894</v>
      </c>
      <c r="X54" s="404" t="s">
        <v>549</v>
      </c>
      <c r="Y54" s="201" t="str">
        <f>VLOOKUP(X54,'PUR-HSN MASTER'!$A$6:$D$247,2,FALSE)</f>
        <v>Misc Chemical Products Thinner</v>
      </c>
      <c r="Z54" s="201" t="str">
        <f>VLOOKUP(X54,'PUR-HSN MASTER'!$A$6:$D$247,3,FALSE)</f>
        <v>KLR-KILOLITRE</v>
      </c>
      <c r="AA54" s="334" t="str">
        <f>VLOOKUP(X54,'PUR-HSN MASTER'!$A$6:$D$247,4,FALSE)</f>
        <v>Goods</v>
      </c>
      <c r="AB54" s="401">
        <v>242.52</v>
      </c>
    </row>
    <row r="55" spans="1:28" ht="14.4" x14ac:dyDescent="0.3">
      <c r="A55" s="128" t="s">
        <v>377</v>
      </c>
      <c r="B55" s="199" t="str">
        <f>VLOOKUP(A55,'PUR-PARTY MASTER'!$B$6:$J$250,2,FALSE)</f>
        <v>Akzo Noble India Limited</v>
      </c>
      <c r="C55" s="403" t="s">
        <v>1368</v>
      </c>
      <c r="D55" s="398">
        <v>43136</v>
      </c>
      <c r="E55" s="329">
        <f t="shared" si="5"/>
        <v>36915.119999999995</v>
      </c>
      <c r="F55" s="199" t="str">
        <f>VLOOKUP(A55,'PUR-PARTY MASTER'!$B$6:$J$250,3,FALSE)</f>
        <v>27-Maharashatra</v>
      </c>
      <c r="G55" s="199" t="str">
        <f>VLOOKUP(A55,'PUR-PARTY MASTER'!$B$6:$J$250,4,FALSE)</f>
        <v>N</v>
      </c>
      <c r="H55" s="199" t="str">
        <f>VLOOKUP(A55,'PUR-PARTY MASTER'!$B$6:$J$250,5,FALSE)</f>
        <v>Regular</v>
      </c>
      <c r="I55" s="199">
        <f>VLOOKUP(A55,'PUR-PARTY MASTER'!$B$6:$J$250,6,FALSE)</f>
        <v>0</v>
      </c>
      <c r="J55" s="201">
        <v>18</v>
      </c>
      <c r="K55" s="400">
        <v>31284</v>
      </c>
      <c r="L55" s="202">
        <f t="shared" si="6"/>
        <v>0</v>
      </c>
      <c r="M55" s="202">
        <f t="shared" si="7"/>
        <v>2815.56</v>
      </c>
      <c r="N55" s="202">
        <f t="shared" si="8"/>
        <v>2815.56</v>
      </c>
      <c r="O55" s="8">
        <v>0</v>
      </c>
      <c r="P55" s="341" t="s">
        <v>177</v>
      </c>
      <c r="Q55" s="329">
        <f t="shared" si="9"/>
        <v>0</v>
      </c>
      <c r="R55" s="329">
        <f t="shared" si="10"/>
        <v>2815.56</v>
      </c>
      <c r="S55" s="329">
        <f t="shared" si="11"/>
        <v>2815.56</v>
      </c>
      <c r="T55" s="8">
        <f t="shared" si="12"/>
        <v>0</v>
      </c>
      <c r="U55" s="199">
        <f>VLOOKUP(A55,'PUR-PARTY MASTER'!$B$6:$J$250,7,FALSE)</f>
        <v>2</v>
      </c>
      <c r="V55" s="199" t="str">
        <f>VLOOKUP(A55,'PUR-PARTY MASTER'!$B$6:$J$250,8,FALSE)</f>
        <v>Local Pur</v>
      </c>
      <c r="W55" s="199" t="s">
        <v>894</v>
      </c>
      <c r="X55" s="404">
        <v>3824</v>
      </c>
      <c r="Y55" s="201" t="str">
        <f>VLOOKUP(X55,'PUR-HSN MASTER'!$A$6:$D$247,2,FALSE)</f>
        <v>chemical products and </v>
      </c>
      <c r="Z55" s="201" t="str">
        <f>VLOOKUP(X55,'PUR-HSN MASTER'!$A$6:$D$247,3,FALSE)</f>
        <v>NOS-NUMBERS</v>
      </c>
      <c r="AA55" s="334" t="str">
        <f>VLOOKUP(X55,'PUR-HSN MASTER'!$A$6:$D$247,4,FALSE)</f>
        <v>Goods</v>
      </c>
      <c r="AB55" s="401">
        <v>44</v>
      </c>
    </row>
    <row r="56" spans="1:28" ht="14.4" x14ac:dyDescent="0.3">
      <c r="A56" s="128" t="s">
        <v>363</v>
      </c>
      <c r="B56" s="199" t="str">
        <f>VLOOKUP(A56,'PUR-PARTY MASTER'!$B$6:$J$250,2,FALSE)</f>
        <v>Mrf Corp Limited</v>
      </c>
      <c r="C56" s="403">
        <v>9330001126</v>
      </c>
      <c r="D56" s="398">
        <v>43137</v>
      </c>
      <c r="E56" s="329">
        <f t="shared" si="5"/>
        <v>3719.6800000000003</v>
      </c>
      <c r="F56" s="199" t="str">
        <f>VLOOKUP(A56,'PUR-PARTY MASTER'!$B$6:$J$250,3,FALSE)</f>
        <v>27-Maharashatra</v>
      </c>
      <c r="G56" s="199" t="str">
        <f>VLOOKUP(A56,'PUR-PARTY MASTER'!$B$6:$J$250,4,FALSE)</f>
        <v>N</v>
      </c>
      <c r="H56" s="199" t="str">
        <f>VLOOKUP(A56,'PUR-PARTY MASTER'!$B$6:$J$250,5,FALSE)</f>
        <v>Regular</v>
      </c>
      <c r="I56" s="199">
        <f>VLOOKUP(A56,'PUR-PARTY MASTER'!$B$6:$J$250,6,FALSE)</f>
        <v>0</v>
      </c>
      <c r="J56" s="201">
        <v>28</v>
      </c>
      <c r="K56" s="400">
        <v>2906</v>
      </c>
      <c r="L56" s="202">
        <f t="shared" si="6"/>
        <v>0</v>
      </c>
      <c r="M56" s="202">
        <f t="shared" si="7"/>
        <v>406.84000000000003</v>
      </c>
      <c r="N56" s="202">
        <f t="shared" si="8"/>
        <v>406.84000000000003</v>
      </c>
      <c r="O56" s="8">
        <v>0</v>
      </c>
      <c r="P56" s="341" t="s">
        <v>177</v>
      </c>
      <c r="Q56" s="329">
        <f t="shared" si="9"/>
        <v>0</v>
      </c>
      <c r="R56" s="329">
        <f t="shared" si="10"/>
        <v>406.84000000000003</v>
      </c>
      <c r="S56" s="329">
        <f t="shared" si="11"/>
        <v>406.84000000000003</v>
      </c>
      <c r="T56" s="8">
        <f t="shared" si="12"/>
        <v>0</v>
      </c>
      <c r="U56" s="199">
        <f>VLOOKUP(A56,'PUR-PARTY MASTER'!$B$6:$J$250,7,FALSE)</f>
        <v>2</v>
      </c>
      <c r="V56" s="199" t="str">
        <f>VLOOKUP(A56,'PUR-PARTY MASTER'!$B$6:$J$250,8,FALSE)</f>
        <v>Local Pur</v>
      </c>
      <c r="W56" s="199" t="s">
        <v>897</v>
      </c>
      <c r="X56" s="404">
        <v>32082090</v>
      </c>
      <c r="Y56" s="201" t="str">
        <f>VLOOKUP(X56,'PUR-HSN MASTER'!$A$6:$D$247,2,FALSE)</f>
        <v>Others ( Paint &amp; Varnishes)</v>
      </c>
      <c r="Z56" s="201" t="str">
        <f>VLOOKUP(X56,'PUR-HSN MASTER'!$A$6:$D$247,3,FALSE)</f>
        <v>KLR-KILOLITRE</v>
      </c>
      <c r="AA56" s="334" t="str">
        <f>VLOOKUP(X56,'PUR-HSN MASTER'!$A$6:$D$247,4,FALSE)</f>
        <v>Goods</v>
      </c>
      <c r="AB56" s="401">
        <v>20</v>
      </c>
    </row>
    <row r="57" spans="1:28" ht="14.4" x14ac:dyDescent="0.3">
      <c r="A57" s="128" t="s">
        <v>358</v>
      </c>
      <c r="B57" s="199" t="str">
        <f>VLOOKUP(A57,'PUR-PARTY MASTER'!$B$6:$J$250,2,FALSE)</f>
        <v>Vnet Corporation</v>
      </c>
      <c r="C57" s="403" t="s">
        <v>1369</v>
      </c>
      <c r="D57" s="398">
        <v>43132</v>
      </c>
      <c r="E57" s="329">
        <f t="shared" si="5"/>
        <v>4130</v>
      </c>
      <c r="F57" s="199" t="str">
        <f>VLOOKUP(A57,'PUR-PARTY MASTER'!$B$6:$J$250,3,FALSE)</f>
        <v>27-Maharashatra</v>
      </c>
      <c r="G57" s="199" t="str">
        <f>VLOOKUP(A57,'PUR-PARTY MASTER'!$B$6:$J$250,4,FALSE)</f>
        <v>N</v>
      </c>
      <c r="H57" s="199" t="str">
        <f>VLOOKUP(A57,'PUR-PARTY MASTER'!$B$6:$J$250,5,FALSE)</f>
        <v>Regular</v>
      </c>
      <c r="I57" s="199">
        <f>VLOOKUP(A57,'PUR-PARTY MASTER'!$B$6:$J$250,6,FALSE)</f>
        <v>0</v>
      </c>
      <c r="J57" s="201">
        <v>18</v>
      </c>
      <c r="K57" s="400">
        <v>3500</v>
      </c>
      <c r="L57" s="202">
        <f t="shared" si="6"/>
        <v>0</v>
      </c>
      <c r="M57" s="202">
        <f t="shared" si="7"/>
        <v>315</v>
      </c>
      <c r="N57" s="202">
        <f t="shared" si="8"/>
        <v>315</v>
      </c>
      <c r="O57" s="8">
        <v>0</v>
      </c>
      <c r="P57" s="341" t="s">
        <v>177</v>
      </c>
      <c r="Q57" s="329">
        <f t="shared" si="9"/>
        <v>0</v>
      </c>
      <c r="R57" s="329">
        <f t="shared" si="10"/>
        <v>315</v>
      </c>
      <c r="S57" s="329">
        <f t="shared" si="11"/>
        <v>315</v>
      </c>
      <c r="T57" s="8">
        <f t="shared" si="12"/>
        <v>0</v>
      </c>
      <c r="U57" s="199">
        <f>VLOOKUP(A57,'PUR-PARTY MASTER'!$B$6:$J$250,7,FALSE)</f>
        <v>2</v>
      </c>
      <c r="V57" s="199" t="str">
        <f>VLOOKUP(A57,'PUR-PARTY MASTER'!$B$6:$J$250,8,FALSE)</f>
        <v>Local Pur</v>
      </c>
      <c r="W57" s="199" t="s">
        <v>894</v>
      </c>
      <c r="X57" s="404" t="s">
        <v>514</v>
      </c>
      <c r="Y57" s="201" t="str">
        <f>VLOOKUP(X57,'PUR-HSN MASTER'!$A$6:$D$247,2,FALSE)</f>
        <v>Internet Charges</v>
      </c>
      <c r="Z57" s="201" t="str">
        <f>VLOOKUP(X57,'PUR-HSN MASTER'!$A$6:$D$247,3,FALSE)</f>
        <v>NOS-NUMBERS</v>
      </c>
      <c r="AA57" s="334" t="str">
        <f>VLOOKUP(X57,'PUR-HSN MASTER'!$A$6:$D$247,4,FALSE)</f>
        <v>Services</v>
      </c>
      <c r="AB57" s="401">
        <v>1</v>
      </c>
    </row>
    <row r="58" spans="1:28" ht="14.4" x14ac:dyDescent="0.3">
      <c r="A58" s="128" t="s">
        <v>335</v>
      </c>
      <c r="B58" s="199" t="str">
        <f>VLOOKUP(A58,'PUR-PARTY MASTER'!$B$6:$J$250,2,FALSE)</f>
        <v>Atharva Polymers Pvt Ltd,</v>
      </c>
      <c r="C58" s="403" t="s">
        <v>1370</v>
      </c>
      <c r="D58" s="398">
        <v>43137</v>
      </c>
      <c r="E58" s="329">
        <f t="shared" si="5"/>
        <v>69763.072</v>
      </c>
      <c r="F58" s="199" t="str">
        <f>VLOOKUP(A58,'PUR-PARTY MASTER'!$B$6:$J$250,3,FALSE)</f>
        <v>27-Maharashatra</v>
      </c>
      <c r="G58" s="199" t="str">
        <f>VLOOKUP(A58,'PUR-PARTY MASTER'!$B$6:$J$250,4,FALSE)</f>
        <v>N</v>
      </c>
      <c r="H58" s="199" t="str">
        <f>VLOOKUP(A58,'PUR-PARTY MASTER'!$B$6:$J$250,5,FALSE)</f>
        <v>Regular</v>
      </c>
      <c r="I58" s="199">
        <f>VLOOKUP(A58,'PUR-PARTY MASTER'!$B$6:$J$250,6,FALSE)</f>
        <v>0</v>
      </c>
      <c r="J58" s="201">
        <v>28</v>
      </c>
      <c r="K58" s="400">
        <f>54368+134.4</f>
        <v>54502.400000000001</v>
      </c>
      <c r="L58" s="202">
        <f t="shared" si="6"/>
        <v>0</v>
      </c>
      <c r="M58" s="202">
        <f t="shared" si="7"/>
        <v>7630.3360000000011</v>
      </c>
      <c r="N58" s="202">
        <f t="shared" si="8"/>
        <v>7630.3360000000011</v>
      </c>
      <c r="O58" s="8">
        <v>0</v>
      </c>
      <c r="P58" s="341" t="s">
        <v>177</v>
      </c>
      <c r="Q58" s="329">
        <f t="shared" si="9"/>
        <v>0</v>
      </c>
      <c r="R58" s="329">
        <f t="shared" si="10"/>
        <v>7630.3360000000011</v>
      </c>
      <c r="S58" s="329">
        <f t="shared" si="11"/>
        <v>7630.3360000000011</v>
      </c>
      <c r="T58" s="8">
        <f t="shared" si="12"/>
        <v>0</v>
      </c>
      <c r="U58" s="199">
        <f>VLOOKUP(A58,'PUR-PARTY MASTER'!$B$6:$J$250,7,FALSE)</f>
        <v>2</v>
      </c>
      <c r="V58" s="199" t="str">
        <f>VLOOKUP(A58,'PUR-PARTY MASTER'!$B$6:$J$250,8,FALSE)</f>
        <v>Local Pur</v>
      </c>
      <c r="W58" s="199" t="s">
        <v>897</v>
      </c>
      <c r="X58" s="404">
        <v>87141900</v>
      </c>
      <c r="Y58" s="201" t="str">
        <f>VLOOKUP(X58,'PUR-HSN MASTER'!$A$6:$D$247,2,FALSE)</f>
        <v>Parts &amp; Accessories Of Motor Vehicles Other</v>
      </c>
      <c r="Z58" s="201" t="str">
        <f>VLOOKUP(X58,'PUR-HSN MASTER'!$A$6:$D$247,3,FALSE)</f>
        <v>KLR-KILOLITRE</v>
      </c>
      <c r="AA58" s="334" t="str">
        <f>VLOOKUP(X58,'PUR-HSN MASTER'!$A$6:$D$247,4,FALSE)</f>
        <v>Goods</v>
      </c>
      <c r="AB58" s="401">
        <v>1280</v>
      </c>
    </row>
    <row r="59" spans="1:28" ht="14.4" x14ac:dyDescent="0.3">
      <c r="A59" s="128" t="s">
        <v>24</v>
      </c>
      <c r="B59" s="199" t="str">
        <f>VLOOKUP(A59,'PUR-PARTY MASTER'!$B$6:$J$250,2,FALSE)</f>
        <v>Tata Autocomp Systems LTD.(X1)</v>
      </c>
      <c r="C59" s="403" t="s">
        <v>1371</v>
      </c>
      <c r="D59" s="398">
        <v>43137</v>
      </c>
      <c r="E59" s="329">
        <f t="shared" si="5"/>
        <v>10004.48</v>
      </c>
      <c r="F59" s="199" t="str">
        <f>VLOOKUP(A59,'PUR-PARTY MASTER'!$B$6:$J$250,3,FALSE)</f>
        <v>27-Maharashatra</v>
      </c>
      <c r="G59" s="199" t="str">
        <f>VLOOKUP(A59,'PUR-PARTY MASTER'!$B$6:$J$250,4,FALSE)</f>
        <v>N</v>
      </c>
      <c r="H59" s="199" t="str">
        <f>VLOOKUP(A59,'PUR-PARTY MASTER'!$B$6:$J$250,5,FALSE)</f>
        <v>Regular</v>
      </c>
      <c r="I59" s="199">
        <f>VLOOKUP(A59,'PUR-PARTY MASTER'!$B$6:$J$250,6,FALSE)</f>
        <v>0</v>
      </c>
      <c r="J59" s="201">
        <v>28</v>
      </c>
      <c r="K59" s="400">
        <v>7816</v>
      </c>
      <c r="L59" s="202">
        <f t="shared" si="6"/>
        <v>0</v>
      </c>
      <c r="M59" s="202">
        <f t="shared" si="7"/>
        <v>1094.24</v>
      </c>
      <c r="N59" s="202">
        <f t="shared" si="8"/>
        <v>1094.24</v>
      </c>
      <c r="O59" s="8">
        <v>0</v>
      </c>
      <c r="P59" s="341" t="s">
        <v>177</v>
      </c>
      <c r="Q59" s="329">
        <f t="shared" si="9"/>
        <v>0</v>
      </c>
      <c r="R59" s="329">
        <f t="shared" si="10"/>
        <v>1094.24</v>
      </c>
      <c r="S59" s="329">
        <f t="shared" si="11"/>
        <v>1094.24</v>
      </c>
      <c r="T59" s="8">
        <f t="shared" si="12"/>
        <v>0</v>
      </c>
      <c r="U59" s="199">
        <f>VLOOKUP(A59,'PUR-PARTY MASTER'!$B$6:$J$250,7,FALSE)</f>
        <v>2</v>
      </c>
      <c r="V59" s="199" t="str">
        <f>VLOOKUP(A59,'PUR-PARTY MASTER'!$B$6:$J$250,8,FALSE)</f>
        <v>Local Pur</v>
      </c>
      <c r="W59" s="199" t="s">
        <v>897</v>
      </c>
      <c r="X59" s="404">
        <v>87082900</v>
      </c>
      <c r="Y59" s="201" t="str">
        <f>VLOOKUP(X59,'PUR-HSN MASTER'!$A$6:$D$247,2,FALSE)</f>
        <v>Parts &amp; Accessories Of Motor Vehicles Other</v>
      </c>
      <c r="Z59" s="201" t="str">
        <f>VLOOKUP(X59,'PUR-HSN MASTER'!$A$6:$D$247,3,FALSE)</f>
        <v>NOS-NUMBERS</v>
      </c>
      <c r="AA59" s="334" t="str">
        <f>VLOOKUP(X59,'PUR-HSN MASTER'!$A$6:$D$247,4,FALSE)</f>
        <v>Goods</v>
      </c>
      <c r="AB59" s="401">
        <v>50</v>
      </c>
    </row>
    <row r="60" spans="1:28" ht="14.4" x14ac:dyDescent="0.3">
      <c r="A60" s="128" t="s">
        <v>27</v>
      </c>
      <c r="B60" s="199" t="str">
        <f>VLOOKUP(A60,'PUR-PARTY MASTER'!$B$6:$J$250,2,FALSE)</f>
        <v>Rinder India Pvt Ltd.</v>
      </c>
      <c r="C60" s="403">
        <v>2701821853</v>
      </c>
      <c r="D60" s="398">
        <v>43137</v>
      </c>
      <c r="E60" s="329">
        <f t="shared" si="5"/>
        <v>18793.151999999998</v>
      </c>
      <c r="F60" s="199" t="str">
        <f>VLOOKUP(A60,'PUR-PARTY MASTER'!$B$6:$J$250,3,FALSE)</f>
        <v>27-Maharashatra</v>
      </c>
      <c r="G60" s="199" t="str">
        <f>VLOOKUP(A60,'PUR-PARTY MASTER'!$B$6:$J$250,4,FALSE)</f>
        <v>N</v>
      </c>
      <c r="H60" s="199" t="str">
        <f>VLOOKUP(A60,'PUR-PARTY MASTER'!$B$6:$J$250,5,FALSE)</f>
        <v>Regular</v>
      </c>
      <c r="I60" s="199">
        <f>VLOOKUP(A60,'PUR-PARTY MASTER'!$B$6:$J$250,6,FALSE)</f>
        <v>0</v>
      </c>
      <c r="J60" s="201">
        <v>18</v>
      </c>
      <c r="K60" s="400">
        <v>15926.4</v>
      </c>
      <c r="L60" s="202">
        <f t="shared" si="6"/>
        <v>0</v>
      </c>
      <c r="M60" s="202">
        <f t="shared" si="7"/>
        <v>1433.376</v>
      </c>
      <c r="N60" s="202">
        <f t="shared" si="8"/>
        <v>1433.376</v>
      </c>
      <c r="O60" s="8">
        <v>0</v>
      </c>
      <c r="P60" s="341" t="s">
        <v>177</v>
      </c>
      <c r="Q60" s="329">
        <f t="shared" si="9"/>
        <v>0</v>
      </c>
      <c r="R60" s="329">
        <f t="shared" si="10"/>
        <v>1433.376</v>
      </c>
      <c r="S60" s="329">
        <f t="shared" si="11"/>
        <v>1433.376</v>
      </c>
      <c r="T60" s="8">
        <f t="shared" si="12"/>
        <v>0</v>
      </c>
      <c r="U60" s="199">
        <f>VLOOKUP(A60,'PUR-PARTY MASTER'!$B$6:$J$250,7,FALSE)</f>
        <v>2</v>
      </c>
      <c r="V60" s="199" t="str">
        <f>VLOOKUP(A60,'PUR-PARTY MASTER'!$B$6:$J$250,8,FALSE)</f>
        <v>Local Pur</v>
      </c>
      <c r="W60" s="199" t="s">
        <v>894</v>
      </c>
      <c r="X60" s="404">
        <v>85129000</v>
      </c>
      <c r="Y60" s="201" t="str">
        <f>VLOOKUP(X60,'PUR-HSN MASTER'!$A$6:$D$247,2,FALSE)</f>
        <v>Lighting &amp; Fitting</v>
      </c>
      <c r="Z60" s="201" t="str">
        <f>VLOOKUP(X60,'PUR-HSN MASTER'!$A$6:$D$247,3,FALSE)</f>
        <v>NOS-NUMBERS</v>
      </c>
      <c r="AA60" s="334" t="str">
        <f>VLOOKUP(X60,'PUR-HSN MASTER'!$A$6:$D$247,4,FALSE)</f>
        <v>Goods</v>
      </c>
      <c r="AB60" s="401">
        <v>1440</v>
      </c>
    </row>
    <row r="61" spans="1:28" ht="14.4" x14ac:dyDescent="0.3">
      <c r="A61" s="128" t="s">
        <v>374</v>
      </c>
      <c r="B61" s="199" t="str">
        <f>VLOOKUP(A61,'PUR-PARTY MASTER'!$B$6:$J$250,2,FALSE)</f>
        <v>Galva Decoparts Pvt.Ltd</v>
      </c>
      <c r="C61" s="403">
        <v>2522</v>
      </c>
      <c r="D61" s="398">
        <v>43137</v>
      </c>
      <c r="E61" s="329">
        <f t="shared" si="5"/>
        <v>42854.399999999994</v>
      </c>
      <c r="F61" s="199" t="str">
        <f>VLOOKUP(A61,'PUR-PARTY MASTER'!$B$6:$J$250,3,FALSE)</f>
        <v>27-Maharashatra</v>
      </c>
      <c r="G61" s="199" t="str">
        <f>VLOOKUP(A61,'PUR-PARTY MASTER'!$B$6:$J$250,4,FALSE)</f>
        <v>N</v>
      </c>
      <c r="H61" s="199" t="str">
        <f>VLOOKUP(A61,'PUR-PARTY MASTER'!$B$6:$J$250,5,FALSE)</f>
        <v>Regular</v>
      </c>
      <c r="I61" s="199">
        <f>VLOOKUP(A61,'PUR-PARTY MASTER'!$B$6:$J$250,6,FALSE)</f>
        <v>0</v>
      </c>
      <c r="J61" s="201">
        <v>28</v>
      </c>
      <c r="K61" s="400">
        <v>33480</v>
      </c>
      <c r="L61" s="202">
        <f t="shared" si="6"/>
        <v>0</v>
      </c>
      <c r="M61" s="202">
        <f t="shared" si="7"/>
        <v>4687.2000000000007</v>
      </c>
      <c r="N61" s="202">
        <f t="shared" si="8"/>
        <v>4687.2000000000007</v>
      </c>
      <c r="O61" s="8">
        <v>0</v>
      </c>
      <c r="P61" s="341" t="s">
        <v>177</v>
      </c>
      <c r="Q61" s="329">
        <f t="shared" si="9"/>
        <v>0</v>
      </c>
      <c r="R61" s="329">
        <f t="shared" si="10"/>
        <v>4687.2000000000007</v>
      </c>
      <c r="S61" s="329">
        <f t="shared" si="11"/>
        <v>4687.2000000000007</v>
      </c>
      <c r="T61" s="8">
        <f t="shared" si="12"/>
        <v>0</v>
      </c>
      <c r="U61" s="199">
        <f>VLOOKUP(A61,'PUR-PARTY MASTER'!$B$6:$J$250,7,FALSE)</f>
        <v>2</v>
      </c>
      <c r="V61" s="199" t="str">
        <f>VLOOKUP(A61,'PUR-PARTY MASTER'!$B$6:$J$250,8,FALSE)</f>
        <v>Local Pur</v>
      </c>
      <c r="W61" s="199" t="s">
        <v>897</v>
      </c>
      <c r="X61" s="404">
        <v>87089900</v>
      </c>
      <c r="Y61" s="201" t="str">
        <f>VLOOKUP(X61,'PUR-HSN MASTER'!$A$6:$D$247,2,FALSE)</f>
        <v>Parts &amp; Accessories Of Motor Vehicles Other</v>
      </c>
      <c r="Z61" s="201" t="str">
        <f>VLOOKUP(X61,'PUR-HSN MASTER'!$A$6:$D$247,3,FALSE)</f>
        <v>NOS-NUMBERS</v>
      </c>
      <c r="AA61" s="334" t="str">
        <f>VLOOKUP(X61,'PUR-HSN MASTER'!$A$6:$D$247,4,FALSE)</f>
        <v>Goods</v>
      </c>
      <c r="AB61" s="401">
        <v>1500</v>
      </c>
    </row>
    <row r="62" spans="1:28" ht="14.4" x14ac:dyDescent="0.3">
      <c r="A62" s="128" t="s">
        <v>333</v>
      </c>
      <c r="B62" s="199" t="str">
        <f>VLOOKUP(A62,'PUR-PARTY MASTER'!$B$6:$J$250,2,FALSE)</f>
        <v>Aditya Enteprises</v>
      </c>
      <c r="C62" s="403">
        <v>4565</v>
      </c>
      <c r="D62" s="398">
        <v>43137</v>
      </c>
      <c r="E62" s="329">
        <f t="shared" si="5"/>
        <v>21295.637000000002</v>
      </c>
      <c r="F62" s="199" t="str">
        <f>VLOOKUP(A62,'PUR-PARTY MASTER'!$B$6:$J$250,3,FALSE)</f>
        <v>27-Maharashatra</v>
      </c>
      <c r="G62" s="199" t="str">
        <f>VLOOKUP(A62,'PUR-PARTY MASTER'!$B$6:$J$250,4,FALSE)</f>
        <v>N</v>
      </c>
      <c r="H62" s="199" t="str">
        <f>VLOOKUP(A62,'PUR-PARTY MASTER'!$B$6:$J$250,5,FALSE)</f>
        <v>Regular</v>
      </c>
      <c r="I62" s="199">
        <f>VLOOKUP(A62,'PUR-PARTY MASTER'!$B$6:$J$250,6,FALSE)</f>
        <v>0</v>
      </c>
      <c r="J62" s="201">
        <v>18</v>
      </c>
      <c r="K62" s="400">
        <v>18047.150000000001</v>
      </c>
      <c r="L62" s="202">
        <f t="shared" si="6"/>
        <v>0</v>
      </c>
      <c r="M62" s="202">
        <f t="shared" si="7"/>
        <v>1624.2435</v>
      </c>
      <c r="N62" s="202">
        <f t="shared" si="8"/>
        <v>1624.2435</v>
      </c>
      <c r="O62" s="8">
        <v>0</v>
      </c>
      <c r="P62" s="341" t="s">
        <v>177</v>
      </c>
      <c r="Q62" s="329">
        <f t="shared" si="9"/>
        <v>0</v>
      </c>
      <c r="R62" s="329">
        <f t="shared" si="10"/>
        <v>1624.2435</v>
      </c>
      <c r="S62" s="329">
        <f t="shared" si="11"/>
        <v>1624.2435</v>
      </c>
      <c r="T62" s="8">
        <f t="shared" si="12"/>
        <v>0</v>
      </c>
      <c r="U62" s="199">
        <f>VLOOKUP(A62,'PUR-PARTY MASTER'!$B$6:$J$250,7,FALSE)</f>
        <v>2</v>
      </c>
      <c r="V62" s="199" t="str">
        <f>VLOOKUP(A62,'PUR-PARTY MASTER'!$B$6:$J$250,8,FALSE)</f>
        <v>Local Pur</v>
      </c>
      <c r="W62" s="199" t="s">
        <v>894</v>
      </c>
      <c r="X62" s="404">
        <v>85129000</v>
      </c>
      <c r="Y62" s="201" t="str">
        <f>VLOOKUP(X62,'PUR-HSN MASTER'!$A$6:$D$247,2,FALSE)</f>
        <v>Lighting &amp; Fitting</v>
      </c>
      <c r="Z62" s="201" t="str">
        <f>VLOOKUP(X62,'PUR-HSN MASTER'!$A$6:$D$247,3,FALSE)</f>
        <v>NOS-NUMBERS</v>
      </c>
      <c r="AA62" s="334" t="str">
        <f>VLOOKUP(X62,'PUR-HSN MASTER'!$A$6:$D$247,4,FALSE)</f>
        <v>Goods</v>
      </c>
      <c r="AB62" s="401">
        <v>785</v>
      </c>
    </row>
    <row r="63" spans="1:28" ht="14.4" x14ac:dyDescent="0.3">
      <c r="A63" s="128" t="s">
        <v>341</v>
      </c>
      <c r="B63" s="199" t="str">
        <f>VLOOKUP(A63,'PUR-PARTY MASTER'!$B$6:$J$250,2,FALSE)</f>
        <v>Ppg Asian Paints Pvt Ltd,</v>
      </c>
      <c r="C63" s="403" t="s">
        <v>1372</v>
      </c>
      <c r="D63" s="398">
        <v>43137</v>
      </c>
      <c r="E63" s="329">
        <f t="shared" si="5"/>
        <v>87040</v>
      </c>
      <c r="F63" s="199" t="str">
        <f>VLOOKUP(A63,'PUR-PARTY MASTER'!$B$6:$J$250,3,FALSE)</f>
        <v>27-Maharashatra</v>
      </c>
      <c r="G63" s="199" t="str">
        <f>VLOOKUP(A63,'PUR-PARTY MASTER'!$B$6:$J$250,4,FALSE)</f>
        <v>N</v>
      </c>
      <c r="H63" s="199" t="str">
        <f>VLOOKUP(A63,'PUR-PARTY MASTER'!$B$6:$J$250,5,FALSE)</f>
        <v>Regular</v>
      </c>
      <c r="I63" s="199">
        <f>VLOOKUP(A63,'PUR-PARTY MASTER'!$B$6:$J$250,6,FALSE)</f>
        <v>0</v>
      </c>
      <c r="J63" s="201">
        <v>28</v>
      </c>
      <c r="K63" s="400">
        <v>68000</v>
      </c>
      <c r="L63" s="202">
        <f t="shared" si="6"/>
        <v>0</v>
      </c>
      <c r="M63" s="202">
        <f t="shared" si="7"/>
        <v>9520</v>
      </c>
      <c r="N63" s="202">
        <f t="shared" si="8"/>
        <v>9520</v>
      </c>
      <c r="O63" s="8">
        <v>0</v>
      </c>
      <c r="P63" s="341" t="s">
        <v>177</v>
      </c>
      <c r="Q63" s="329">
        <f t="shared" si="9"/>
        <v>0</v>
      </c>
      <c r="R63" s="329">
        <f t="shared" si="10"/>
        <v>9520</v>
      </c>
      <c r="S63" s="329">
        <f t="shared" si="11"/>
        <v>9520</v>
      </c>
      <c r="T63" s="8">
        <f t="shared" si="12"/>
        <v>0</v>
      </c>
      <c r="U63" s="199">
        <f>VLOOKUP(A63,'PUR-PARTY MASTER'!$B$6:$J$250,7,FALSE)</f>
        <v>2</v>
      </c>
      <c r="V63" s="199" t="str">
        <f>VLOOKUP(A63,'PUR-PARTY MASTER'!$B$6:$J$250,8,FALSE)</f>
        <v>Local Pur</v>
      </c>
      <c r="W63" s="199" t="s">
        <v>897</v>
      </c>
      <c r="X63" s="404">
        <v>3208</v>
      </c>
      <c r="Y63" s="201" t="str">
        <f>VLOOKUP(X63,'PUR-HSN MASTER'!$A$6:$D$247,2,FALSE)</f>
        <v>Misc Chemical Products Thinner</v>
      </c>
      <c r="Z63" s="201" t="str">
        <f>VLOOKUP(X63,'PUR-HSN MASTER'!$A$6:$D$247,3,FALSE)</f>
        <v>NOS-NUMBERS</v>
      </c>
      <c r="AA63" s="334" t="str">
        <f>VLOOKUP(X63,'PUR-HSN MASTER'!$A$6:$D$247,4,FALSE)</f>
        <v>Goods</v>
      </c>
      <c r="AB63" s="401">
        <v>200</v>
      </c>
    </row>
    <row r="64" spans="1:28" ht="14.4" x14ac:dyDescent="0.3">
      <c r="A64" s="128" t="s">
        <v>874</v>
      </c>
      <c r="B64" s="199" t="str">
        <f>VLOOKUP(A64,'PUR-PARTY MASTER'!$B$6:$J$250,2,FALSE)</f>
        <v>Gayatri Aqua Solutions</v>
      </c>
      <c r="C64" s="403" t="s">
        <v>1373</v>
      </c>
      <c r="D64" s="398">
        <v>43137</v>
      </c>
      <c r="E64" s="329">
        <f t="shared" si="5"/>
        <v>1675.9068</v>
      </c>
      <c r="F64" s="199" t="str">
        <f>VLOOKUP(A64,'PUR-PARTY MASTER'!$B$6:$J$250,3,FALSE)</f>
        <v>27-Maharashatra</v>
      </c>
      <c r="G64" s="199" t="str">
        <f>VLOOKUP(A64,'PUR-PARTY MASTER'!$B$6:$J$250,4,FALSE)</f>
        <v>N</v>
      </c>
      <c r="H64" s="199" t="str">
        <f>VLOOKUP(A64,'PUR-PARTY MASTER'!$B$6:$J$250,5,FALSE)</f>
        <v>Regular</v>
      </c>
      <c r="I64" s="199">
        <f>VLOOKUP(A64,'PUR-PARTY MASTER'!$B$6:$J$250,6,FALSE)</f>
        <v>0</v>
      </c>
      <c r="J64" s="201">
        <v>18</v>
      </c>
      <c r="K64" s="400">
        <v>1420.26</v>
      </c>
      <c r="L64" s="202">
        <f t="shared" si="6"/>
        <v>0</v>
      </c>
      <c r="M64" s="202">
        <f t="shared" si="7"/>
        <v>127.82339999999999</v>
      </c>
      <c r="N64" s="202">
        <f t="shared" si="8"/>
        <v>127.82339999999999</v>
      </c>
      <c r="O64" s="8">
        <v>0</v>
      </c>
      <c r="P64" s="341" t="s">
        <v>177</v>
      </c>
      <c r="Q64" s="329">
        <f t="shared" si="9"/>
        <v>0</v>
      </c>
      <c r="R64" s="329">
        <f t="shared" si="10"/>
        <v>127.82339999999999</v>
      </c>
      <c r="S64" s="329">
        <f t="shared" si="11"/>
        <v>127.82339999999999</v>
      </c>
      <c r="T64" s="8">
        <f t="shared" si="12"/>
        <v>0</v>
      </c>
      <c r="U64" s="199">
        <f>VLOOKUP(A64,'PUR-PARTY MASTER'!$B$6:$J$250,7,FALSE)</f>
        <v>2</v>
      </c>
      <c r="V64" s="199" t="str">
        <f>VLOOKUP(A64,'PUR-PARTY MASTER'!$B$6:$J$250,8,FALSE)</f>
        <v>Local Pur</v>
      </c>
      <c r="W64" s="199" t="s">
        <v>894</v>
      </c>
      <c r="X64" s="404">
        <v>3917</v>
      </c>
      <c r="Y64" s="201" t="str">
        <f>VLOOKUP(X64,'PUR-HSN MASTER'!$A$6:$D$247,2,FALSE)</f>
        <v>Tubes Pipes &amp; Hoses</v>
      </c>
      <c r="Z64" s="201" t="str">
        <f>VLOOKUP(X64,'PUR-HSN MASTER'!$A$6:$D$247,3,FALSE)</f>
        <v>NOS-NUMBERS</v>
      </c>
      <c r="AA64" s="334" t="str">
        <f>VLOOKUP(X64,'PUR-HSN MASTER'!$A$6:$D$247,4,FALSE)</f>
        <v>Goods</v>
      </c>
      <c r="AB64" s="401">
        <v>20</v>
      </c>
    </row>
    <row r="65" spans="1:28" ht="14.4" x14ac:dyDescent="0.3">
      <c r="A65" s="128" t="s">
        <v>874</v>
      </c>
      <c r="B65" s="199" t="str">
        <f>VLOOKUP(A65,'PUR-PARTY MASTER'!$B$6:$J$250,2,FALSE)</f>
        <v>Gayatri Aqua Solutions</v>
      </c>
      <c r="C65" s="403" t="s">
        <v>1373</v>
      </c>
      <c r="D65" s="398">
        <v>43137</v>
      </c>
      <c r="E65" s="329">
        <f t="shared" si="5"/>
        <v>1770</v>
      </c>
      <c r="F65" s="199" t="str">
        <f>VLOOKUP(A65,'PUR-PARTY MASTER'!$B$6:$J$250,3,FALSE)</f>
        <v>27-Maharashatra</v>
      </c>
      <c r="G65" s="199" t="str">
        <f>VLOOKUP(A65,'PUR-PARTY MASTER'!$B$6:$J$250,4,FALSE)</f>
        <v>N</v>
      </c>
      <c r="H65" s="199" t="str">
        <f>VLOOKUP(A65,'PUR-PARTY MASTER'!$B$6:$J$250,5,FALSE)</f>
        <v>Regular</v>
      </c>
      <c r="I65" s="199">
        <f>VLOOKUP(A65,'PUR-PARTY MASTER'!$B$6:$J$250,6,FALSE)</f>
        <v>0</v>
      </c>
      <c r="J65" s="201">
        <v>18</v>
      </c>
      <c r="K65" s="400">
        <v>1500</v>
      </c>
      <c r="L65" s="202">
        <f t="shared" si="6"/>
        <v>0</v>
      </c>
      <c r="M65" s="202">
        <f t="shared" si="7"/>
        <v>135</v>
      </c>
      <c r="N65" s="202">
        <f t="shared" si="8"/>
        <v>135</v>
      </c>
      <c r="O65" s="8">
        <v>0</v>
      </c>
      <c r="P65" s="341" t="s">
        <v>177</v>
      </c>
      <c r="Q65" s="329">
        <f t="shared" si="9"/>
        <v>0</v>
      </c>
      <c r="R65" s="329">
        <f t="shared" si="10"/>
        <v>135</v>
      </c>
      <c r="S65" s="329">
        <f t="shared" si="11"/>
        <v>135</v>
      </c>
      <c r="T65" s="8">
        <f t="shared" si="12"/>
        <v>0</v>
      </c>
      <c r="U65" s="199">
        <f>VLOOKUP(A65,'PUR-PARTY MASTER'!$B$6:$J$250,7,FALSE)</f>
        <v>2</v>
      </c>
      <c r="V65" s="199" t="str">
        <f>VLOOKUP(A65,'PUR-PARTY MASTER'!$B$6:$J$250,8,FALSE)</f>
        <v>Local Pur</v>
      </c>
      <c r="W65" s="199" t="s">
        <v>894</v>
      </c>
      <c r="X65" s="404">
        <v>996519</v>
      </c>
      <c r="Y65" s="201" t="str">
        <f>VLOOKUP(X65,'PUR-HSN MASTER'!$A$6:$D$247,2,FALSE)</f>
        <v>Transportation Of Goods By Road</v>
      </c>
      <c r="Z65" s="201" t="str">
        <f>VLOOKUP(X65,'PUR-HSN MASTER'!$A$6:$D$247,3,FALSE)</f>
        <v>NOS-NUMBERS</v>
      </c>
      <c r="AA65" s="334" t="str">
        <f>VLOOKUP(X65,'PUR-HSN MASTER'!$A$6:$D$247,4,FALSE)</f>
        <v>Services</v>
      </c>
      <c r="AB65" s="401">
        <v>1</v>
      </c>
    </row>
    <row r="66" spans="1:28" ht="14.4" x14ac:dyDescent="0.3">
      <c r="A66" s="128" t="s">
        <v>339</v>
      </c>
      <c r="B66" s="199" t="str">
        <f>VLOOKUP(A66,'PUR-PARTY MASTER'!$B$6:$J$250,2,FALSE)</f>
        <v>Axalta Coating Systems India Pvt.Ltd,</v>
      </c>
      <c r="C66" s="403">
        <v>7887681581</v>
      </c>
      <c r="D66" s="398">
        <v>43138</v>
      </c>
      <c r="E66" s="329">
        <f t="shared" si="5"/>
        <v>25536</v>
      </c>
      <c r="F66" s="199" t="str">
        <f>VLOOKUP(A66,'PUR-PARTY MASTER'!$B$6:$J$250,3,FALSE)</f>
        <v>27-Maharashatra</v>
      </c>
      <c r="G66" s="199" t="str">
        <f>VLOOKUP(A66,'PUR-PARTY MASTER'!$B$6:$J$250,4,FALSE)</f>
        <v>N</v>
      </c>
      <c r="H66" s="199" t="str">
        <f>VLOOKUP(A66,'PUR-PARTY MASTER'!$B$6:$J$250,5,FALSE)</f>
        <v>Regular</v>
      </c>
      <c r="I66" s="199">
        <f>VLOOKUP(A66,'PUR-PARTY MASTER'!$B$6:$J$250,6,FALSE)</f>
        <v>0</v>
      </c>
      <c r="J66" s="201">
        <v>28</v>
      </c>
      <c r="K66" s="400">
        <v>19950</v>
      </c>
      <c r="L66" s="202">
        <f t="shared" si="6"/>
        <v>0</v>
      </c>
      <c r="M66" s="202">
        <f t="shared" si="7"/>
        <v>2793.0000000000005</v>
      </c>
      <c r="N66" s="202">
        <f t="shared" si="8"/>
        <v>2793.0000000000005</v>
      </c>
      <c r="O66" s="8">
        <v>0</v>
      </c>
      <c r="P66" s="341" t="s">
        <v>177</v>
      </c>
      <c r="Q66" s="329">
        <f t="shared" si="9"/>
        <v>0</v>
      </c>
      <c r="R66" s="329">
        <f t="shared" si="10"/>
        <v>2793.0000000000005</v>
      </c>
      <c r="S66" s="329">
        <f t="shared" si="11"/>
        <v>2793.0000000000005</v>
      </c>
      <c r="T66" s="8">
        <f t="shared" si="12"/>
        <v>0</v>
      </c>
      <c r="U66" s="199">
        <f>VLOOKUP(A66,'PUR-PARTY MASTER'!$B$6:$J$250,7,FALSE)</f>
        <v>2</v>
      </c>
      <c r="V66" s="199" t="str">
        <f>VLOOKUP(A66,'PUR-PARTY MASTER'!$B$6:$J$250,8,FALSE)</f>
        <v>Local Pur</v>
      </c>
      <c r="W66" s="199" t="s">
        <v>897</v>
      </c>
      <c r="X66" s="404">
        <v>32089090</v>
      </c>
      <c r="Y66" s="201" t="str">
        <f>VLOOKUP(X66,'PUR-HSN MASTER'!$A$6:$D$247,2,FALSE)</f>
        <v>Others ( Paint &amp; Varnishes)</v>
      </c>
      <c r="Z66" s="201" t="str">
        <f>VLOOKUP(X66,'PUR-HSN MASTER'!$A$6:$D$247,3,FALSE)</f>
        <v>NOS-NUMBERS</v>
      </c>
      <c r="AA66" s="334" t="str">
        <f>VLOOKUP(X66,'PUR-HSN MASTER'!$A$6:$D$247,4,FALSE)</f>
        <v>Goods</v>
      </c>
      <c r="AB66" s="401">
        <v>30</v>
      </c>
    </row>
    <row r="67" spans="1:28" ht="14.4" x14ac:dyDescent="0.3">
      <c r="A67" s="128" t="s">
        <v>339</v>
      </c>
      <c r="B67" s="199" t="str">
        <f>VLOOKUP(A67,'PUR-PARTY MASTER'!$B$6:$J$250,2,FALSE)</f>
        <v>Axalta Coating Systems India Pvt.Ltd,</v>
      </c>
      <c r="C67" s="403">
        <v>7887681581</v>
      </c>
      <c r="D67" s="398">
        <v>43138</v>
      </c>
      <c r="E67" s="329">
        <f t="shared" si="5"/>
        <v>18611.199999999997</v>
      </c>
      <c r="F67" s="199" t="str">
        <f>VLOOKUP(A67,'PUR-PARTY MASTER'!$B$6:$J$250,3,FALSE)</f>
        <v>27-Maharashatra</v>
      </c>
      <c r="G67" s="199" t="str">
        <f>VLOOKUP(A67,'PUR-PARTY MASTER'!$B$6:$J$250,4,FALSE)</f>
        <v>N</v>
      </c>
      <c r="H67" s="199" t="str">
        <f>VLOOKUP(A67,'PUR-PARTY MASTER'!$B$6:$J$250,5,FALSE)</f>
        <v>Regular</v>
      </c>
      <c r="I67" s="199">
        <f>VLOOKUP(A67,'PUR-PARTY MASTER'!$B$6:$J$250,6,FALSE)</f>
        <v>0</v>
      </c>
      <c r="J67" s="201">
        <v>28</v>
      </c>
      <c r="K67" s="400">
        <v>14540</v>
      </c>
      <c r="L67" s="202">
        <f t="shared" si="6"/>
        <v>0</v>
      </c>
      <c r="M67" s="202">
        <f t="shared" si="7"/>
        <v>2035.6000000000001</v>
      </c>
      <c r="N67" s="202">
        <f t="shared" si="8"/>
        <v>2035.6000000000001</v>
      </c>
      <c r="O67" s="8">
        <v>0</v>
      </c>
      <c r="P67" s="341" t="s">
        <v>177</v>
      </c>
      <c r="Q67" s="329">
        <f t="shared" si="9"/>
        <v>0</v>
      </c>
      <c r="R67" s="329">
        <f t="shared" si="10"/>
        <v>2035.6000000000001</v>
      </c>
      <c r="S67" s="329">
        <f t="shared" si="11"/>
        <v>2035.6000000000001</v>
      </c>
      <c r="T67" s="8">
        <f t="shared" si="12"/>
        <v>0</v>
      </c>
      <c r="U67" s="199">
        <f>VLOOKUP(A67,'PUR-PARTY MASTER'!$B$6:$J$250,7,FALSE)</f>
        <v>2</v>
      </c>
      <c r="V67" s="199" t="str">
        <f>VLOOKUP(A67,'PUR-PARTY MASTER'!$B$6:$J$250,8,FALSE)</f>
        <v>Local Pur</v>
      </c>
      <c r="W67" s="199" t="s">
        <v>897</v>
      </c>
      <c r="X67" s="404">
        <v>32082090</v>
      </c>
      <c r="Y67" s="201" t="str">
        <f>VLOOKUP(X67,'PUR-HSN MASTER'!$A$6:$D$247,2,FALSE)</f>
        <v>Others ( Paint &amp; Varnishes)</v>
      </c>
      <c r="Z67" s="201" t="str">
        <f>VLOOKUP(X67,'PUR-HSN MASTER'!$A$6:$D$247,3,FALSE)</f>
        <v>KLR-KILOLITRE</v>
      </c>
      <c r="AA67" s="334" t="str">
        <f>VLOOKUP(X67,'PUR-HSN MASTER'!$A$6:$D$247,4,FALSE)</f>
        <v>Goods</v>
      </c>
      <c r="AB67" s="401">
        <v>20</v>
      </c>
    </row>
    <row r="68" spans="1:28" ht="14.4" x14ac:dyDescent="0.3">
      <c r="A68" s="128" t="s">
        <v>339</v>
      </c>
      <c r="B68" s="199" t="str">
        <f>VLOOKUP(A68,'PUR-PARTY MASTER'!$B$6:$J$250,2,FALSE)</f>
        <v>Axalta Coating Systems India Pvt.Ltd,</v>
      </c>
      <c r="C68" s="403">
        <v>7887681580</v>
      </c>
      <c r="D68" s="398">
        <v>43138</v>
      </c>
      <c r="E68" s="329">
        <f t="shared" si="5"/>
        <v>4602</v>
      </c>
      <c r="F68" s="199" t="str">
        <f>VLOOKUP(A68,'PUR-PARTY MASTER'!$B$6:$J$250,3,FALSE)</f>
        <v>27-Maharashatra</v>
      </c>
      <c r="G68" s="199" t="str">
        <f>VLOOKUP(A68,'PUR-PARTY MASTER'!$B$6:$J$250,4,FALSE)</f>
        <v>N</v>
      </c>
      <c r="H68" s="199" t="str">
        <f>VLOOKUP(A68,'PUR-PARTY MASTER'!$B$6:$J$250,5,FALSE)</f>
        <v>Regular</v>
      </c>
      <c r="I68" s="199">
        <f>VLOOKUP(A68,'PUR-PARTY MASTER'!$B$6:$J$250,6,FALSE)</f>
        <v>0</v>
      </c>
      <c r="J68" s="201">
        <v>18</v>
      </c>
      <c r="K68" s="400">
        <v>3900</v>
      </c>
      <c r="L68" s="202">
        <f t="shared" si="6"/>
        <v>0</v>
      </c>
      <c r="M68" s="202">
        <f t="shared" si="7"/>
        <v>351</v>
      </c>
      <c r="N68" s="202">
        <f t="shared" si="8"/>
        <v>351</v>
      </c>
      <c r="O68" s="8">
        <v>0</v>
      </c>
      <c r="P68" s="341" t="s">
        <v>177</v>
      </c>
      <c r="Q68" s="329">
        <f t="shared" si="9"/>
        <v>0</v>
      </c>
      <c r="R68" s="329">
        <f t="shared" si="10"/>
        <v>351</v>
      </c>
      <c r="S68" s="329">
        <f t="shared" si="11"/>
        <v>351</v>
      </c>
      <c r="T68" s="8">
        <f t="shared" si="12"/>
        <v>0</v>
      </c>
      <c r="U68" s="199">
        <f>VLOOKUP(A68,'PUR-PARTY MASTER'!$B$6:$J$250,7,FALSE)</f>
        <v>2</v>
      </c>
      <c r="V68" s="199" t="str">
        <f>VLOOKUP(A68,'PUR-PARTY MASTER'!$B$6:$J$250,8,FALSE)</f>
        <v>Local Pur</v>
      </c>
      <c r="W68" s="199" t="s">
        <v>894</v>
      </c>
      <c r="X68" s="404">
        <v>38249990</v>
      </c>
      <c r="Y68" s="201" t="str">
        <f>VLOOKUP(X68,'PUR-HSN MASTER'!$A$6:$D$247,2,FALSE)</f>
        <v>Others ( Paint &amp; Varnishes)</v>
      </c>
      <c r="Z68" s="201" t="str">
        <f>VLOOKUP(X68,'PUR-HSN MASTER'!$A$6:$D$247,3,FALSE)</f>
        <v>NOS-NUMBERS</v>
      </c>
      <c r="AA68" s="334" t="str">
        <f>VLOOKUP(X68,'PUR-HSN MASTER'!$A$6:$D$247,4,FALSE)</f>
        <v>Goods</v>
      </c>
      <c r="AB68" s="401">
        <v>6</v>
      </c>
    </row>
    <row r="69" spans="1:28" ht="14.4" x14ac:dyDescent="0.3">
      <c r="A69" s="128" t="s">
        <v>868</v>
      </c>
      <c r="B69" s="199" t="str">
        <f>VLOOKUP(A69,'PUR-PARTY MASTER'!$B$6:$J$250,2,FALSE)</f>
        <v>Snjay Tools &amp; Accessories Pvt Ltd</v>
      </c>
      <c r="C69" s="403"/>
      <c r="D69" s="398">
        <v>43138</v>
      </c>
      <c r="E69" s="329">
        <f t="shared" si="5"/>
        <v>0</v>
      </c>
      <c r="F69" s="199" t="str">
        <f>VLOOKUP(A69,'PUR-PARTY MASTER'!$B$6:$J$250,3,FALSE)</f>
        <v>27-Maharashatra</v>
      </c>
      <c r="G69" s="199" t="str">
        <f>VLOOKUP(A69,'PUR-PARTY MASTER'!$B$6:$J$250,4,FALSE)</f>
        <v>N</v>
      </c>
      <c r="H69" s="199" t="str">
        <f>VLOOKUP(A69,'PUR-PARTY MASTER'!$B$6:$J$250,5,FALSE)</f>
        <v>Regular</v>
      </c>
      <c r="I69" s="199">
        <f>VLOOKUP(A69,'PUR-PARTY MASTER'!$B$6:$J$250,6,FALSE)</f>
        <v>0</v>
      </c>
      <c r="J69" s="201">
        <v>18</v>
      </c>
      <c r="K69" s="400">
        <v>0</v>
      </c>
      <c r="L69" s="202">
        <f t="shared" si="6"/>
        <v>0</v>
      </c>
      <c r="M69" s="202">
        <f t="shared" si="7"/>
        <v>0</v>
      </c>
      <c r="N69" s="202">
        <f t="shared" si="8"/>
        <v>0</v>
      </c>
      <c r="O69" s="8">
        <v>0</v>
      </c>
      <c r="P69" s="341" t="s">
        <v>177</v>
      </c>
      <c r="Q69" s="329">
        <f t="shared" si="9"/>
        <v>0</v>
      </c>
      <c r="R69" s="329">
        <f t="shared" si="10"/>
        <v>0</v>
      </c>
      <c r="S69" s="329">
        <f t="shared" si="11"/>
        <v>0</v>
      </c>
      <c r="T69" s="8">
        <f t="shared" si="12"/>
        <v>0</v>
      </c>
      <c r="U69" s="199">
        <f>VLOOKUP(A69,'PUR-PARTY MASTER'!$B$6:$J$250,7,FALSE)</f>
        <v>2</v>
      </c>
      <c r="V69" s="199" t="str">
        <f>VLOOKUP(A69,'PUR-PARTY MASTER'!$B$6:$J$250,8,FALSE)</f>
        <v>Local Pur</v>
      </c>
      <c r="W69" s="199" t="s">
        <v>894</v>
      </c>
      <c r="X69" s="404"/>
      <c r="Y69" s="201" t="e">
        <f>VLOOKUP(X69,'PUR-HSN MASTER'!$A$6:$D$247,2,FALSE)</f>
        <v>#N/A</v>
      </c>
      <c r="Z69" s="201" t="e">
        <f>VLOOKUP(X69,'PUR-HSN MASTER'!$A$6:$D$247,3,FALSE)</f>
        <v>#N/A</v>
      </c>
      <c r="AA69" s="334" t="e">
        <f>VLOOKUP(X69,'PUR-HSN MASTER'!$A$6:$D$247,4,FALSE)</f>
        <v>#N/A</v>
      </c>
      <c r="AB69" s="401">
        <v>0</v>
      </c>
    </row>
    <row r="70" spans="1:28" ht="14.4" x14ac:dyDescent="0.3">
      <c r="A70" s="128" t="s">
        <v>335</v>
      </c>
      <c r="B70" s="199" t="str">
        <f>VLOOKUP(A70,'PUR-PARTY MASTER'!$B$6:$J$250,2,FALSE)</f>
        <v>Atharva Polymers Pvt Ltd,</v>
      </c>
      <c r="C70" s="403" t="s">
        <v>1374</v>
      </c>
      <c r="D70" s="398">
        <v>43138</v>
      </c>
      <c r="E70" s="329">
        <f t="shared" si="5"/>
        <v>33246.464</v>
      </c>
      <c r="F70" s="199" t="str">
        <f>VLOOKUP(A70,'PUR-PARTY MASTER'!$B$6:$J$250,3,FALSE)</f>
        <v>27-Maharashatra</v>
      </c>
      <c r="G70" s="199" t="str">
        <f>VLOOKUP(A70,'PUR-PARTY MASTER'!$B$6:$J$250,4,FALSE)</f>
        <v>N</v>
      </c>
      <c r="H70" s="199" t="str">
        <f>VLOOKUP(A70,'PUR-PARTY MASTER'!$B$6:$J$250,5,FALSE)</f>
        <v>Regular</v>
      </c>
      <c r="I70" s="199">
        <f>VLOOKUP(A70,'PUR-PARTY MASTER'!$B$6:$J$250,6,FALSE)</f>
        <v>0</v>
      </c>
      <c r="J70" s="201">
        <v>28</v>
      </c>
      <c r="K70" s="400">
        <f>25909.75+64.05</f>
        <v>25973.8</v>
      </c>
      <c r="L70" s="202">
        <f t="shared" si="6"/>
        <v>0</v>
      </c>
      <c r="M70" s="202">
        <f t="shared" si="7"/>
        <v>3636.3320000000003</v>
      </c>
      <c r="N70" s="202">
        <f t="shared" si="8"/>
        <v>3636.3320000000003</v>
      </c>
      <c r="O70" s="8">
        <v>0</v>
      </c>
      <c r="P70" s="341" t="s">
        <v>177</v>
      </c>
      <c r="Q70" s="329">
        <f t="shared" si="9"/>
        <v>0</v>
      </c>
      <c r="R70" s="329">
        <f t="shared" si="10"/>
        <v>3636.3320000000003</v>
      </c>
      <c r="S70" s="329">
        <f t="shared" si="11"/>
        <v>3636.3320000000003</v>
      </c>
      <c r="T70" s="8">
        <f t="shared" si="12"/>
        <v>0</v>
      </c>
      <c r="U70" s="199">
        <f>VLOOKUP(A70,'PUR-PARTY MASTER'!$B$6:$J$250,7,FALSE)</f>
        <v>2</v>
      </c>
      <c r="V70" s="199" t="str">
        <f>VLOOKUP(A70,'PUR-PARTY MASTER'!$B$6:$J$250,8,FALSE)</f>
        <v>Local Pur</v>
      </c>
      <c r="W70" s="199" t="s">
        <v>897</v>
      </c>
      <c r="X70" s="404">
        <v>87141900</v>
      </c>
      <c r="Y70" s="201" t="str">
        <f>VLOOKUP(X70,'PUR-HSN MASTER'!$A$6:$D$247,2,FALSE)</f>
        <v>Parts &amp; Accessories Of Motor Vehicles Other</v>
      </c>
      <c r="Z70" s="201" t="str">
        <f>VLOOKUP(X70,'PUR-HSN MASTER'!$A$6:$D$247,3,FALSE)</f>
        <v>KLR-KILOLITRE</v>
      </c>
      <c r="AA70" s="334" t="str">
        <f>VLOOKUP(X70,'PUR-HSN MASTER'!$A$6:$D$247,4,FALSE)</f>
        <v>Goods</v>
      </c>
      <c r="AB70" s="401">
        <v>610</v>
      </c>
    </row>
    <row r="71" spans="1:28" ht="14.4" x14ac:dyDescent="0.3">
      <c r="A71" s="128" t="s">
        <v>335</v>
      </c>
      <c r="B71" s="199" t="str">
        <f>VLOOKUP(A71,'PUR-PARTY MASTER'!$B$6:$J$250,2,FALSE)</f>
        <v>Atharva Polymers Pvt Ltd,</v>
      </c>
      <c r="C71" s="403" t="s">
        <v>1375</v>
      </c>
      <c r="D71" s="398">
        <v>43138</v>
      </c>
      <c r="E71" s="329">
        <f t="shared" si="5"/>
        <v>46327.040000000008</v>
      </c>
      <c r="F71" s="199" t="str">
        <f>VLOOKUP(A71,'PUR-PARTY MASTER'!$B$6:$J$250,3,FALSE)</f>
        <v>27-Maharashatra</v>
      </c>
      <c r="G71" s="199" t="str">
        <f>VLOOKUP(A71,'PUR-PARTY MASTER'!$B$6:$J$250,4,FALSE)</f>
        <v>N</v>
      </c>
      <c r="H71" s="199" t="str">
        <f>VLOOKUP(A71,'PUR-PARTY MASTER'!$B$6:$J$250,5,FALSE)</f>
        <v>Regular</v>
      </c>
      <c r="I71" s="199">
        <f>VLOOKUP(A71,'PUR-PARTY MASTER'!$B$6:$J$250,6,FALSE)</f>
        <v>0</v>
      </c>
      <c r="J71" s="201">
        <v>28</v>
      </c>
      <c r="K71" s="400">
        <f>36103.75+89.25</f>
        <v>36193</v>
      </c>
      <c r="L71" s="202">
        <f t="shared" si="6"/>
        <v>0</v>
      </c>
      <c r="M71" s="202">
        <f t="shared" si="7"/>
        <v>5067.0200000000004</v>
      </c>
      <c r="N71" s="202">
        <f t="shared" si="8"/>
        <v>5067.0200000000004</v>
      </c>
      <c r="O71" s="8">
        <v>0</v>
      </c>
      <c r="P71" s="341" t="s">
        <v>177</v>
      </c>
      <c r="Q71" s="329">
        <f t="shared" si="9"/>
        <v>0</v>
      </c>
      <c r="R71" s="329">
        <f t="shared" si="10"/>
        <v>5067.0200000000004</v>
      </c>
      <c r="S71" s="329">
        <f t="shared" si="11"/>
        <v>5067.0200000000004</v>
      </c>
      <c r="T71" s="8">
        <f t="shared" si="12"/>
        <v>0</v>
      </c>
      <c r="U71" s="199">
        <f>VLOOKUP(A71,'PUR-PARTY MASTER'!$B$6:$J$250,7,FALSE)</f>
        <v>2</v>
      </c>
      <c r="V71" s="199" t="str">
        <f>VLOOKUP(A71,'PUR-PARTY MASTER'!$B$6:$J$250,8,FALSE)</f>
        <v>Local Pur</v>
      </c>
      <c r="W71" s="199" t="s">
        <v>897</v>
      </c>
      <c r="X71" s="404">
        <v>87141900</v>
      </c>
      <c r="Y71" s="201" t="str">
        <f>VLOOKUP(X71,'PUR-HSN MASTER'!$A$6:$D$247,2,FALSE)</f>
        <v>Parts &amp; Accessories Of Motor Vehicles Other</v>
      </c>
      <c r="Z71" s="201" t="str">
        <f>VLOOKUP(X71,'PUR-HSN MASTER'!$A$6:$D$247,3,FALSE)</f>
        <v>KLR-KILOLITRE</v>
      </c>
      <c r="AA71" s="334" t="str">
        <f>VLOOKUP(X71,'PUR-HSN MASTER'!$A$6:$D$247,4,FALSE)</f>
        <v>Goods</v>
      </c>
      <c r="AB71" s="401">
        <v>850</v>
      </c>
    </row>
    <row r="72" spans="1:28" ht="14.4" x14ac:dyDescent="0.3">
      <c r="A72" s="128" t="s">
        <v>335</v>
      </c>
      <c r="B72" s="199" t="str">
        <f>VLOOKUP(A72,'PUR-PARTY MASTER'!$B$6:$J$250,2,FALSE)</f>
        <v>Atharva Polymers Pvt Ltd,</v>
      </c>
      <c r="C72" s="403" t="s">
        <v>1376</v>
      </c>
      <c r="D72" s="398">
        <v>43138</v>
      </c>
      <c r="E72" s="329">
        <f t="shared" ref="E72:E135" si="13">+K72+L72+M72+N72+O72</f>
        <v>5450.24</v>
      </c>
      <c r="F72" s="199" t="str">
        <f>VLOOKUP(A72,'PUR-PARTY MASTER'!$B$6:$J$250,3,FALSE)</f>
        <v>27-Maharashatra</v>
      </c>
      <c r="G72" s="199" t="str">
        <f>VLOOKUP(A72,'PUR-PARTY MASTER'!$B$6:$J$250,4,FALSE)</f>
        <v>N</v>
      </c>
      <c r="H72" s="199" t="str">
        <f>VLOOKUP(A72,'PUR-PARTY MASTER'!$B$6:$J$250,5,FALSE)</f>
        <v>Regular</v>
      </c>
      <c r="I72" s="199">
        <f>VLOOKUP(A72,'PUR-PARTY MASTER'!$B$6:$J$250,6,FALSE)</f>
        <v>0</v>
      </c>
      <c r="J72" s="201">
        <v>28</v>
      </c>
      <c r="K72" s="400">
        <f>4247.5+10.5</f>
        <v>4258</v>
      </c>
      <c r="L72" s="202">
        <f t="shared" ref="L72:L135" si="14">+IF(U72=1,0,IF(M72=0,J72*K72/100,0))</f>
        <v>0</v>
      </c>
      <c r="M72" s="202">
        <f t="shared" ref="M72:M135" si="15">+IF(U72=1,0,IF(V72="Local Pur",IF(J72=18,K72*0.09,IF(J72=12,K72*0.06,IF(J72=5,K72*0.025,IF(J72=28,K72*0.14,IF(J72=3,K72*0.015,0))))),0))</f>
        <v>596.12</v>
      </c>
      <c r="N72" s="202">
        <f t="shared" ref="N72:N135" si="16">+IF(O72=1,0,IF(V72="Local Pur",IF(J72=18,K72*0.09,IF(J72=12,K72*0.06,IF(J72=5,K72*0.025,IF(J72=28,K72*0.14,IF(J72=3,K72*0.015,0))))),0))</f>
        <v>596.12</v>
      </c>
      <c r="O72" s="8">
        <v>0</v>
      </c>
      <c r="P72" s="341" t="s">
        <v>177</v>
      </c>
      <c r="Q72" s="329">
        <f t="shared" ref="Q72:Q135" si="17">+L72</f>
        <v>0</v>
      </c>
      <c r="R72" s="329">
        <f t="shared" ref="R72:R135" si="18">+M72</f>
        <v>596.12</v>
      </c>
      <c r="S72" s="329">
        <f t="shared" ref="S72:S135" si="19">+N72</f>
        <v>596.12</v>
      </c>
      <c r="T72" s="8">
        <f t="shared" ref="T72:T135" si="20">+O72</f>
        <v>0</v>
      </c>
      <c r="U72" s="199">
        <f>VLOOKUP(A72,'PUR-PARTY MASTER'!$B$6:$J$250,7,FALSE)</f>
        <v>2</v>
      </c>
      <c r="V72" s="199" t="str">
        <f>VLOOKUP(A72,'PUR-PARTY MASTER'!$B$6:$J$250,8,FALSE)</f>
        <v>Local Pur</v>
      </c>
      <c r="W72" s="199" t="s">
        <v>897</v>
      </c>
      <c r="X72" s="404">
        <v>87141900</v>
      </c>
      <c r="Y72" s="201" t="str">
        <f>VLOOKUP(X72,'PUR-HSN MASTER'!$A$6:$D$247,2,FALSE)</f>
        <v>Parts &amp; Accessories Of Motor Vehicles Other</v>
      </c>
      <c r="Z72" s="201" t="str">
        <f>VLOOKUP(X72,'PUR-HSN MASTER'!$A$6:$D$247,3,FALSE)</f>
        <v>KLR-KILOLITRE</v>
      </c>
      <c r="AA72" s="334" t="str">
        <f>VLOOKUP(X72,'PUR-HSN MASTER'!$A$6:$D$247,4,FALSE)</f>
        <v>Goods</v>
      </c>
      <c r="AB72" s="401">
        <v>100</v>
      </c>
    </row>
    <row r="73" spans="1:28" ht="14.4" x14ac:dyDescent="0.3">
      <c r="A73" s="128" t="s">
        <v>27</v>
      </c>
      <c r="B73" s="199" t="str">
        <f>VLOOKUP(A73,'PUR-PARTY MASTER'!$B$6:$J$250,2,FALSE)</f>
        <v>Rinder India Pvt Ltd.</v>
      </c>
      <c r="C73" s="403">
        <v>2701821989</v>
      </c>
      <c r="D73" s="398">
        <v>43138</v>
      </c>
      <c r="E73" s="329">
        <f t="shared" si="13"/>
        <v>25057.536000000004</v>
      </c>
      <c r="F73" s="199" t="str">
        <f>VLOOKUP(A73,'PUR-PARTY MASTER'!$B$6:$J$250,3,FALSE)</f>
        <v>27-Maharashatra</v>
      </c>
      <c r="G73" s="199" t="str">
        <f>VLOOKUP(A73,'PUR-PARTY MASTER'!$B$6:$J$250,4,FALSE)</f>
        <v>N</v>
      </c>
      <c r="H73" s="199" t="str">
        <f>VLOOKUP(A73,'PUR-PARTY MASTER'!$B$6:$J$250,5,FALSE)</f>
        <v>Regular</v>
      </c>
      <c r="I73" s="199">
        <f>VLOOKUP(A73,'PUR-PARTY MASTER'!$B$6:$J$250,6,FALSE)</f>
        <v>0</v>
      </c>
      <c r="J73" s="201">
        <v>18</v>
      </c>
      <c r="K73" s="400">
        <v>21235.200000000001</v>
      </c>
      <c r="L73" s="202">
        <f t="shared" si="14"/>
        <v>0</v>
      </c>
      <c r="M73" s="202">
        <f t="shared" si="15"/>
        <v>1911.1679999999999</v>
      </c>
      <c r="N73" s="202">
        <f t="shared" si="16"/>
        <v>1911.1679999999999</v>
      </c>
      <c r="O73" s="8">
        <v>0</v>
      </c>
      <c r="P73" s="341" t="s">
        <v>177</v>
      </c>
      <c r="Q73" s="329">
        <f t="shared" si="17"/>
        <v>0</v>
      </c>
      <c r="R73" s="329">
        <f t="shared" si="18"/>
        <v>1911.1679999999999</v>
      </c>
      <c r="S73" s="329">
        <f t="shared" si="19"/>
        <v>1911.1679999999999</v>
      </c>
      <c r="T73" s="8">
        <f t="shared" si="20"/>
        <v>0</v>
      </c>
      <c r="U73" s="199">
        <f>VLOOKUP(A73,'PUR-PARTY MASTER'!$B$6:$J$250,7,FALSE)</f>
        <v>2</v>
      </c>
      <c r="V73" s="199" t="str">
        <f>VLOOKUP(A73,'PUR-PARTY MASTER'!$B$6:$J$250,8,FALSE)</f>
        <v>Local Pur</v>
      </c>
      <c r="W73" s="199" t="s">
        <v>894</v>
      </c>
      <c r="X73" s="404">
        <v>85129000</v>
      </c>
      <c r="Y73" s="201" t="str">
        <f>VLOOKUP(X73,'PUR-HSN MASTER'!$A$6:$D$247,2,FALSE)</f>
        <v>Lighting &amp; Fitting</v>
      </c>
      <c r="Z73" s="201" t="str">
        <f>VLOOKUP(X73,'PUR-HSN MASTER'!$A$6:$D$247,3,FALSE)</f>
        <v>NOS-NUMBERS</v>
      </c>
      <c r="AA73" s="334" t="str">
        <f>VLOOKUP(X73,'PUR-HSN MASTER'!$A$6:$D$247,4,FALSE)</f>
        <v>Goods</v>
      </c>
      <c r="AB73" s="401">
        <v>1920</v>
      </c>
    </row>
    <row r="74" spans="1:28" ht="14.4" x14ac:dyDescent="0.3">
      <c r="A74" s="128" t="s">
        <v>339</v>
      </c>
      <c r="B74" s="199" t="str">
        <f>VLOOKUP(A74,'PUR-PARTY MASTER'!$B$6:$J$250,2,FALSE)</f>
        <v>Axalta Coating Systems India Pvt.Ltd,</v>
      </c>
      <c r="C74" s="403">
        <v>7887681618</v>
      </c>
      <c r="D74" s="398">
        <v>43138</v>
      </c>
      <c r="E74" s="329">
        <f t="shared" si="13"/>
        <v>16076.8</v>
      </c>
      <c r="F74" s="199" t="str">
        <f>VLOOKUP(A74,'PUR-PARTY MASTER'!$B$6:$J$250,3,FALSE)</f>
        <v>27-Maharashatra</v>
      </c>
      <c r="G74" s="199" t="str">
        <f>VLOOKUP(A74,'PUR-PARTY MASTER'!$B$6:$J$250,4,FALSE)</f>
        <v>N</v>
      </c>
      <c r="H74" s="199" t="str">
        <f>VLOOKUP(A74,'PUR-PARTY MASTER'!$B$6:$J$250,5,FALSE)</f>
        <v>Regular</v>
      </c>
      <c r="I74" s="199">
        <f>VLOOKUP(A74,'PUR-PARTY MASTER'!$B$6:$J$250,6,FALSE)</f>
        <v>0</v>
      </c>
      <c r="J74" s="201">
        <v>28</v>
      </c>
      <c r="K74" s="400">
        <v>12560</v>
      </c>
      <c r="L74" s="202">
        <f t="shared" si="14"/>
        <v>0</v>
      </c>
      <c r="M74" s="202">
        <f t="shared" si="15"/>
        <v>1758.4</v>
      </c>
      <c r="N74" s="202">
        <f t="shared" si="16"/>
        <v>1758.4</v>
      </c>
      <c r="O74" s="8">
        <v>0</v>
      </c>
      <c r="P74" s="341" t="s">
        <v>177</v>
      </c>
      <c r="Q74" s="329">
        <f t="shared" si="17"/>
        <v>0</v>
      </c>
      <c r="R74" s="329">
        <f t="shared" si="18"/>
        <v>1758.4</v>
      </c>
      <c r="S74" s="329">
        <f t="shared" si="19"/>
        <v>1758.4</v>
      </c>
      <c r="T74" s="8">
        <f t="shared" si="20"/>
        <v>0</v>
      </c>
      <c r="U74" s="199">
        <f>VLOOKUP(A74,'PUR-PARTY MASTER'!$B$6:$J$250,7,FALSE)</f>
        <v>2</v>
      </c>
      <c r="V74" s="199" t="str">
        <f>VLOOKUP(A74,'PUR-PARTY MASTER'!$B$6:$J$250,8,FALSE)</f>
        <v>Local Pur</v>
      </c>
      <c r="W74" s="199" t="s">
        <v>897</v>
      </c>
      <c r="X74" s="404">
        <v>32082090</v>
      </c>
      <c r="Y74" s="201" t="str">
        <f>VLOOKUP(X74,'PUR-HSN MASTER'!$A$6:$D$247,2,FALSE)</f>
        <v>Others ( Paint &amp; Varnishes)</v>
      </c>
      <c r="Z74" s="201" t="str">
        <f>VLOOKUP(X74,'PUR-HSN MASTER'!$A$6:$D$247,3,FALSE)</f>
        <v>KLR-KILOLITRE</v>
      </c>
      <c r="AA74" s="334" t="str">
        <f>VLOOKUP(X74,'PUR-HSN MASTER'!$A$6:$D$247,4,FALSE)</f>
        <v>Goods</v>
      </c>
      <c r="AB74" s="401">
        <v>20</v>
      </c>
    </row>
    <row r="75" spans="1:28" ht="14.4" x14ac:dyDescent="0.3">
      <c r="A75" s="128" t="s">
        <v>24</v>
      </c>
      <c r="B75" s="199" t="str">
        <f>VLOOKUP(A75,'PUR-PARTY MASTER'!$B$6:$J$250,2,FALSE)</f>
        <v>Tata Autocomp Systems LTD.(X1)</v>
      </c>
      <c r="C75" s="403" t="s">
        <v>1377</v>
      </c>
      <c r="D75" s="398">
        <v>43138</v>
      </c>
      <c r="E75" s="329">
        <f t="shared" si="13"/>
        <v>29682.995200000001</v>
      </c>
      <c r="F75" s="199" t="str">
        <f>VLOOKUP(A75,'PUR-PARTY MASTER'!$B$6:$J$250,3,FALSE)</f>
        <v>27-Maharashatra</v>
      </c>
      <c r="G75" s="199" t="str">
        <f>VLOOKUP(A75,'PUR-PARTY MASTER'!$B$6:$J$250,4,FALSE)</f>
        <v>N</v>
      </c>
      <c r="H75" s="199" t="str">
        <f>VLOOKUP(A75,'PUR-PARTY MASTER'!$B$6:$J$250,5,FALSE)</f>
        <v>Regular</v>
      </c>
      <c r="I75" s="199">
        <f>VLOOKUP(A75,'PUR-PARTY MASTER'!$B$6:$J$250,6,FALSE)</f>
        <v>0</v>
      </c>
      <c r="J75" s="201">
        <v>28</v>
      </c>
      <c r="K75" s="400">
        <v>23189.84</v>
      </c>
      <c r="L75" s="202">
        <f t="shared" si="14"/>
        <v>0</v>
      </c>
      <c r="M75" s="202">
        <f t="shared" si="15"/>
        <v>3246.5776000000005</v>
      </c>
      <c r="N75" s="202">
        <f t="shared" si="16"/>
        <v>3246.5776000000005</v>
      </c>
      <c r="O75" s="8">
        <v>0</v>
      </c>
      <c r="P75" s="341" t="s">
        <v>177</v>
      </c>
      <c r="Q75" s="329">
        <f t="shared" si="17"/>
        <v>0</v>
      </c>
      <c r="R75" s="329">
        <f t="shared" si="18"/>
        <v>3246.5776000000005</v>
      </c>
      <c r="S75" s="329">
        <f t="shared" si="19"/>
        <v>3246.5776000000005</v>
      </c>
      <c r="T75" s="8">
        <f t="shared" si="20"/>
        <v>0</v>
      </c>
      <c r="U75" s="199">
        <f>VLOOKUP(A75,'PUR-PARTY MASTER'!$B$6:$J$250,7,FALSE)</f>
        <v>2</v>
      </c>
      <c r="V75" s="199" t="str">
        <f>VLOOKUP(A75,'PUR-PARTY MASTER'!$B$6:$J$250,8,FALSE)</f>
        <v>Local Pur</v>
      </c>
      <c r="W75" s="199" t="s">
        <v>897</v>
      </c>
      <c r="X75" s="404">
        <v>87081090</v>
      </c>
      <c r="Y75" s="201" t="str">
        <f>VLOOKUP(X75,'PUR-HSN MASTER'!$A$6:$D$247,2,FALSE)</f>
        <v>Parts &amp; Accessories Of Motor Vehicles Other</v>
      </c>
      <c r="Z75" s="201" t="str">
        <f>VLOOKUP(X75,'PUR-HSN MASTER'!$A$6:$D$247,3,FALSE)</f>
        <v>NOS-NUMBERS</v>
      </c>
      <c r="AA75" s="334" t="str">
        <f>VLOOKUP(X75,'PUR-HSN MASTER'!$A$6:$D$247,4,FALSE)</f>
        <v>Goods</v>
      </c>
      <c r="AB75" s="401">
        <v>178</v>
      </c>
    </row>
    <row r="76" spans="1:28" ht="14.4" x14ac:dyDescent="0.3">
      <c r="A76" s="128" t="s">
        <v>333</v>
      </c>
      <c r="B76" s="199" t="str">
        <f>VLOOKUP(A76,'PUR-PARTY MASTER'!$B$6:$J$250,2,FALSE)</f>
        <v>Aditya Enteprises</v>
      </c>
      <c r="C76" s="403">
        <v>4589</v>
      </c>
      <c r="D76" s="398">
        <v>43138</v>
      </c>
      <c r="E76" s="329">
        <f t="shared" si="13"/>
        <v>26395.738600000001</v>
      </c>
      <c r="F76" s="199" t="str">
        <f>VLOOKUP(A76,'PUR-PARTY MASTER'!$B$6:$J$250,3,FALSE)</f>
        <v>27-Maharashatra</v>
      </c>
      <c r="G76" s="199" t="str">
        <f>VLOOKUP(A76,'PUR-PARTY MASTER'!$B$6:$J$250,4,FALSE)</f>
        <v>N</v>
      </c>
      <c r="H76" s="199" t="str">
        <f>VLOOKUP(A76,'PUR-PARTY MASTER'!$B$6:$J$250,5,FALSE)</f>
        <v>Regular</v>
      </c>
      <c r="I76" s="199">
        <f>VLOOKUP(A76,'PUR-PARTY MASTER'!$B$6:$J$250,6,FALSE)</f>
        <v>0</v>
      </c>
      <c r="J76" s="201">
        <v>18</v>
      </c>
      <c r="K76" s="400">
        <v>22369.27</v>
      </c>
      <c r="L76" s="202">
        <f t="shared" si="14"/>
        <v>0</v>
      </c>
      <c r="M76" s="202">
        <f t="shared" si="15"/>
        <v>2013.2343000000001</v>
      </c>
      <c r="N76" s="202">
        <f t="shared" si="16"/>
        <v>2013.2343000000001</v>
      </c>
      <c r="O76" s="8">
        <v>0</v>
      </c>
      <c r="P76" s="341" t="s">
        <v>177</v>
      </c>
      <c r="Q76" s="329">
        <f t="shared" si="17"/>
        <v>0</v>
      </c>
      <c r="R76" s="329">
        <f t="shared" si="18"/>
        <v>2013.2343000000001</v>
      </c>
      <c r="S76" s="329">
        <f t="shared" si="19"/>
        <v>2013.2343000000001</v>
      </c>
      <c r="T76" s="8">
        <f t="shared" si="20"/>
        <v>0</v>
      </c>
      <c r="U76" s="199">
        <f>VLOOKUP(A76,'PUR-PARTY MASTER'!$B$6:$J$250,7,FALSE)</f>
        <v>2</v>
      </c>
      <c r="V76" s="199" t="str">
        <f>VLOOKUP(A76,'PUR-PARTY MASTER'!$B$6:$J$250,8,FALSE)</f>
        <v>Local Pur</v>
      </c>
      <c r="W76" s="199" t="s">
        <v>894</v>
      </c>
      <c r="X76" s="404">
        <v>85129000</v>
      </c>
      <c r="Y76" s="201" t="str">
        <f>VLOOKUP(X76,'PUR-HSN MASTER'!$A$6:$D$247,2,FALSE)</f>
        <v>Lighting &amp; Fitting</v>
      </c>
      <c r="Z76" s="201" t="str">
        <f>VLOOKUP(X76,'PUR-HSN MASTER'!$A$6:$D$247,3,FALSE)</f>
        <v>NOS-NUMBERS</v>
      </c>
      <c r="AA76" s="334" t="str">
        <f>VLOOKUP(X76,'PUR-HSN MASTER'!$A$6:$D$247,4,FALSE)</f>
        <v>Goods</v>
      </c>
      <c r="AB76" s="401">
        <v>973</v>
      </c>
    </row>
    <row r="77" spans="1:28" ht="14.4" x14ac:dyDescent="0.3">
      <c r="A77" s="128" t="s">
        <v>335</v>
      </c>
      <c r="B77" s="199" t="str">
        <f>VLOOKUP(A77,'PUR-PARTY MASTER'!$B$6:$J$250,2,FALSE)</f>
        <v>Atharva Polymers Pvt Ltd,</v>
      </c>
      <c r="C77" s="403" t="s">
        <v>1378</v>
      </c>
      <c r="D77" s="398">
        <v>43139</v>
      </c>
      <c r="E77" s="329">
        <f t="shared" si="13"/>
        <v>75758.335999999996</v>
      </c>
      <c r="F77" s="199" t="str">
        <f>VLOOKUP(A77,'PUR-PARTY MASTER'!$B$6:$J$250,3,FALSE)</f>
        <v>27-Maharashatra</v>
      </c>
      <c r="G77" s="199" t="str">
        <f>VLOOKUP(A77,'PUR-PARTY MASTER'!$B$6:$J$250,4,FALSE)</f>
        <v>N</v>
      </c>
      <c r="H77" s="199" t="str">
        <f>VLOOKUP(A77,'PUR-PARTY MASTER'!$B$6:$J$250,5,FALSE)</f>
        <v>Regular</v>
      </c>
      <c r="I77" s="199">
        <f>VLOOKUP(A77,'PUR-PARTY MASTER'!$B$6:$J$250,6,FALSE)</f>
        <v>0</v>
      </c>
      <c r="J77" s="201">
        <v>28</v>
      </c>
      <c r="K77" s="400">
        <f>59040.25+145.95</f>
        <v>59186.2</v>
      </c>
      <c r="L77" s="202">
        <f t="shared" si="14"/>
        <v>0</v>
      </c>
      <c r="M77" s="202">
        <f t="shared" si="15"/>
        <v>8286.0680000000011</v>
      </c>
      <c r="N77" s="202">
        <f t="shared" si="16"/>
        <v>8286.0680000000011</v>
      </c>
      <c r="O77" s="8">
        <v>0</v>
      </c>
      <c r="P77" s="341" t="s">
        <v>177</v>
      </c>
      <c r="Q77" s="329">
        <f t="shared" si="17"/>
        <v>0</v>
      </c>
      <c r="R77" s="329">
        <f t="shared" si="18"/>
        <v>8286.0680000000011</v>
      </c>
      <c r="S77" s="329">
        <f t="shared" si="19"/>
        <v>8286.0680000000011</v>
      </c>
      <c r="T77" s="8">
        <f t="shared" si="20"/>
        <v>0</v>
      </c>
      <c r="U77" s="199">
        <f>VLOOKUP(A77,'PUR-PARTY MASTER'!$B$6:$J$250,7,FALSE)</f>
        <v>2</v>
      </c>
      <c r="V77" s="199" t="str">
        <f>VLOOKUP(A77,'PUR-PARTY MASTER'!$B$6:$J$250,8,FALSE)</f>
        <v>Local Pur</v>
      </c>
      <c r="W77" s="199" t="s">
        <v>897</v>
      </c>
      <c r="X77" s="404">
        <v>87141900</v>
      </c>
      <c r="Y77" s="201" t="str">
        <f>VLOOKUP(X77,'PUR-HSN MASTER'!$A$6:$D$247,2,FALSE)</f>
        <v>Parts &amp; Accessories Of Motor Vehicles Other</v>
      </c>
      <c r="Z77" s="201" t="str">
        <f>VLOOKUP(X77,'PUR-HSN MASTER'!$A$6:$D$247,3,FALSE)</f>
        <v>KLR-KILOLITRE</v>
      </c>
      <c r="AA77" s="334" t="str">
        <f>VLOOKUP(X77,'PUR-HSN MASTER'!$A$6:$D$247,4,FALSE)</f>
        <v>Goods</v>
      </c>
      <c r="AB77" s="401">
        <v>1390</v>
      </c>
    </row>
    <row r="78" spans="1:28" ht="14.4" x14ac:dyDescent="0.3">
      <c r="A78" s="128" t="s">
        <v>23</v>
      </c>
      <c r="B78" s="199" t="str">
        <f>VLOOKUP(A78,'PUR-PARTY MASTER'!$B$6:$J$250,2,FALSE)</f>
        <v>Varroc Polymers Pvt Ltd,</v>
      </c>
      <c r="C78" s="403">
        <v>2041069512</v>
      </c>
      <c r="D78" s="398">
        <v>43139</v>
      </c>
      <c r="E78" s="329">
        <f t="shared" si="13"/>
        <v>36166.3488</v>
      </c>
      <c r="F78" s="199" t="str">
        <f>VLOOKUP(A78,'PUR-PARTY MASTER'!$B$6:$J$250,3,FALSE)</f>
        <v>27-Maharashatra</v>
      </c>
      <c r="G78" s="199" t="str">
        <f>VLOOKUP(A78,'PUR-PARTY MASTER'!$B$6:$J$250,4,FALSE)</f>
        <v>N</v>
      </c>
      <c r="H78" s="199" t="str">
        <f>VLOOKUP(A78,'PUR-PARTY MASTER'!$B$6:$J$250,5,FALSE)</f>
        <v>Regular</v>
      </c>
      <c r="I78" s="199">
        <f>VLOOKUP(A78,'PUR-PARTY MASTER'!$B$6:$J$250,6,FALSE)</f>
        <v>0</v>
      </c>
      <c r="J78" s="201">
        <v>28</v>
      </c>
      <c r="K78" s="400">
        <v>28254.959999999999</v>
      </c>
      <c r="L78" s="202">
        <f t="shared" si="14"/>
        <v>0</v>
      </c>
      <c r="M78" s="202">
        <f t="shared" si="15"/>
        <v>3955.6944000000003</v>
      </c>
      <c r="N78" s="202">
        <f t="shared" si="16"/>
        <v>3955.6944000000003</v>
      </c>
      <c r="O78" s="8">
        <v>0</v>
      </c>
      <c r="P78" s="341" t="s">
        <v>177</v>
      </c>
      <c r="Q78" s="329">
        <f t="shared" si="17"/>
        <v>0</v>
      </c>
      <c r="R78" s="329">
        <f t="shared" si="18"/>
        <v>3955.6944000000003</v>
      </c>
      <c r="S78" s="329">
        <f t="shared" si="19"/>
        <v>3955.6944000000003</v>
      </c>
      <c r="T78" s="8">
        <f t="shared" si="20"/>
        <v>0</v>
      </c>
      <c r="U78" s="199">
        <f>VLOOKUP(A78,'PUR-PARTY MASTER'!$B$6:$J$250,7,FALSE)</f>
        <v>2</v>
      </c>
      <c r="V78" s="199" t="str">
        <f>VLOOKUP(A78,'PUR-PARTY MASTER'!$B$6:$J$250,8,FALSE)</f>
        <v>Local Pur</v>
      </c>
      <c r="W78" s="199" t="s">
        <v>897</v>
      </c>
      <c r="X78" s="404">
        <v>87141090</v>
      </c>
      <c r="Y78" s="201" t="str">
        <f>VLOOKUP(X78,'PUR-HSN MASTER'!$A$6:$D$247,2,FALSE)</f>
        <v>Parts &amp; Accessories Of Motor Vehicles Other</v>
      </c>
      <c r="Z78" s="201" t="str">
        <f>VLOOKUP(X78,'PUR-HSN MASTER'!$A$6:$D$247,3,FALSE)</f>
        <v>NOS-NUMBERS</v>
      </c>
      <c r="AA78" s="334" t="str">
        <f>VLOOKUP(X78,'PUR-HSN MASTER'!$A$6:$D$247,4,FALSE)</f>
        <v>Goods</v>
      </c>
      <c r="AB78" s="401">
        <v>762</v>
      </c>
    </row>
    <row r="79" spans="1:28" ht="14.4" x14ac:dyDescent="0.3">
      <c r="A79" s="128" t="s">
        <v>23</v>
      </c>
      <c r="B79" s="199" t="str">
        <f>VLOOKUP(A79,'PUR-PARTY MASTER'!$B$6:$J$250,2,FALSE)</f>
        <v>Varroc Polymers Pvt Ltd,</v>
      </c>
      <c r="C79" s="403">
        <v>2041069513</v>
      </c>
      <c r="D79" s="398">
        <v>43139</v>
      </c>
      <c r="E79" s="329">
        <f t="shared" si="13"/>
        <v>36166.3488</v>
      </c>
      <c r="F79" s="199" t="str">
        <f>VLOOKUP(A79,'PUR-PARTY MASTER'!$B$6:$J$250,3,FALSE)</f>
        <v>27-Maharashatra</v>
      </c>
      <c r="G79" s="199" t="str">
        <f>VLOOKUP(A79,'PUR-PARTY MASTER'!$B$6:$J$250,4,FALSE)</f>
        <v>N</v>
      </c>
      <c r="H79" s="199" t="str">
        <f>VLOOKUP(A79,'PUR-PARTY MASTER'!$B$6:$J$250,5,FALSE)</f>
        <v>Regular</v>
      </c>
      <c r="I79" s="199">
        <f>VLOOKUP(A79,'PUR-PARTY MASTER'!$B$6:$J$250,6,FALSE)</f>
        <v>0</v>
      </c>
      <c r="J79" s="201">
        <v>28</v>
      </c>
      <c r="K79" s="400">
        <v>28254.959999999999</v>
      </c>
      <c r="L79" s="202">
        <f t="shared" si="14"/>
        <v>0</v>
      </c>
      <c r="M79" s="202">
        <f t="shared" si="15"/>
        <v>3955.6944000000003</v>
      </c>
      <c r="N79" s="202">
        <f t="shared" si="16"/>
        <v>3955.6944000000003</v>
      </c>
      <c r="O79" s="8">
        <v>0</v>
      </c>
      <c r="P79" s="341" t="s">
        <v>177</v>
      </c>
      <c r="Q79" s="329">
        <f t="shared" si="17"/>
        <v>0</v>
      </c>
      <c r="R79" s="329">
        <f t="shared" si="18"/>
        <v>3955.6944000000003</v>
      </c>
      <c r="S79" s="329">
        <f t="shared" si="19"/>
        <v>3955.6944000000003</v>
      </c>
      <c r="T79" s="8">
        <f t="shared" si="20"/>
        <v>0</v>
      </c>
      <c r="U79" s="199">
        <f>VLOOKUP(A79,'PUR-PARTY MASTER'!$B$6:$J$250,7,FALSE)</f>
        <v>2</v>
      </c>
      <c r="V79" s="199" t="str">
        <f>VLOOKUP(A79,'PUR-PARTY MASTER'!$B$6:$J$250,8,FALSE)</f>
        <v>Local Pur</v>
      </c>
      <c r="W79" s="199" t="s">
        <v>897</v>
      </c>
      <c r="X79" s="404">
        <v>87141090</v>
      </c>
      <c r="Y79" s="201" t="str">
        <f>VLOOKUP(X79,'PUR-HSN MASTER'!$A$6:$D$247,2,FALSE)</f>
        <v>Parts &amp; Accessories Of Motor Vehicles Other</v>
      </c>
      <c r="Z79" s="201" t="str">
        <f>VLOOKUP(X79,'PUR-HSN MASTER'!$A$6:$D$247,3,FALSE)</f>
        <v>NOS-NUMBERS</v>
      </c>
      <c r="AA79" s="334" t="str">
        <f>VLOOKUP(X79,'PUR-HSN MASTER'!$A$6:$D$247,4,FALSE)</f>
        <v>Goods</v>
      </c>
      <c r="AB79" s="401">
        <v>762</v>
      </c>
    </row>
    <row r="80" spans="1:28" ht="14.4" x14ac:dyDescent="0.3">
      <c r="A80" s="431" t="s">
        <v>862</v>
      </c>
      <c r="B80" s="199" t="str">
        <f>VLOOKUP(A80,'PUR-PARTY MASTER'!$B$6:$J$250,2,FALSE)</f>
        <v xml:space="preserve">Varroc Engineering Ltd </v>
      </c>
      <c r="C80" s="403">
        <v>2239998354</v>
      </c>
      <c r="D80" s="398">
        <v>43139</v>
      </c>
      <c r="E80" s="329">
        <f t="shared" si="13"/>
        <v>3545.8559999999998</v>
      </c>
      <c r="F80" s="199" t="str">
        <f>VLOOKUP(A80,'PUR-PARTY MASTER'!$B$6:$J$250,3,FALSE)</f>
        <v>27-Maharashatra</v>
      </c>
      <c r="G80" s="199" t="str">
        <f>VLOOKUP(A80,'PUR-PARTY MASTER'!$B$6:$J$250,4,FALSE)</f>
        <v>N</v>
      </c>
      <c r="H80" s="199" t="str">
        <f>VLOOKUP(A80,'PUR-PARTY MASTER'!$B$6:$J$250,5,FALSE)</f>
        <v>Regular</v>
      </c>
      <c r="I80" s="199">
        <f>VLOOKUP(A80,'PUR-PARTY MASTER'!$B$6:$J$250,6,FALSE)</f>
        <v>0</v>
      </c>
      <c r="J80" s="201">
        <v>28</v>
      </c>
      <c r="K80" s="400">
        <v>2770.2</v>
      </c>
      <c r="L80" s="202">
        <f t="shared" si="14"/>
        <v>0</v>
      </c>
      <c r="M80" s="202">
        <f t="shared" si="15"/>
        <v>387.82800000000003</v>
      </c>
      <c r="N80" s="202">
        <f t="shared" si="16"/>
        <v>387.82800000000003</v>
      </c>
      <c r="O80" s="8">
        <v>0</v>
      </c>
      <c r="P80" s="341" t="s">
        <v>177</v>
      </c>
      <c r="Q80" s="329">
        <f t="shared" si="17"/>
        <v>0</v>
      </c>
      <c r="R80" s="329">
        <f t="shared" si="18"/>
        <v>387.82800000000003</v>
      </c>
      <c r="S80" s="329">
        <f t="shared" si="19"/>
        <v>387.82800000000003</v>
      </c>
      <c r="T80" s="8">
        <f t="shared" si="20"/>
        <v>0</v>
      </c>
      <c r="U80" s="199">
        <f>VLOOKUP(A80,'PUR-PARTY MASTER'!$B$6:$J$250,7,FALSE)</f>
        <v>2</v>
      </c>
      <c r="V80" s="199" t="str">
        <f>VLOOKUP(A80,'PUR-PARTY MASTER'!$B$6:$J$250,8,FALSE)</f>
        <v>Local Pur</v>
      </c>
      <c r="W80" s="199" t="s">
        <v>897</v>
      </c>
      <c r="X80" s="404">
        <v>87142090</v>
      </c>
      <c r="Y80" s="201" t="str">
        <f>VLOOKUP(X80,'PUR-HSN MASTER'!$A$6:$D$247,2,FALSE)</f>
        <v>Parts &amp; Accessories Of Motor Vehicles Other</v>
      </c>
      <c r="Z80" s="201" t="str">
        <f>VLOOKUP(X80,'PUR-HSN MASTER'!$A$6:$D$247,3,FALSE)</f>
        <v>NOS-NUMBERS</v>
      </c>
      <c r="AA80" s="334" t="str">
        <f>VLOOKUP(X80,'PUR-HSN MASTER'!$A$6:$D$247,4,FALSE)</f>
        <v>Goods</v>
      </c>
      <c r="AB80" s="401">
        <v>324</v>
      </c>
    </row>
    <row r="81" spans="1:28" ht="14.4" x14ac:dyDescent="0.3">
      <c r="A81" s="431" t="s">
        <v>862</v>
      </c>
      <c r="B81" s="199" t="str">
        <f>VLOOKUP(A81,'PUR-PARTY MASTER'!$B$6:$J$250,2,FALSE)</f>
        <v xml:space="preserve">Varroc Engineering Ltd </v>
      </c>
      <c r="C81" s="403">
        <v>2239998355</v>
      </c>
      <c r="D81" s="398">
        <v>43139</v>
      </c>
      <c r="E81" s="329">
        <f t="shared" si="13"/>
        <v>56428.800000000003</v>
      </c>
      <c r="F81" s="199" t="str">
        <f>VLOOKUP(A81,'PUR-PARTY MASTER'!$B$6:$J$250,3,FALSE)</f>
        <v>27-Maharashatra</v>
      </c>
      <c r="G81" s="199" t="str">
        <f>VLOOKUP(A81,'PUR-PARTY MASTER'!$B$6:$J$250,4,FALSE)</f>
        <v>N</v>
      </c>
      <c r="H81" s="199" t="str">
        <f>VLOOKUP(A81,'PUR-PARTY MASTER'!$B$6:$J$250,5,FALSE)</f>
        <v>Regular</v>
      </c>
      <c r="I81" s="199">
        <f>VLOOKUP(A81,'PUR-PARTY MASTER'!$B$6:$J$250,6,FALSE)</f>
        <v>0</v>
      </c>
      <c r="J81" s="201">
        <v>28</v>
      </c>
      <c r="K81" s="400">
        <v>44085</v>
      </c>
      <c r="L81" s="202">
        <f t="shared" si="14"/>
        <v>0</v>
      </c>
      <c r="M81" s="202">
        <f t="shared" si="15"/>
        <v>6171.9000000000005</v>
      </c>
      <c r="N81" s="202">
        <f t="shared" si="16"/>
        <v>6171.9000000000005</v>
      </c>
      <c r="O81" s="8">
        <v>0</v>
      </c>
      <c r="P81" s="341" t="s">
        <v>177</v>
      </c>
      <c r="Q81" s="329">
        <f t="shared" si="17"/>
        <v>0</v>
      </c>
      <c r="R81" s="329">
        <f t="shared" si="18"/>
        <v>6171.9000000000005</v>
      </c>
      <c r="S81" s="329">
        <f t="shared" si="19"/>
        <v>6171.9000000000005</v>
      </c>
      <c r="T81" s="8">
        <f t="shared" si="20"/>
        <v>0</v>
      </c>
      <c r="U81" s="199">
        <f>VLOOKUP(A81,'PUR-PARTY MASTER'!$B$6:$J$250,7,FALSE)</f>
        <v>2</v>
      </c>
      <c r="V81" s="199" t="str">
        <f>VLOOKUP(A81,'PUR-PARTY MASTER'!$B$6:$J$250,8,FALSE)</f>
        <v>Local Pur</v>
      </c>
      <c r="W81" s="199" t="s">
        <v>897</v>
      </c>
      <c r="X81" s="404">
        <v>87142090</v>
      </c>
      <c r="Y81" s="201" t="str">
        <f>VLOOKUP(X81,'PUR-HSN MASTER'!$A$6:$D$247,2,FALSE)</f>
        <v>Parts &amp; Accessories Of Motor Vehicles Other</v>
      </c>
      <c r="Z81" s="201" t="str">
        <f>VLOOKUP(X81,'PUR-HSN MASTER'!$A$6:$D$247,3,FALSE)</f>
        <v>NOS-NUMBERS</v>
      </c>
      <c r="AA81" s="334" t="str">
        <f>VLOOKUP(X81,'PUR-HSN MASTER'!$A$6:$D$247,4,FALSE)</f>
        <v>Goods</v>
      </c>
      <c r="AB81" s="401">
        <v>1500</v>
      </c>
    </row>
    <row r="82" spans="1:28" ht="14.4" x14ac:dyDescent="0.3">
      <c r="A82" s="128" t="s">
        <v>27</v>
      </c>
      <c r="B82" s="199" t="str">
        <f>VLOOKUP(A82,'PUR-PARTY MASTER'!$B$6:$J$250,2,FALSE)</f>
        <v>Rinder India Pvt Ltd.</v>
      </c>
      <c r="C82" s="403">
        <v>2701822141</v>
      </c>
      <c r="D82" s="398">
        <v>43139</v>
      </c>
      <c r="E82" s="329">
        <f t="shared" si="13"/>
        <v>25057.536000000004</v>
      </c>
      <c r="F82" s="199" t="str">
        <f>VLOOKUP(A82,'PUR-PARTY MASTER'!$B$6:$J$250,3,FALSE)</f>
        <v>27-Maharashatra</v>
      </c>
      <c r="G82" s="199" t="str">
        <f>VLOOKUP(A82,'PUR-PARTY MASTER'!$B$6:$J$250,4,FALSE)</f>
        <v>N</v>
      </c>
      <c r="H82" s="199" t="str">
        <f>VLOOKUP(A82,'PUR-PARTY MASTER'!$B$6:$J$250,5,FALSE)</f>
        <v>Regular</v>
      </c>
      <c r="I82" s="199">
        <f>VLOOKUP(A82,'PUR-PARTY MASTER'!$B$6:$J$250,6,FALSE)</f>
        <v>0</v>
      </c>
      <c r="J82" s="201">
        <v>18</v>
      </c>
      <c r="K82" s="400">
        <v>21235.200000000001</v>
      </c>
      <c r="L82" s="202">
        <f t="shared" si="14"/>
        <v>0</v>
      </c>
      <c r="M82" s="202">
        <f t="shared" si="15"/>
        <v>1911.1679999999999</v>
      </c>
      <c r="N82" s="202">
        <f t="shared" si="16"/>
        <v>1911.1679999999999</v>
      </c>
      <c r="O82" s="8">
        <v>0</v>
      </c>
      <c r="P82" s="341" t="s">
        <v>177</v>
      </c>
      <c r="Q82" s="329">
        <f t="shared" si="17"/>
        <v>0</v>
      </c>
      <c r="R82" s="329">
        <f t="shared" si="18"/>
        <v>1911.1679999999999</v>
      </c>
      <c r="S82" s="329">
        <f t="shared" si="19"/>
        <v>1911.1679999999999</v>
      </c>
      <c r="T82" s="8">
        <f t="shared" si="20"/>
        <v>0</v>
      </c>
      <c r="U82" s="199">
        <f>VLOOKUP(A82,'PUR-PARTY MASTER'!$B$6:$J$250,7,FALSE)</f>
        <v>2</v>
      </c>
      <c r="V82" s="199" t="str">
        <f>VLOOKUP(A82,'PUR-PARTY MASTER'!$B$6:$J$250,8,FALSE)</f>
        <v>Local Pur</v>
      </c>
      <c r="W82" s="199" t="s">
        <v>894</v>
      </c>
      <c r="X82" s="404">
        <v>85129000</v>
      </c>
      <c r="Y82" s="201" t="str">
        <f>VLOOKUP(X82,'PUR-HSN MASTER'!$A$6:$D$247,2,FALSE)</f>
        <v>Lighting &amp; Fitting</v>
      </c>
      <c r="Z82" s="201" t="str">
        <f>VLOOKUP(X82,'PUR-HSN MASTER'!$A$6:$D$247,3,FALSE)</f>
        <v>NOS-NUMBERS</v>
      </c>
      <c r="AA82" s="334" t="str">
        <f>VLOOKUP(X82,'PUR-HSN MASTER'!$A$6:$D$247,4,FALSE)</f>
        <v>Goods</v>
      </c>
      <c r="AB82" s="401">
        <v>1920</v>
      </c>
    </row>
    <row r="83" spans="1:28" ht="14.4" x14ac:dyDescent="0.3">
      <c r="A83" s="128" t="s">
        <v>335</v>
      </c>
      <c r="B83" s="199" t="str">
        <f>VLOOKUP(A83,'PUR-PARTY MASTER'!$B$6:$J$250,2,FALSE)</f>
        <v>Atharva Polymers Pvt Ltd,</v>
      </c>
      <c r="C83" s="403" t="s">
        <v>1379</v>
      </c>
      <c r="D83" s="398">
        <v>43139</v>
      </c>
      <c r="E83" s="329">
        <f t="shared" si="13"/>
        <v>87203.839999999997</v>
      </c>
      <c r="F83" s="199" t="str">
        <f>VLOOKUP(A83,'PUR-PARTY MASTER'!$B$6:$J$250,3,FALSE)</f>
        <v>27-Maharashatra</v>
      </c>
      <c r="G83" s="199" t="str">
        <f>VLOOKUP(A83,'PUR-PARTY MASTER'!$B$6:$J$250,4,FALSE)</f>
        <v>N</v>
      </c>
      <c r="H83" s="199" t="str">
        <f>VLOOKUP(A83,'PUR-PARTY MASTER'!$B$6:$J$250,5,FALSE)</f>
        <v>Regular</v>
      </c>
      <c r="I83" s="199">
        <f>VLOOKUP(A83,'PUR-PARTY MASTER'!$B$6:$J$250,6,FALSE)</f>
        <v>0</v>
      </c>
      <c r="J83" s="201">
        <v>28</v>
      </c>
      <c r="K83" s="400">
        <f>67960+168</f>
        <v>68128</v>
      </c>
      <c r="L83" s="202">
        <f t="shared" si="14"/>
        <v>0</v>
      </c>
      <c r="M83" s="202">
        <f t="shared" si="15"/>
        <v>9537.92</v>
      </c>
      <c r="N83" s="202">
        <f t="shared" si="16"/>
        <v>9537.92</v>
      </c>
      <c r="O83" s="8">
        <v>0</v>
      </c>
      <c r="P83" s="341" t="s">
        <v>177</v>
      </c>
      <c r="Q83" s="329">
        <f t="shared" si="17"/>
        <v>0</v>
      </c>
      <c r="R83" s="329">
        <f t="shared" si="18"/>
        <v>9537.92</v>
      </c>
      <c r="S83" s="329">
        <f t="shared" si="19"/>
        <v>9537.92</v>
      </c>
      <c r="T83" s="8">
        <f t="shared" si="20"/>
        <v>0</v>
      </c>
      <c r="U83" s="199">
        <f>VLOOKUP(A83,'PUR-PARTY MASTER'!$B$6:$J$250,7,FALSE)</f>
        <v>2</v>
      </c>
      <c r="V83" s="199" t="str">
        <f>VLOOKUP(A83,'PUR-PARTY MASTER'!$B$6:$J$250,8,FALSE)</f>
        <v>Local Pur</v>
      </c>
      <c r="W83" s="199" t="s">
        <v>897</v>
      </c>
      <c r="X83" s="404">
        <v>87141900</v>
      </c>
      <c r="Y83" s="201" t="str">
        <f>VLOOKUP(X83,'PUR-HSN MASTER'!$A$6:$D$247,2,FALSE)</f>
        <v>Parts &amp; Accessories Of Motor Vehicles Other</v>
      </c>
      <c r="Z83" s="201" t="str">
        <f>VLOOKUP(X83,'PUR-HSN MASTER'!$A$6:$D$247,3,FALSE)</f>
        <v>KLR-KILOLITRE</v>
      </c>
      <c r="AA83" s="334" t="str">
        <f>VLOOKUP(X83,'PUR-HSN MASTER'!$A$6:$D$247,4,FALSE)</f>
        <v>Goods</v>
      </c>
      <c r="AB83" s="401">
        <v>1600</v>
      </c>
    </row>
    <row r="84" spans="1:28" ht="14.4" x14ac:dyDescent="0.3">
      <c r="A84" s="128" t="s">
        <v>342</v>
      </c>
      <c r="B84" s="199" t="str">
        <f>VLOOKUP(A84,'PUR-PARTY MASTER'!$B$6:$J$250,2,FALSE)</f>
        <v>BASF India Limited</v>
      </c>
      <c r="C84" s="402" t="s">
        <v>1380</v>
      </c>
      <c r="D84" s="398">
        <v>43140</v>
      </c>
      <c r="E84" s="329">
        <f t="shared" si="13"/>
        <v>11918</v>
      </c>
      <c r="F84" s="199" t="str">
        <f>VLOOKUP(A84,'PUR-PARTY MASTER'!$B$6:$J$250,3,FALSE)</f>
        <v>27-Maharashatra</v>
      </c>
      <c r="G84" s="199" t="str">
        <f>VLOOKUP(A84,'PUR-PARTY MASTER'!$B$6:$J$250,4,FALSE)</f>
        <v>N</v>
      </c>
      <c r="H84" s="199" t="str">
        <f>VLOOKUP(A84,'PUR-PARTY MASTER'!$B$6:$J$250,5,FALSE)</f>
        <v>Regular</v>
      </c>
      <c r="I84" s="199">
        <f>VLOOKUP(A84,'PUR-PARTY MASTER'!$B$6:$J$250,6,FALSE)</f>
        <v>0</v>
      </c>
      <c r="J84" s="201">
        <v>18</v>
      </c>
      <c r="K84" s="400">
        <v>10100</v>
      </c>
      <c r="L84" s="202">
        <f t="shared" si="14"/>
        <v>0</v>
      </c>
      <c r="M84" s="202">
        <f t="shared" si="15"/>
        <v>909</v>
      </c>
      <c r="N84" s="202">
        <f t="shared" si="16"/>
        <v>909</v>
      </c>
      <c r="O84" s="8">
        <v>0</v>
      </c>
      <c r="P84" s="341" t="s">
        <v>177</v>
      </c>
      <c r="Q84" s="329">
        <f t="shared" si="17"/>
        <v>0</v>
      </c>
      <c r="R84" s="329">
        <f t="shared" si="18"/>
        <v>909</v>
      </c>
      <c r="S84" s="329">
        <f t="shared" si="19"/>
        <v>909</v>
      </c>
      <c r="T84" s="8">
        <f t="shared" si="20"/>
        <v>0</v>
      </c>
      <c r="U84" s="199">
        <f>VLOOKUP(A84,'PUR-PARTY MASTER'!$B$6:$J$250,7,FALSE)</f>
        <v>2</v>
      </c>
      <c r="V84" s="199" t="str">
        <f>VLOOKUP(A84,'PUR-PARTY MASTER'!$B$6:$J$250,8,FALSE)</f>
        <v>Local Pur</v>
      </c>
      <c r="W84" s="199" t="s">
        <v>894</v>
      </c>
      <c r="X84" s="404">
        <v>38140010</v>
      </c>
      <c r="Y84" s="201" t="str">
        <f>VLOOKUP(X84,'PUR-HSN MASTER'!$A$6:$D$247,2,FALSE)</f>
        <v>Misc Chemical Products Thinner</v>
      </c>
      <c r="Z84" s="201" t="str">
        <f>VLOOKUP(X84,'PUR-HSN MASTER'!$A$6:$D$247,3,FALSE)</f>
        <v>NOS-NUMBERS</v>
      </c>
      <c r="AA84" s="334" t="str">
        <f>VLOOKUP(X84,'PUR-HSN MASTER'!$A$6:$D$247,4,FALSE)</f>
        <v>Goods</v>
      </c>
      <c r="AB84" s="401">
        <v>100</v>
      </c>
    </row>
    <row r="85" spans="1:28" ht="14.4" x14ac:dyDescent="0.3">
      <c r="A85" s="128" t="s">
        <v>335</v>
      </c>
      <c r="B85" s="199" t="str">
        <f>VLOOKUP(A85,'PUR-PARTY MASTER'!$B$6:$J$250,2,FALSE)</f>
        <v>Atharva Polymers Pvt Ltd,</v>
      </c>
      <c r="C85" s="403" t="s">
        <v>1381</v>
      </c>
      <c r="D85" s="398">
        <v>43140</v>
      </c>
      <c r="E85" s="329">
        <f t="shared" si="13"/>
        <v>53687.360000000001</v>
      </c>
      <c r="F85" s="199" t="str">
        <f>VLOOKUP(A85,'PUR-PARTY MASTER'!$B$6:$J$250,3,FALSE)</f>
        <v>27-Maharashatra</v>
      </c>
      <c r="G85" s="199" t="str">
        <f>VLOOKUP(A85,'PUR-PARTY MASTER'!$B$6:$J$250,4,FALSE)</f>
        <v>N</v>
      </c>
      <c r="H85" s="199" t="str">
        <f>VLOOKUP(A85,'PUR-PARTY MASTER'!$B$6:$J$250,5,FALSE)</f>
        <v>Regular</v>
      </c>
      <c r="I85" s="199">
        <f>VLOOKUP(A85,'PUR-PARTY MASTER'!$B$6:$J$250,6,FALSE)</f>
        <v>0</v>
      </c>
      <c r="J85" s="201">
        <v>28</v>
      </c>
      <c r="K85" s="400">
        <f>41839.75+103.5</f>
        <v>41943.25</v>
      </c>
      <c r="L85" s="202">
        <f t="shared" si="14"/>
        <v>0</v>
      </c>
      <c r="M85" s="202">
        <f t="shared" si="15"/>
        <v>5872.0550000000003</v>
      </c>
      <c r="N85" s="202">
        <f t="shared" si="16"/>
        <v>5872.0550000000003</v>
      </c>
      <c r="O85" s="8">
        <v>0</v>
      </c>
      <c r="P85" s="341" t="s">
        <v>177</v>
      </c>
      <c r="Q85" s="329">
        <f t="shared" si="17"/>
        <v>0</v>
      </c>
      <c r="R85" s="329">
        <f t="shared" si="18"/>
        <v>5872.0550000000003</v>
      </c>
      <c r="S85" s="329">
        <f t="shared" si="19"/>
        <v>5872.0550000000003</v>
      </c>
      <c r="T85" s="8">
        <f t="shared" si="20"/>
        <v>0</v>
      </c>
      <c r="U85" s="199">
        <f>VLOOKUP(A85,'PUR-PARTY MASTER'!$B$6:$J$250,7,FALSE)</f>
        <v>2</v>
      </c>
      <c r="V85" s="199" t="str">
        <f>VLOOKUP(A85,'PUR-PARTY MASTER'!$B$6:$J$250,8,FALSE)</f>
        <v>Local Pur</v>
      </c>
      <c r="W85" s="199" t="s">
        <v>897</v>
      </c>
      <c r="X85" s="404">
        <v>87141900</v>
      </c>
      <c r="Y85" s="201" t="str">
        <f>VLOOKUP(X85,'PUR-HSN MASTER'!$A$6:$D$247,2,FALSE)</f>
        <v>Parts &amp; Accessories Of Motor Vehicles Other</v>
      </c>
      <c r="Z85" s="201" t="str">
        <f>VLOOKUP(X85,'PUR-HSN MASTER'!$A$6:$D$247,3,FALSE)</f>
        <v>KLR-KILOLITRE</v>
      </c>
      <c r="AA85" s="334" t="str">
        <f>VLOOKUP(X85,'PUR-HSN MASTER'!$A$6:$D$247,4,FALSE)</f>
        <v>Goods</v>
      </c>
      <c r="AB85" s="401">
        <v>985</v>
      </c>
    </row>
    <row r="86" spans="1:28" ht="14.4" x14ac:dyDescent="0.3">
      <c r="A86" s="128" t="s">
        <v>27</v>
      </c>
      <c r="B86" s="199" t="str">
        <f>VLOOKUP(A86,'PUR-PARTY MASTER'!$B$6:$J$250,2,FALSE)</f>
        <v>Rinder India Pvt Ltd.</v>
      </c>
      <c r="C86" s="403">
        <v>2701822255</v>
      </c>
      <c r="D86" s="398">
        <v>43140</v>
      </c>
      <c r="E86" s="329">
        <f t="shared" si="13"/>
        <v>34454.112000000001</v>
      </c>
      <c r="F86" s="199" t="str">
        <f>VLOOKUP(A86,'PUR-PARTY MASTER'!$B$6:$J$250,3,FALSE)</f>
        <v>27-Maharashatra</v>
      </c>
      <c r="G86" s="199" t="str">
        <f>VLOOKUP(A86,'PUR-PARTY MASTER'!$B$6:$J$250,4,FALSE)</f>
        <v>N</v>
      </c>
      <c r="H86" s="199" t="str">
        <f>VLOOKUP(A86,'PUR-PARTY MASTER'!$B$6:$J$250,5,FALSE)</f>
        <v>Regular</v>
      </c>
      <c r="I86" s="199">
        <f>VLOOKUP(A86,'PUR-PARTY MASTER'!$B$6:$J$250,6,FALSE)</f>
        <v>0</v>
      </c>
      <c r="J86" s="201">
        <v>18</v>
      </c>
      <c r="K86" s="400">
        <v>29198.400000000001</v>
      </c>
      <c r="L86" s="202">
        <f t="shared" si="14"/>
        <v>0</v>
      </c>
      <c r="M86" s="202">
        <f t="shared" si="15"/>
        <v>2627.8560000000002</v>
      </c>
      <c r="N86" s="202">
        <f t="shared" si="16"/>
        <v>2627.8560000000002</v>
      </c>
      <c r="O86" s="8">
        <v>0</v>
      </c>
      <c r="P86" s="341" t="s">
        <v>177</v>
      </c>
      <c r="Q86" s="329">
        <f t="shared" si="17"/>
        <v>0</v>
      </c>
      <c r="R86" s="329">
        <f t="shared" si="18"/>
        <v>2627.8560000000002</v>
      </c>
      <c r="S86" s="329">
        <f t="shared" si="19"/>
        <v>2627.8560000000002</v>
      </c>
      <c r="T86" s="8">
        <f t="shared" si="20"/>
        <v>0</v>
      </c>
      <c r="U86" s="199">
        <f>VLOOKUP(A86,'PUR-PARTY MASTER'!$B$6:$J$250,7,FALSE)</f>
        <v>2</v>
      </c>
      <c r="V86" s="199" t="str">
        <f>VLOOKUP(A86,'PUR-PARTY MASTER'!$B$6:$J$250,8,FALSE)</f>
        <v>Local Pur</v>
      </c>
      <c r="W86" s="199" t="s">
        <v>894</v>
      </c>
      <c r="X86" s="404">
        <v>85129000</v>
      </c>
      <c r="Y86" s="201" t="str">
        <f>VLOOKUP(X86,'PUR-HSN MASTER'!$A$6:$D$247,2,FALSE)</f>
        <v>Lighting &amp; Fitting</v>
      </c>
      <c r="Z86" s="201" t="str">
        <f>VLOOKUP(X86,'PUR-HSN MASTER'!$A$6:$D$247,3,FALSE)</f>
        <v>NOS-NUMBERS</v>
      </c>
      <c r="AA86" s="334" t="str">
        <f>VLOOKUP(X86,'PUR-HSN MASTER'!$A$6:$D$247,4,FALSE)</f>
        <v>Goods</v>
      </c>
      <c r="AB86" s="401">
        <v>2640</v>
      </c>
    </row>
    <row r="87" spans="1:28" ht="14.4" x14ac:dyDescent="0.3">
      <c r="A87" s="128" t="s">
        <v>24</v>
      </c>
      <c r="B87" s="199" t="str">
        <f>VLOOKUP(A87,'PUR-PARTY MASTER'!$B$6:$J$250,2,FALSE)</f>
        <v>Tata Autocomp Systems LTD.(X1)</v>
      </c>
      <c r="C87" s="403" t="s">
        <v>1382</v>
      </c>
      <c r="D87" s="398">
        <v>43140</v>
      </c>
      <c r="E87" s="329">
        <f t="shared" si="13"/>
        <v>7696.3840000000009</v>
      </c>
      <c r="F87" s="199" t="str">
        <f>VLOOKUP(A87,'PUR-PARTY MASTER'!$B$6:$J$250,3,FALSE)</f>
        <v>27-Maharashatra</v>
      </c>
      <c r="G87" s="199" t="str">
        <f>VLOOKUP(A87,'PUR-PARTY MASTER'!$B$6:$J$250,4,FALSE)</f>
        <v>N</v>
      </c>
      <c r="H87" s="199" t="str">
        <f>VLOOKUP(A87,'PUR-PARTY MASTER'!$B$6:$J$250,5,FALSE)</f>
        <v>Regular</v>
      </c>
      <c r="I87" s="199">
        <f>VLOOKUP(A87,'PUR-PARTY MASTER'!$B$6:$J$250,6,FALSE)</f>
        <v>0</v>
      </c>
      <c r="J87" s="201">
        <v>28</v>
      </c>
      <c r="K87" s="400">
        <v>6012.8</v>
      </c>
      <c r="L87" s="202">
        <f t="shared" si="14"/>
        <v>0</v>
      </c>
      <c r="M87" s="202">
        <f t="shared" si="15"/>
        <v>841.79200000000014</v>
      </c>
      <c r="N87" s="202">
        <f t="shared" si="16"/>
        <v>841.79200000000014</v>
      </c>
      <c r="O87" s="8">
        <v>0</v>
      </c>
      <c r="P87" s="341" t="s">
        <v>177</v>
      </c>
      <c r="Q87" s="329">
        <f t="shared" si="17"/>
        <v>0</v>
      </c>
      <c r="R87" s="329">
        <f t="shared" si="18"/>
        <v>841.79200000000014</v>
      </c>
      <c r="S87" s="329">
        <f t="shared" si="19"/>
        <v>841.79200000000014</v>
      </c>
      <c r="T87" s="8">
        <f t="shared" si="20"/>
        <v>0</v>
      </c>
      <c r="U87" s="199">
        <f>VLOOKUP(A87,'PUR-PARTY MASTER'!$B$6:$J$250,7,FALSE)</f>
        <v>2</v>
      </c>
      <c r="V87" s="199" t="str">
        <f>VLOOKUP(A87,'PUR-PARTY MASTER'!$B$6:$J$250,8,FALSE)</f>
        <v>Local Pur</v>
      </c>
      <c r="W87" s="199" t="s">
        <v>897</v>
      </c>
      <c r="X87" s="404">
        <v>87089900</v>
      </c>
      <c r="Y87" s="201" t="str">
        <f>VLOOKUP(X87,'PUR-HSN MASTER'!$A$6:$D$247,2,FALSE)</f>
        <v>Parts &amp; Accessories Of Motor Vehicles Other</v>
      </c>
      <c r="Z87" s="201" t="str">
        <f>VLOOKUP(X87,'PUR-HSN MASTER'!$A$6:$D$247,3,FALSE)</f>
        <v>NOS-NUMBERS</v>
      </c>
      <c r="AA87" s="334" t="str">
        <f>VLOOKUP(X87,'PUR-HSN MASTER'!$A$6:$D$247,4,FALSE)</f>
        <v>Goods</v>
      </c>
      <c r="AB87" s="401">
        <v>40</v>
      </c>
    </row>
    <row r="88" spans="1:28" ht="14.4" x14ac:dyDescent="0.3">
      <c r="A88" s="128" t="s">
        <v>24</v>
      </c>
      <c r="B88" s="199" t="str">
        <f>VLOOKUP(A88,'PUR-PARTY MASTER'!$B$6:$J$250,2,FALSE)</f>
        <v>Tata Autocomp Systems LTD.(X1)</v>
      </c>
      <c r="C88" s="403" t="s">
        <v>1382</v>
      </c>
      <c r="D88" s="398">
        <v>43140</v>
      </c>
      <c r="E88" s="329">
        <f t="shared" si="13"/>
        <v>8003.5839999999998</v>
      </c>
      <c r="F88" s="199" t="str">
        <f>VLOOKUP(A88,'PUR-PARTY MASTER'!$B$6:$J$250,3,FALSE)</f>
        <v>27-Maharashatra</v>
      </c>
      <c r="G88" s="199" t="str">
        <f>VLOOKUP(A88,'PUR-PARTY MASTER'!$B$6:$J$250,4,FALSE)</f>
        <v>N</v>
      </c>
      <c r="H88" s="199" t="str">
        <f>VLOOKUP(A88,'PUR-PARTY MASTER'!$B$6:$J$250,5,FALSE)</f>
        <v>Regular</v>
      </c>
      <c r="I88" s="199">
        <f>VLOOKUP(A88,'PUR-PARTY MASTER'!$B$6:$J$250,6,FALSE)</f>
        <v>0</v>
      </c>
      <c r="J88" s="201">
        <v>28</v>
      </c>
      <c r="K88" s="400">
        <v>6252.8</v>
      </c>
      <c r="L88" s="202">
        <f t="shared" si="14"/>
        <v>0</v>
      </c>
      <c r="M88" s="202">
        <f t="shared" si="15"/>
        <v>875.39200000000005</v>
      </c>
      <c r="N88" s="202">
        <f t="shared" si="16"/>
        <v>875.39200000000005</v>
      </c>
      <c r="O88" s="8">
        <v>0</v>
      </c>
      <c r="P88" s="341" t="s">
        <v>177</v>
      </c>
      <c r="Q88" s="329">
        <f t="shared" si="17"/>
        <v>0</v>
      </c>
      <c r="R88" s="329">
        <f t="shared" si="18"/>
        <v>875.39200000000005</v>
      </c>
      <c r="S88" s="329">
        <f t="shared" si="19"/>
        <v>875.39200000000005</v>
      </c>
      <c r="T88" s="8">
        <f t="shared" si="20"/>
        <v>0</v>
      </c>
      <c r="U88" s="199">
        <f>VLOOKUP(A88,'PUR-PARTY MASTER'!$B$6:$J$250,7,FALSE)</f>
        <v>2</v>
      </c>
      <c r="V88" s="199" t="str">
        <f>VLOOKUP(A88,'PUR-PARTY MASTER'!$B$6:$J$250,8,FALSE)</f>
        <v>Local Pur</v>
      </c>
      <c r="W88" s="199" t="s">
        <v>897</v>
      </c>
      <c r="X88" s="404">
        <v>87082900</v>
      </c>
      <c r="Y88" s="201" t="str">
        <f>VLOOKUP(X88,'PUR-HSN MASTER'!$A$6:$D$247,2,FALSE)</f>
        <v>Parts &amp; Accessories Of Motor Vehicles Other</v>
      </c>
      <c r="Z88" s="201" t="str">
        <f>VLOOKUP(X88,'PUR-HSN MASTER'!$A$6:$D$247,3,FALSE)</f>
        <v>NOS-NUMBERS</v>
      </c>
      <c r="AA88" s="334" t="str">
        <f>VLOOKUP(X88,'PUR-HSN MASTER'!$A$6:$D$247,4,FALSE)</f>
        <v>Goods</v>
      </c>
      <c r="AB88" s="401">
        <v>40</v>
      </c>
    </row>
    <row r="89" spans="1:28" ht="14.4" x14ac:dyDescent="0.3">
      <c r="A89" s="128" t="s">
        <v>37</v>
      </c>
      <c r="B89" s="199" t="str">
        <f>VLOOKUP(A89,'PUR-PARTY MASTER'!$B$6:$J$250,2,FALSE)</f>
        <v>Tech-Force Composites Pvt,Ltd.,(Indore)</v>
      </c>
      <c r="C89" s="403">
        <v>17632641</v>
      </c>
      <c r="D89" s="398">
        <v>43139</v>
      </c>
      <c r="E89" s="329">
        <f t="shared" si="13"/>
        <v>18287.846399999999</v>
      </c>
      <c r="F89" s="199" t="str">
        <f>VLOOKUP(A89,'PUR-PARTY MASTER'!$B$6:$J$250,3,FALSE)</f>
        <v>23-Madhya Pradesh</v>
      </c>
      <c r="G89" s="199" t="str">
        <f>VLOOKUP(A89,'PUR-PARTY MASTER'!$B$6:$J$250,4,FALSE)</f>
        <v>N</v>
      </c>
      <c r="H89" s="199" t="str">
        <f>VLOOKUP(A89,'PUR-PARTY MASTER'!$B$6:$J$250,5,FALSE)</f>
        <v>Regular</v>
      </c>
      <c r="I89" s="199">
        <f>VLOOKUP(A89,'PUR-PARTY MASTER'!$B$6:$J$250,6,FALSE)</f>
        <v>0</v>
      </c>
      <c r="J89" s="201">
        <v>28</v>
      </c>
      <c r="K89" s="400">
        <v>14287.38</v>
      </c>
      <c r="L89" s="202">
        <f t="shared" si="14"/>
        <v>4000.4663999999993</v>
      </c>
      <c r="M89" s="202">
        <f t="shared" si="15"/>
        <v>0</v>
      </c>
      <c r="N89" s="202">
        <f t="shared" si="16"/>
        <v>0</v>
      </c>
      <c r="O89" s="8">
        <v>0</v>
      </c>
      <c r="P89" s="341" t="s">
        <v>177</v>
      </c>
      <c r="Q89" s="329">
        <f t="shared" si="17"/>
        <v>4000.4663999999993</v>
      </c>
      <c r="R89" s="329">
        <f t="shared" si="18"/>
        <v>0</v>
      </c>
      <c r="S89" s="329">
        <f t="shared" si="19"/>
        <v>0</v>
      </c>
      <c r="T89" s="8">
        <f t="shared" si="20"/>
        <v>0</v>
      </c>
      <c r="U89" s="199">
        <f>VLOOKUP(A89,'PUR-PARTY MASTER'!$B$6:$J$250,7,FALSE)</f>
        <v>2</v>
      </c>
      <c r="V89" s="199" t="str">
        <f>VLOOKUP(A89,'PUR-PARTY MASTER'!$B$6:$J$250,8,FALSE)</f>
        <v>Oms Pur</v>
      </c>
      <c r="W89" s="199" t="s">
        <v>903</v>
      </c>
      <c r="X89" s="404">
        <v>87081090</v>
      </c>
      <c r="Y89" s="201" t="str">
        <f>VLOOKUP(X89,'PUR-HSN MASTER'!$A$6:$D$247,2,FALSE)</f>
        <v>Parts &amp; Accessories Of Motor Vehicles Other</v>
      </c>
      <c r="Z89" s="201" t="str">
        <f>VLOOKUP(X89,'PUR-HSN MASTER'!$A$6:$D$247,3,FALSE)</f>
        <v>NOS-NUMBERS</v>
      </c>
      <c r="AA89" s="334" t="str">
        <f>VLOOKUP(X89,'PUR-HSN MASTER'!$A$6:$D$247,4,FALSE)</f>
        <v>Goods</v>
      </c>
      <c r="AB89" s="401">
        <v>24</v>
      </c>
    </row>
    <row r="90" spans="1:28" ht="14.4" x14ac:dyDescent="0.3">
      <c r="A90" s="128" t="s">
        <v>23</v>
      </c>
      <c r="B90" s="199" t="str">
        <f>VLOOKUP(A90,'PUR-PARTY MASTER'!$B$6:$J$250,2,FALSE)</f>
        <v>Varroc Polymers Pvt Ltd,</v>
      </c>
      <c r="C90" s="403">
        <v>2041070423</v>
      </c>
      <c r="D90" s="398">
        <v>43141</v>
      </c>
      <c r="E90" s="329">
        <f t="shared" si="13"/>
        <v>17470.464</v>
      </c>
      <c r="F90" s="199" t="str">
        <f>VLOOKUP(A90,'PUR-PARTY MASTER'!$B$6:$J$250,3,FALSE)</f>
        <v>27-Maharashatra</v>
      </c>
      <c r="G90" s="199" t="str">
        <f>VLOOKUP(A90,'PUR-PARTY MASTER'!$B$6:$J$250,4,FALSE)</f>
        <v>N</v>
      </c>
      <c r="H90" s="199" t="str">
        <f>VLOOKUP(A90,'PUR-PARTY MASTER'!$B$6:$J$250,5,FALSE)</f>
        <v>Regular</v>
      </c>
      <c r="I90" s="199">
        <f>VLOOKUP(A90,'PUR-PARTY MASTER'!$B$6:$J$250,6,FALSE)</f>
        <v>0</v>
      </c>
      <c r="J90" s="201">
        <v>28</v>
      </c>
      <c r="K90" s="400">
        <v>13648.8</v>
      </c>
      <c r="L90" s="202">
        <f t="shared" si="14"/>
        <v>0</v>
      </c>
      <c r="M90" s="202">
        <f t="shared" si="15"/>
        <v>1910.8320000000001</v>
      </c>
      <c r="N90" s="202">
        <f t="shared" si="16"/>
        <v>1910.8320000000001</v>
      </c>
      <c r="O90" s="8">
        <v>0</v>
      </c>
      <c r="P90" s="341" t="s">
        <v>177</v>
      </c>
      <c r="Q90" s="329">
        <f t="shared" si="17"/>
        <v>0</v>
      </c>
      <c r="R90" s="329">
        <f t="shared" si="18"/>
        <v>1910.8320000000001</v>
      </c>
      <c r="S90" s="329">
        <f t="shared" si="19"/>
        <v>1910.8320000000001</v>
      </c>
      <c r="T90" s="8">
        <f t="shared" si="20"/>
        <v>0</v>
      </c>
      <c r="U90" s="199">
        <f>VLOOKUP(A90,'PUR-PARTY MASTER'!$B$6:$J$250,7,FALSE)</f>
        <v>2</v>
      </c>
      <c r="V90" s="199" t="str">
        <f>VLOOKUP(A90,'PUR-PARTY MASTER'!$B$6:$J$250,8,FALSE)</f>
        <v>Local Pur</v>
      </c>
      <c r="W90" s="199" t="s">
        <v>897</v>
      </c>
      <c r="X90" s="404">
        <v>87141090</v>
      </c>
      <c r="Y90" s="201" t="str">
        <f>VLOOKUP(X90,'PUR-HSN MASTER'!$A$6:$D$247,2,FALSE)</f>
        <v>Parts &amp; Accessories Of Motor Vehicles Other</v>
      </c>
      <c r="Z90" s="201" t="str">
        <f>VLOOKUP(X90,'PUR-HSN MASTER'!$A$6:$D$247,3,FALSE)</f>
        <v>NOS-NUMBERS</v>
      </c>
      <c r="AA90" s="334" t="str">
        <f>VLOOKUP(X90,'PUR-HSN MASTER'!$A$6:$D$247,4,FALSE)</f>
        <v>Goods</v>
      </c>
      <c r="AB90" s="401">
        <v>660</v>
      </c>
    </row>
    <row r="91" spans="1:28" ht="14.4" x14ac:dyDescent="0.3">
      <c r="A91" s="128" t="s">
        <v>23</v>
      </c>
      <c r="B91" s="199" t="str">
        <f>VLOOKUP(A91,'PUR-PARTY MASTER'!$B$6:$J$250,2,FALSE)</f>
        <v>Varroc Polymers Pvt Ltd,</v>
      </c>
      <c r="C91" s="403">
        <v>2041070424</v>
      </c>
      <c r="D91" s="398">
        <v>43141</v>
      </c>
      <c r="E91" s="329">
        <f t="shared" si="13"/>
        <v>17470.464</v>
      </c>
      <c r="F91" s="199" t="str">
        <f>VLOOKUP(A91,'PUR-PARTY MASTER'!$B$6:$J$250,3,FALSE)</f>
        <v>27-Maharashatra</v>
      </c>
      <c r="G91" s="199" t="str">
        <f>VLOOKUP(A91,'PUR-PARTY MASTER'!$B$6:$J$250,4,FALSE)</f>
        <v>N</v>
      </c>
      <c r="H91" s="199" t="str">
        <f>VLOOKUP(A91,'PUR-PARTY MASTER'!$B$6:$J$250,5,FALSE)</f>
        <v>Regular</v>
      </c>
      <c r="I91" s="199">
        <f>VLOOKUP(A91,'PUR-PARTY MASTER'!$B$6:$J$250,6,FALSE)</f>
        <v>0</v>
      </c>
      <c r="J91" s="201">
        <v>28</v>
      </c>
      <c r="K91" s="400">
        <v>13648.8</v>
      </c>
      <c r="L91" s="202">
        <f t="shared" si="14"/>
        <v>0</v>
      </c>
      <c r="M91" s="202">
        <f t="shared" si="15"/>
        <v>1910.8320000000001</v>
      </c>
      <c r="N91" s="202">
        <f t="shared" si="16"/>
        <v>1910.8320000000001</v>
      </c>
      <c r="O91" s="8">
        <v>0</v>
      </c>
      <c r="P91" s="341" t="s">
        <v>177</v>
      </c>
      <c r="Q91" s="329">
        <f t="shared" si="17"/>
        <v>0</v>
      </c>
      <c r="R91" s="329">
        <f t="shared" si="18"/>
        <v>1910.8320000000001</v>
      </c>
      <c r="S91" s="329">
        <f t="shared" si="19"/>
        <v>1910.8320000000001</v>
      </c>
      <c r="T91" s="8">
        <f t="shared" si="20"/>
        <v>0</v>
      </c>
      <c r="U91" s="199">
        <f>VLOOKUP(A91,'PUR-PARTY MASTER'!$B$6:$J$250,7,FALSE)</f>
        <v>2</v>
      </c>
      <c r="V91" s="199" t="str">
        <f>VLOOKUP(A91,'PUR-PARTY MASTER'!$B$6:$J$250,8,FALSE)</f>
        <v>Local Pur</v>
      </c>
      <c r="W91" s="199" t="s">
        <v>897</v>
      </c>
      <c r="X91" s="404">
        <v>87141090</v>
      </c>
      <c r="Y91" s="201" t="str">
        <f>VLOOKUP(X91,'PUR-HSN MASTER'!$A$6:$D$247,2,FALSE)</f>
        <v>Parts &amp; Accessories Of Motor Vehicles Other</v>
      </c>
      <c r="Z91" s="201" t="str">
        <f>VLOOKUP(X91,'PUR-HSN MASTER'!$A$6:$D$247,3,FALSE)</f>
        <v>NOS-NUMBERS</v>
      </c>
      <c r="AA91" s="334" t="str">
        <f>VLOOKUP(X91,'PUR-HSN MASTER'!$A$6:$D$247,4,FALSE)</f>
        <v>Goods</v>
      </c>
      <c r="AB91" s="401">
        <v>660</v>
      </c>
    </row>
    <row r="92" spans="1:28" ht="14.4" x14ac:dyDescent="0.3">
      <c r="A92" s="431" t="s">
        <v>862</v>
      </c>
      <c r="B92" s="199" t="str">
        <f>VLOOKUP(A92,'PUR-PARTY MASTER'!$B$6:$J$250,2,FALSE)</f>
        <v xml:space="preserve">Varroc Engineering Ltd </v>
      </c>
      <c r="C92" s="403">
        <v>2041</v>
      </c>
      <c r="D92" s="398">
        <v>43141</v>
      </c>
      <c r="E92" s="329">
        <f t="shared" si="13"/>
        <v>31600.127999999997</v>
      </c>
      <c r="F92" s="199" t="str">
        <f>VLOOKUP(A92,'PUR-PARTY MASTER'!$B$6:$J$250,3,FALSE)</f>
        <v>27-Maharashatra</v>
      </c>
      <c r="G92" s="199" t="str">
        <f>VLOOKUP(A92,'PUR-PARTY MASTER'!$B$6:$J$250,4,FALSE)</f>
        <v>N</v>
      </c>
      <c r="H92" s="199" t="str">
        <f>VLOOKUP(A92,'PUR-PARTY MASTER'!$B$6:$J$250,5,FALSE)</f>
        <v>Regular</v>
      </c>
      <c r="I92" s="199">
        <f>VLOOKUP(A92,'PUR-PARTY MASTER'!$B$6:$J$250,6,FALSE)</f>
        <v>0</v>
      </c>
      <c r="J92" s="201">
        <v>28</v>
      </c>
      <c r="K92" s="400">
        <v>24687.599999999999</v>
      </c>
      <c r="L92" s="202">
        <f t="shared" si="14"/>
        <v>0</v>
      </c>
      <c r="M92" s="202">
        <f t="shared" si="15"/>
        <v>3456.2640000000001</v>
      </c>
      <c r="N92" s="202">
        <f t="shared" si="16"/>
        <v>3456.2640000000001</v>
      </c>
      <c r="O92" s="8">
        <v>0</v>
      </c>
      <c r="P92" s="341" t="s">
        <v>177</v>
      </c>
      <c r="Q92" s="329">
        <f t="shared" si="17"/>
        <v>0</v>
      </c>
      <c r="R92" s="329">
        <f t="shared" si="18"/>
        <v>3456.2640000000001</v>
      </c>
      <c r="S92" s="329">
        <f t="shared" si="19"/>
        <v>3456.2640000000001</v>
      </c>
      <c r="T92" s="8">
        <f t="shared" si="20"/>
        <v>0</v>
      </c>
      <c r="U92" s="199">
        <f>VLOOKUP(A92,'PUR-PARTY MASTER'!$B$6:$J$250,7,FALSE)</f>
        <v>2</v>
      </c>
      <c r="V92" s="199" t="str">
        <f>VLOOKUP(A92,'PUR-PARTY MASTER'!$B$6:$J$250,8,FALSE)</f>
        <v>Local Pur</v>
      </c>
      <c r="W92" s="199" t="s">
        <v>897</v>
      </c>
      <c r="X92" s="404">
        <v>87142090</v>
      </c>
      <c r="Y92" s="201" t="str">
        <f>VLOOKUP(X92,'PUR-HSN MASTER'!$A$6:$D$247,2,FALSE)</f>
        <v>Parts &amp; Accessories Of Motor Vehicles Other</v>
      </c>
      <c r="Z92" s="201" t="str">
        <f>VLOOKUP(X92,'PUR-HSN MASTER'!$A$6:$D$247,3,FALSE)</f>
        <v>NOS-NUMBERS</v>
      </c>
      <c r="AA92" s="334" t="str">
        <f>VLOOKUP(X92,'PUR-HSN MASTER'!$A$6:$D$247,4,FALSE)</f>
        <v>Goods</v>
      </c>
      <c r="AB92" s="401">
        <v>840</v>
      </c>
    </row>
    <row r="93" spans="1:28" ht="14.4" x14ac:dyDescent="0.3">
      <c r="A93" s="128" t="s">
        <v>24</v>
      </c>
      <c r="B93" s="199" t="str">
        <f>VLOOKUP(A93,'PUR-PARTY MASTER'!$B$6:$J$250,2,FALSE)</f>
        <v>Tata Autocomp Systems LTD.(X1)</v>
      </c>
      <c r="C93" s="403" t="s">
        <v>1383</v>
      </c>
      <c r="D93" s="398">
        <v>43141</v>
      </c>
      <c r="E93" s="329">
        <f t="shared" si="13"/>
        <v>16675.84</v>
      </c>
      <c r="F93" s="199" t="str">
        <f>VLOOKUP(A93,'PUR-PARTY MASTER'!$B$6:$J$250,3,FALSE)</f>
        <v>27-Maharashatra</v>
      </c>
      <c r="G93" s="199" t="str">
        <f>VLOOKUP(A93,'PUR-PARTY MASTER'!$B$6:$J$250,4,FALSE)</f>
        <v>N</v>
      </c>
      <c r="H93" s="199" t="str">
        <f>VLOOKUP(A93,'PUR-PARTY MASTER'!$B$6:$J$250,5,FALSE)</f>
        <v>Regular</v>
      </c>
      <c r="I93" s="199">
        <f>VLOOKUP(A93,'PUR-PARTY MASTER'!$B$6:$J$250,6,FALSE)</f>
        <v>0</v>
      </c>
      <c r="J93" s="201">
        <v>28</v>
      </c>
      <c r="K93" s="400">
        <v>13028</v>
      </c>
      <c r="L93" s="202">
        <f t="shared" si="14"/>
        <v>0</v>
      </c>
      <c r="M93" s="202">
        <f t="shared" si="15"/>
        <v>1823.92</v>
      </c>
      <c r="N93" s="202">
        <f t="shared" si="16"/>
        <v>1823.92</v>
      </c>
      <c r="O93" s="8">
        <v>0</v>
      </c>
      <c r="P93" s="341" t="s">
        <v>177</v>
      </c>
      <c r="Q93" s="329">
        <f t="shared" si="17"/>
        <v>0</v>
      </c>
      <c r="R93" s="329">
        <f t="shared" si="18"/>
        <v>1823.92</v>
      </c>
      <c r="S93" s="329">
        <f t="shared" si="19"/>
        <v>1823.92</v>
      </c>
      <c r="T93" s="8">
        <f t="shared" si="20"/>
        <v>0</v>
      </c>
      <c r="U93" s="199">
        <f>VLOOKUP(A93,'PUR-PARTY MASTER'!$B$6:$J$250,7,FALSE)</f>
        <v>2</v>
      </c>
      <c r="V93" s="199" t="str">
        <f>VLOOKUP(A93,'PUR-PARTY MASTER'!$B$6:$J$250,8,FALSE)</f>
        <v>Local Pur</v>
      </c>
      <c r="W93" s="199" t="s">
        <v>897</v>
      </c>
      <c r="X93" s="404">
        <v>87081090</v>
      </c>
      <c r="Y93" s="201" t="str">
        <f>VLOOKUP(X93,'PUR-HSN MASTER'!$A$6:$D$247,2,FALSE)</f>
        <v>Parts &amp; Accessories Of Motor Vehicles Other</v>
      </c>
      <c r="Z93" s="201" t="str">
        <f>VLOOKUP(X93,'PUR-HSN MASTER'!$A$6:$D$247,3,FALSE)</f>
        <v>NOS-NUMBERS</v>
      </c>
      <c r="AA93" s="334" t="str">
        <f>VLOOKUP(X93,'PUR-HSN MASTER'!$A$6:$D$247,4,FALSE)</f>
        <v>Goods</v>
      </c>
      <c r="AB93" s="401">
        <v>100</v>
      </c>
    </row>
    <row r="94" spans="1:28" ht="14.4" x14ac:dyDescent="0.3">
      <c r="A94" s="128" t="s">
        <v>335</v>
      </c>
      <c r="B94" s="199" t="str">
        <f>VLOOKUP(A94,'PUR-PARTY MASTER'!$B$6:$J$250,2,FALSE)</f>
        <v>Atharva Polymers Pvt Ltd,</v>
      </c>
      <c r="C94" s="403" t="s">
        <v>1384</v>
      </c>
      <c r="D94" s="398">
        <v>43141</v>
      </c>
      <c r="E94" s="329">
        <f t="shared" si="13"/>
        <v>54502.399999999994</v>
      </c>
      <c r="F94" s="199" t="str">
        <f>VLOOKUP(A94,'PUR-PARTY MASTER'!$B$6:$J$250,3,FALSE)</f>
        <v>27-Maharashatra</v>
      </c>
      <c r="G94" s="199" t="str">
        <f>VLOOKUP(A94,'PUR-PARTY MASTER'!$B$6:$J$250,4,FALSE)</f>
        <v>N</v>
      </c>
      <c r="H94" s="199" t="str">
        <f>VLOOKUP(A94,'PUR-PARTY MASTER'!$B$6:$J$250,5,FALSE)</f>
        <v>Regular</v>
      </c>
      <c r="I94" s="199">
        <f>VLOOKUP(A94,'PUR-PARTY MASTER'!$B$6:$J$250,6,FALSE)</f>
        <v>0</v>
      </c>
      <c r="J94" s="201">
        <v>28</v>
      </c>
      <c r="K94" s="400">
        <f>42475+105</f>
        <v>42580</v>
      </c>
      <c r="L94" s="202">
        <f t="shared" si="14"/>
        <v>0</v>
      </c>
      <c r="M94" s="202">
        <f t="shared" si="15"/>
        <v>5961.2000000000007</v>
      </c>
      <c r="N94" s="202">
        <f t="shared" si="16"/>
        <v>5961.2000000000007</v>
      </c>
      <c r="O94" s="8">
        <v>0</v>
      </c>
      <c r="P94" s="341" t="s">
        <v>177</v>
      </c>
      <c r="Q94" s="329">
        <f t="shared" si="17"/>
        <v>0</v>
      </c>
      <c r="R94" s="329">
        <f t="shared" si="18"/>
        <v>5961.2000000000007</v>
      </c>
      <c r="S94" s="329">
        <f t="shared" si="19"/>
        <v>5961.2000000000007</v>
      </c>
      <c r="T94" s="8">
        <f t="shared" si="20"/>
        <v>0</v>
      </c>
      <c r="U94" s="199">
        <f>VLOOKUP(A94,'PUR-PARTY MASTER'!$B$6:$J$250,7,FALSE)</f>
        <v>2</v>
      </c>
      <c r="V94" s="199" t="str">
        <f>VLOOKUP(A94,'PUR-PARTY MASTER'!$B$6:$J$250,8,FALSE)</f>
        <v>Local Pur</v>
      </c>
      <c r="W94" s="199" t="s">
        <v>897</v>
      </c>
      <c r="X94" s="404">
        <v>87141900</v>
      </c>
      <c r="Y94" s="201" t="str">
        <f>VLOOKUP(X94,'PUR-HSN MASTER'!$A$6:$D$247,2,FALSE)</f>
        <v>Parts &amp; Accessories Of Motor Vehicles Other</v>
      </c>
      <c r="Z94" s="201" t="str">
        <f>VLOOKUP(X94,'PUR-HSN MASTER'!$A$6:$D$247,3,FALSE)</f>
        <v>KLR-KILOLITRE</v>
      </c>
      <c r="AA94" s="334" t="str">
        <f>VLOOKUP(X94,'PUR-HSN MASTER'!$A$6:$D$247,4,FALSE)</f>
        <v>Goods</v>
      </c>
      <c r="AB94" s="401">
        <v>1000</v>
      </c>
    </row>
    <row r="95" spans="1:28" ht="14.4" x14ac:dyDescent="0.3">
      <c r="A95" s="128" t="s">
        <v>872</v>
      </c>
      <c r="B95" s="199" t="str">
        <f>VLOOKUP(A95,'PUR-PARTY MASTER'!$B$6:$J$250,2,FALSE)</f>
        <v>Industrial Trading Company</v>
      </c>
      <c r="C95" s="403">
        <v>5359</v>
      </c>
      <c r="D95" s="398">
        <v>43138</v>
      </c>
      <c r="E95" s="329">
        <f t="shared" si="13"/>
        <v>14944.7</v>
      </c>
      <c r="F95" s="199" t="str">
        <f>VLOOKUP(A95,'PUR-PARTY MASTER'!$B$6:$J$250,3,FALSE)</f>
        <v>27-Maharashatra</v>
      </c>
      <c r="G95" s="199" t="str">
        <f>VLOOKUP(A95,'PUR-PARTY MASTER'!$B$6:$J$250,4,FALSE)</f>
        <v>N</v>
      </c>
      <c r="H95" s="199" t="str">
        <f>VLOOKUP(A95,'PUR-PARTY MASTER'!$B$6:$J$250,5,FALSE)</f>
        <v>Regular</v>
      </c>
      <c r="I95" s="199">
        <f>VLOOKUP(A95,'PUR-PARTY MASTER'!$B$6:$J$250,6,FALSE)</f>
        <v>0</v>
      </c>
      <c r="J95" s="201">
        <v>18</v>
      </c>
      <c r="K95" s="400">
        <v>12665</v>
      </c>
      <c r="L95" s="202">
        <f t="shared" si="14"/>
        <v>0</v>
      </c>
      <c r="M95" s="202">
        <f t="shared" si="15"/>
        <v>1139.8499999999999</v>
      </c>
      <c r="N95" s="202">
        <f t="shared" si="16"/>
        <v>1139.8499999999999</v>
      </c>
      <c r="O95" s="8">
        <v>0</v>
      </c>
      <c r="P95" s="341" t="s">
        <v>177</v>
      </c>
      <c r="Q95" s="329">
        <f t="shared" si="17"/>
        <v>0</v>
      </c>
      <c r="R95" s="329">
        <f t="shared" si="18"/>
        <v>1139.8499999999999</v>
      </c>
      <c r="S95" s="329">
        <f t="shared" si="19"/>
        <v>1139.8499999999999</v>
      </c>
      <c r="T95" s="8">
        <f t="shared" si="20"/>
        <v>0</v>
      </c>
      <c r="U95" s="199">
        <f>VLOOKUP(A95,'PUR-PARTY MASTER'!$B$6:$J$250,7,FALSE)</f>
        <v>2</v>
      </c>
      <c r="V95" s="199" t="str">
        <f>VLOOKUP(A95,'PUR-PARTY MASTER'!$B$6:$J$250,8,FALSE)</f>
        <v>Local Pur</v>
      </c>
      <c r="W95" s="199" t="s">
        <v>894</v>
      </c>
      <c r="X95" s="404">
        <v>84242000</v>
      </c>
      <c r="Y95" s="201" t="str">
        <f>VLOOKUP(X95,'PUR-HSN MASTER'!$A$6:$D$247,2,FALSE)</f>
        <v>Parts &amp; Accessories Of Motor Vehicles Other</v>
      </c>
      <c r="Z95" s="201" t="str">
        <f>VLOOKUP(X95,'PUR-HSN MASTER'!$A$6:$D$247,3,FALSE)</f>
        <v>NOS-NUMBERS</v>
      </c>
      <c r="AA95" s="334" t="str">
        <f>VLOOKUP(X95,'PUR-HSN MASTER'!$A$6:$D$247,4,FALSE)</f>
        <v>Goods</v>
      </c>
      <c r="AB95" s="401">
        <v>1</v>
      </c>
    </row>
    <row r="96" spans="1:28" ht="14.4" x14ac:dyDescent="0.3">
      <c r="A96" s="128" t="s">
        <v>377</v>
      </c>
      <c r="B96" s="199" t="str">
        <f>VLOOKUP(A96,'PUR-PARTY MASTER'!$B$6:$J$250,2,FALSE)</f>
        <v>Akzo Noble India Limited</v>
      </c>
      <c r="C96" s="403" t="s">
        <v>1385</v>
      </c>
      <c r="D96" s="398">
        <v>43141</v>
      </c>
      <c r="E96" s="329">
        <f t="shared" si="13"/>
        <v>5033.8799999999992</v>
      </c>
      <c r="F96" s="199" t="str">
        <f>VLOOKUP(A96,'PUR-PARTY MASTER'!$B$6:$J$250,3,FALSE)</f>
        <v>27-Maharashatra</v>
      </c>
      <c r="G96" s="199" t="str">
        <f>VLOOKUP(A96,'PUR-PARTY MASTER'!$B$6:$J$250,4,FALSE)</f>
        <v>N</v>
      </c>
      <c r="H96" s="199" t="str">
        <f>VLOOKUP(A96,'PUR-PARTY MASTER'!$B$6:$J$250,5,FALSE)</f>
        <v>Regular</v>
      </c>
      <c r="I96" s="199">
        <f>VLOOKUP(A96,'PUR-PARTY MASTER'!$B$6:$J$250,6,FALSE)</f>
        <v>0</v>
      </c>
      <c r="J96" s="201">
        <v>18</v>
      </c>
      <c r="K96" s="400">
        <v>4266</v>
      </c>
      <c r="L96" s="202">
        <f t="shared" si="14"/>
        <v>0</v>
      </c>
      <c r="M96" s="202">
        <f t="shared" si="15"/>
        <v>383.94</v>
      </c>
      <c r="N96" s="202">
        <f t="shared" si="16"/>
        <v>383.94</v>
      </c>
      <c r="O96" s="8">
        <v>0</v>
      </c>
      <c r="P96" s="341" t="s">
        <v>177</v>
      </c>
      <c r="Q96" s="329">
        <f t="shared" si="17"/>
        <v>0</v>
      </c>
      <c r="R96" s="329">
        <f t="shared" si="18"/>
        <v>383.94</v>
      </c>
      <c r="S96" s="329">
        <f t="shared" si="19"/>
        <v>383.94</v>
      </c>
      <c r="T96" s="8">
        <f t="shared" si="20"/>
        <v>0</v>
      </c>
      <c r="U96" s="199">
        <f>VLOOKUP(A96,'PUR-PARTY MASTER'!$B$6:$J$250,7,FALSE)</f>
        <v>2</v>
      </c>
      <c r="V96" s="199" t="str">
        <f>VLOOKUP(A96,'PUR-PARTY MASTER'!$B$6:$J$250,8,FALSE)</f>
        <v>Local Pur</v>
      </c>
      <c r="W96" s="199" t="s">
        <v>894</v>
      </c>
      <c r="X96" s="404">
        <v>3824</v>
      </c>
      <c r="Y96" s="201" t="str">
        <f>VLOOKUP(X96,'PUR-HSN MASTER'!$A$6:$D$247,2,FALSE)</f>
        <v>chemical products and </v>
      </c>
      <c r="Z96" s="201" t="str">
        <f>VLOOKUP(X96,'PUR-HSN MASTER'!$A$6:$D$247,3,FALSE)</f>
        <v>NOS-NUMBERS</v>
      </c>
      <c r="AA96" s="334" t="str">
        <f>VLOOKUP(X96,'PUR-HSN MASTER'!$A$6:$D$247,4,FALSE)</f>
        <v>Goods</v>
      </c>
      <c r="AB96" s="401">
        <v>6</v>
      </c>
    </row>
    <row r="97" spans="1:28" ht="14.4" x14ac:dyDescent="0.3">
      <c r="A97" s="128" t="s">
        <v>377</v>
      </c>
      <c r="B97" s="199" t="str">
        <f>VLOOKUP(A97,'PUR-PARTY MASTER'!$B$6:$J$250,2,FALSE)</f>
        <v>Akzo Noble India Limited</v>
      </c>
      <c r="C97" s="403" t="s">
        <v>1386</v>
      </c>
      <c r="D97" s="398">
        <v>43141</v>
      </c>
      <c r="E97" s="329">
        <f t="shared" si="13"/>
        <v>34560</v>
      </c>
      <c r="F97" s="199" t="str">
        <f>VLOOKUP(A97,'PUR-PARTY MASTER'!$B$6:$J$250,3,FALSE)</f>
        <v>27-Maharashatra</v>
      </c>
      <c r="G97" s="199" t="str">
        <f>VLOOKUP(A97,'PUR-PARTY MASTER'!$B$6:$J$250,4,FALSE)</f>
        <v>N</v>
      </c>
      <c r="H97" s="199" t="str">
        <f>VLOOKUP(A97,'PUR-PARTY MASTER'!$B$6:$J$250,5,FALSE)</f>
        <v>Regular</v>
      </c>
      <c r="I97" s="199">
        <f>VLOOKUP(A97,'PUR-PARTY MASTER'!$B$6:$J$250,6,FALSE)</f>
        <v>0</v>
      </c>
      <c r="J97" s="201">
        <v>28</v>
      </c>
      <c r="K97" s="400">
        <v>27000</v>
      </c>
      <c r="L97" s="202">
        <f t="shared" si="14"/>
        <v>0</v>
      </c>
      <c r="M97" s="202">
        <f t="shared" si="15"/>
        <v>3780.0000000000005</v>
      </c>
      <c r="N97" s="202">
        <f t="shared" si="16"/>
        <v>3780.0000000000005</v>
      </c>
      <c r="O97" s="8">
        <v>0</v>
      </c>
      <c r="P97" s="341" t="s">
        <v>177</v>
      </c>
      <c r="Q97" s="329">
        <f t="shared" si="17"/>
        <v>0</v>
      </c>
      <c r="R97" s="329">
        <f t="shared" si="18"/>
        <v>3780.0000000000005</v>
      </c>
      <c r="S97" s="329">
        <f t="shared" si="19"/>
        <v>3780.0000000000005</v>
      </c>
      <c r="T97" s="8">
        <f t="shared" si="20"/>
        <v>0</v>
      </c>
      <c r="U97" s="199">
        <f>VLOOKUP(A97,'PUR-PARTY MASTER'!$B$6:$J$250,7,FALSE)</f>
        <v>2</v>
      </c>
      <c r="V97" s="199" t="str">
        <f>VLOOKUP(A97,'PUR-PARTY MASTER'!$B$6:$J$250,8,FALSE)</f>
        <v>Local Pur</v>
      </c>
      <c r="W97" s="199" t="s">
        <v>897</v>
      </c>
      <c r="X97" s="404">
        <v>3907</v>
      </c>
      <c r="Y97" s="201" t="str">
        <f>VLOOKUP(X97,'PUR-HSN MASTER'!$A$6:$D$247,2,FALSE)</f>
        <v>OTHERS ( PAINT &amp; VARNISHES)</v>
      </c>
      <c r="Z97" s="201" t="str">
        <f>VLOOKUP(X97,'PUR-HSN MASTER'!$A$6:$D$247,3,FALSE)</f>
        <v>NOS-NUMBERS</v>
      </c>
      <c r="AA97" s="334" t="str">
        <f>VLOOKUP(X97,'PUR-HSN MASTER'!$A$6:$D$247,4,FALSE)</f>
        <v>Goods</v>
      </c>
      <c r="AB97" s="401">
        <v>36</v>
      </c>
    </row>
    <row r="98" spans="1:28" ht="14.4" x14ac:dyDescent="0.3">
      <c r="A98" s="128" t="s">
        <v>335</v>
      </c>
      <c r="B98" s="199" t="str">
        <f>VLOOKUP(A98,'PUR-PARTY MASTER'!$B$6:$J$250,2,FALSE)</f>
        <v>Atharva Polymers Pvt Ltd,</v>
      </c>
      <c r="C98" s="403" t="s">
        <v>1387</v>
      </c>
      <c r="D98" s="398">
        <v>43142</v>
      </c>
      <c r="E98" s="329">
        <f t="shared" si="13"/>
        <v>54502.399999999994</v>
      </c>
      <c r="F98" s="199" t="str">
        <f>VLOOKUP(A98,'PUR-PARTY MASTER'!$B$6:$J$250,3,FALSE)</f>
        <v>27-Maharashatra</v>
      </c>
      <c r="G98" s="199" t="str">
        <f>VLOOKUP(A98,'PUR-PARTY MASTER'!$B$6:$J$250,4,FALSE)</f>
        <v>N</v>
      </c>
      <c r="H98" s="199" t="str">
        <f>VLOOKUP(A98,'PUR-PARTY MASTER'!$B$6:$J$250,5,FALSE)</f>
        <v>Regular</v>
      </c>
      <c r="I98" s="199">
        <f>VLOOKUP(A98,'PUR-PARTY MASTER'!$B$6:$J$250,6,FALSE)</f>
        <v>0</v>
      </c>
      <c r="J98" s="201">
        <v>28</v>
      </c>
      <c r="K98" s="400">
        <f>42475+105</f>
        <v>42580</v>
      </c>
      <c r="L98" s="202">
        <f t="shared" si="14"/>
        <v>0</v>
      </c>
      <c r="M98" s="202">
        <f t="shared" si="15"/>
        <v>5961.2000000000007</v>
      </c>
      <c r="N98" s="202">
        <f t="shared" si="16"/>
        <v>5961.2000000000007</v>
      </c>
      <c r="O98" s="8">
        <v>0</v>
      </c>
      <c r="P98" s="341" t="s">
        <v>177</v>
      </c>
      <c r="Q98" s="329">
        <f t="shared" si="17"/>
        <v>0</v>
      </c>
      <c r="R98" s="329">
        <f t="shared" si="18"/>
        <v>5961.2000000000007</v>
      </c>
      <c r="S98" s="329">
        <f t="shared" si="19"/>
        <v>5961.2000000000007</v>
      </c>
      <c r="T98" s="8">
        <f t="shared" si="20"/>
        <v>0</v>
      </c>
      <c r="U98" s="199">
        <f>VLOOKUP(A98,'PUR-PARTY MASTER'!$B$6:$J$250,7,FALSE)</f>
        <v>2</v>
      </c>
      <c r="V98" s="199" t="str">
        <f>VLOOKUP(A98,'PUR-PARTY MASTER'!$B$6:$J$250,8,FALSE)</f>
        <v>Local Pur</v>
      </c>
      <c r="W98" s="199" t="s">
        <v>897</v>
      </c>
      <c r="X98" s="404">
        <v>87141900</v>
      </c>
      <c r="Y98" s="201" t="str">
        <f>VLOOKUP(X98,'PUR-HSN MASTER'!$A$6:$D$247,2,FALSE)</f>
        <v>Parts &amp; Accessories Of Motor Vehicles Other</v>
      </c>
      <c r="Z98" s="201" t="str">
        <f>VLOOKUP(X98,'PUR-HSN MASTER'!$A$6:$D$247,3,FALSE)</f>
        <v>KLR-KILOLITRE</v>
      </c>
      <c r="AA98" s="334" t="str">
        <f>VLOOKUP(X98,'PUR-HSN MASTER'!$A$6:$D$247,4,FALSE)</f>
        <v>Goods</v>
      </c>
      <c r="AB98" s="401">
        <v>1000</v>
      </c>
    </row>
    <row r="99" spans="1:28" ht="14.4" x14ac:dyDescent="0.3">
      <c r="A99" s="128" t="s">
        <v>335</v>
      </c>
      <c r="B99" s="199" t="str">
        <f>VLOOKUP(A99,'PUR-PARTY MASTER'!$B$6:$J$250,2,FALSE)</f>
        <v>Atharva Polymers Pvt Ltd,</v>
      </c>
      <c r="C99" s="403" t="s">
        <v>1388</v>
      </c>
      <c r="D99" s="398">
        <v>43142</v>
      </c>
      <c r="E99" s="329">
        <f t="shared" si="13"/>
        <v>12768.96</v>
      </c>
      <c r="F99" s="199" t="str">
        <f>VLOOKUP(A99,'PUR-PARTY MASTER'!$B$6:$J$250,3,FALSE)</f>
        <v>27-Maharashatra</v>
      </c>
      <c r="G99" s="199" t="str">
        <f>VLOOKUP(A99,'PUR-PARTY MASTER'!$B$6:$J$250,4,FALSE)</f>
        <v>N</v>
      </c>
      <c r="H99" s="199" t="str">
        <f>VLOOKUP(A99,'PUR-PARTY MASTER'!$B$6:$J$250,5,FALSE)</f>
        <v>Regular</v>
      </c>
      <c r="I99" s="199">
        <f>VLOOKUP(A99,'PUR-PARTY MASTER'!$B$6:$J$250,6,FALSE)</f>
        <v>0</v>
      </c>
      <c r="J99" s="201">
        <v>28</v>
      </c>
      <c r="K99" s="400">
        <f>9952.25+23.5</f>
        <v>9975.75</v>
      </c>
      <c r="L99" s="202">
        <f t="shared" si="14"/>
        <v>0</v>
      </c>
      <c r="M99" s="202">
        <f t="shared" si="15"/>
        <v>1396.6050000000002</v>
      </c>
      <c r="N99" s="202">
        <f t="shared" si="16"/>
        <v>1396.6050000000002</v>
      </c>
      <c r="O99" s="8">
        <v>0</v>
      </c>
      <c r="P99" s="341" t="s">
        <v>177</v>
      </c>
      <c r="Q99" s="329">
        <f t="shared" si="17"/>
        <v>0</v>
      </c>
      <c r="R99" s="329">
        <f t="shared" si="18"/>
        <v>1396.6050000000002</v>
      </c>
      <c r="S99" s="329">
        <f t="shared" si="19"/>
        <v>1396.6050000000002</v>
      </c>
      <c r="T99" s="8">
        <f t="shared" si="20"/>
        <v>0</v>
      </c>
      <c r="U99" s="199">
        <f>VLOOKUP(A99,'PUR-PARTY MASTER'!$B$6:$J$250,7,FALSE)</f>
        <v>2</v>
      </c>
      <c r="V99" s="199" t="str">
        <f>VLOOKUP(A99,'PUR-PARTY MASTER'!$B$6:$J$250,8,FALSE)</f>
        <v>Local Pur</v>
      </c>
      <c r="W99" s="199" t="s">
        <v>897</v>
      </c>
      <c r="X99" s="404">
        <v>87141900</v>
      </c>
      <c r="Y99" s="201" t="str">
        <f>VLOOKUP(X99,'PUR-HSN MASTER'!$A$6:$D$247,2,FALSE)</f>
        <v>Parts &amp; Accessories Of Motor Vehicles Other</v>
      </c>
      <c r="Z99" s="201" t="str">
        <f>VLOOKUP(X99,'PUR-HSN MASTER'!$A$6:$D$247,3,FALSE)</f>
        <v>KLR-KILOLITRE</v>
      </c>
      <c r="AA99" s="334" t="str">
        <f>VLOOKUP(X99,'PUR-HSN MASTER'!$A$6:$D$247,4,FALSE)</f>
        <v>Goods</v>
      </c>
      <c r="AB99" s="401">
        <v>235</v>
      </c>
    </row>
    <row r="100" spans="1:28" ht="14.4" x14ac:dyDescent="0.3">
      <c r="A100" s="128" t="s">
        <v>335</v>
      </c>
      <c r="B100" s="199" t="str">
        <f>VLOOKUP(A100,'PUR-PARTY MASTER'!$B$6:$J$250,2,FALSE)</f>
        <v>Atharva Polymers Pvt Ltd,</v>
      </c>
      <c r="C100" s="403" t="s">
        <v>1389</v>
      </c>
      <c r="D100" s="398">
        <v>43142</v>
      </c>
      <c r="E100" s="329">
        <f t="shared" si="13"/>
        <v>28427.776000000002</v>
      </c>
      <c r="F100" s="199" t="str">
        <f>VLOOKUP(A100,'PUR-PARTY MASTER'!$B$6:$J$250,3,FALSE)</f>
        <v>27-Maharashatra</v>
      </c>
      <c r="G100" s="199" t="str">
        <f>VLOOKUP(A100,'PUR-PARTY MASTER'!$B$6:$J$250,4,FALSE)</f>
        <v>N</v>
      </c>
      <c r="H100" s="199" t="str">
        <f>VLOOKUP(A100,'PUR-PARTY MASTER'!$B$6:$J$250,5,FALSE)</f>
        <v>Regular</v>
      </c>
      <c r="I100" s="199">
        <f>VLOOKUP(A100,'PUR-PARTY MASTER'!$B$6:$J$250,6,FALSE)</f>
        <v>0</v>
      </c>
      <c r="J100" s="201">
        <v>28</v>
      </c>
      <c r="K100" s="400">
        <f>22152+57.2</f>
        <v>22209.200000000001</v>
      </c>
      <c r="L100" s="202">
        <f t="shared" si="14"/>
        <v>0</v>
      </c>
      <c r="M100" s="202">
        <f t="shared" si="15"/>
        <v>3109.2880000000005</v>
      </c>
      <c r="N100" s="202">
        <f t="shared" si="16"/>
        <v>3109.2880000000005</v>
      </c>
      <c r="O100" s="8">
        <v>0</v>
      </c>
      <c r="P100" s="341" t="s">
        <v>177</v>
      </c>
      <c r="Q100" s="329">
        <f t="shared" si="17"/>
        <v>0</v>
      </c>
      <c r="R100" s="329">
        <f t="shared" si="18"/>
        <v>3109.2880000000005</v>
      </c>
      <c r="S100" s="329">
        <f t="shared" si="19"/>
        <v>3109.2880000000005</v>
      </c>
      <c r="T100" s="8">
        <f t="shared" si="20"/>
        <v>0</v>
      </c>
      <c r="U100" s="199">
        <f>VLOOKUP(A100,'PUR-PARTY MASTER'!$B$6:$J$250,7,FALSE)</f>
        <v>2</v>
      </c>
      <c r="V100" s="199" t="str">
        <f>VLOOKUP(A100,'PUR-PARTY MASTER'!$B$6:$J$250,8,FALSE)</f>
        <v>Local Pur</v>
      </c>
      <c r="W100" s="199" t="s">
        <v>897</v>
      </c>
      <c r="X100" s="404">
        <v>87141900</v>
      </c>
      <c r="Y100" s="201" t="str">
        <f>VLOOKUP(X100,'PUR-HSN MASTER'!$A$6:$D$247,2,FALSE)</f>
        <v>Parts &amp; Accessories Of Motor Vehicles Other</v>
      </c>
      <c r="Z100" s="201" t="str">
        <f>VLOOKUP(X100,'PUR-HSN MASTER'!$A$6:$D$247,3,FALSE)</f>
        <v>KLR-KILOLITRE</v>
      </c>
      <c r="AA100" s="334" t="str">
        <f>VLOOKUP(X100,'PUR-HSN MASTER'!$A$6:$D$247,4,FALSE)</f>
        <v>Goods</v>
      </c>
      <c r="AB100" s="401">
        <v>520</v>
      </c>
    </row>
    <row r="101" spans="1:28" ht="14.4" x14ac:dyDescent="0.3">
      <c r="A101" s="128" t="s">
        <v>379</v>
      </c>
      <c r="B101" s="199" t="str">
        <f>VLOOKUP(A101,'PUR-PARTY MASTER'!$B$6:$J$250,2,FALSE)</f>
        <v>Allwell Products</v>
      </c>
      <c r="C101" s="403" t="s">
        <v>1390</v>
      </c>
      <c r="D101" s="398">
        <v>43142</v>
      </c>
      <c r="E101" s="329">
        <f t="shared" si="13"/>
        <v>230100</v>
      </c>
      <c r="F101" s="199" t="str">
        <f>VLOOKUP(A101,'PUR-PARTY MASTER'!$B$6:$J$250,3,FALSE)</f>
        <v>27-Maharashatra</v>
      </c>
      <c r="G101" s="199" t="str">
        <f>VLOOKUP(A101,'PUR-PARTY MASTER'!$B$6:$J$250,4,FALSE)</f>
        <v>N</v>
      </c>
      <c r="H101" s="199" t="str">
        <f>VLOOKUP(A101,'PUR-PARTY MASTER'!$B$6:$J$250,5,FALSE)</f>
        <v>Regular</v>
      </c>
      <c r="I101" s="199">
        <f>VLOOKUP(A101,'PUR-PARTY MASTER'!$B$6:$J$250,6,FALSE)</f>
        <v>0</v>
      </c>
      <c r="J101" s="201">
        <v>18</v>
      </c>
      <c r="K101" s="400">
        <v>195000</v>
      </c>
      <c r="L101" s="202">
        <f t="shared" si="14"/>
        <v>0</v>
      </c>
      <c r="M101" s="202">
        <f t="shared" si="15"/>
        <v>17550</v>
      </c>
      <c r="N101" s="202">
        <f t="shared" si="16"/>
        <v>17550</v>
      </c>
      <c r="O101" s="8">
        <v>0</v>
      </c>
      <c r="P101" s="341" t="s">
        <v>177</v>
      </c>
      <c r="Q101" s="329">
        <f t="shared" si="17"/>
        <v>0</v>
      </c>
      <c r="R101" s="329">
        <f t="shared" si="18"/>
        <v>17550</v>
      </c>
      <c r="S101" s="329">
        <f t="shared" si="19"/>
        <v>17550</v>
      </c>
      <c r="T101" s="8">
        <f t="shared" si="20"/>
        <v>0</v>
      </c>
      <c r="U101" s="199">
        <f>VLOOKUP(A101,'PUR-PARTY MASTER'!$B$6:$J$250,7,FALSE)</f>
        <v>2</v>
      </c>
      <c r="V101" s="199" t="str">
        <f>VLOOKUP(A101,'PUR-PARTY MASTER'!$B$6:$J$250,8,FALSE)</f>
        <v>Local Pur</v>
      </c>
      <c r="W101" s="199" t="s">
        <v>894</v>
      </c>
      <c r="X101" s="404">
        <v>8466300</v>
      </c>
      <c r="Y101" s="201" t="str">
        <f>VLOOKUP(X101,'PUR-HSN MASTER'!$A$6:$D$247,2,FALSE)</f>
        <v>Allwell Skid</v>
      </c>
      <c r="Z101" s="201" t="str">
        <f>VLOOKUP(X101,'PUR-HSN MASTER'!$A$6:$D$247,3,FALSE)</f>
        <v>NOS-NUMBERS</v>
      </c>
      <c r="AA101" s="334" t="str">
        <f>VLOOKUP(X101,'PUR-HSN MASTER'!$A$6:$D$247,4,FALSE)</f>
        <v>Goods</v>
      </c>
      <c r="AB101" s="401">
        <v>50</v>
      </c>
    </row>
    <row r="102" spans="1:28" ht="14.4" x14ac:dyDescent="0.3">
      <c r="A102" s="128" t="s">
        <v>379</v>
      </c>
      <c r="B102" s="199" t="str">
        <f>VLOOKUP(A102,'PUR-PARTY MASTER'!$B$6:$J$250,2,FALSE)</f>
        <v>Allwell Products</v>
      </c>
      <c r="C102" s="403" t="s">
        <v>1391</v>
      </c>
      <c r="D102" s="398">
        <v>43142</v>
      </c>
      <c r="E102" s="329">
        <f t="shared" si="13"/>
        <v>3540</v>
      </c>
      <c r="F102" s="199" t="str">
        <f>VLOOKUP(A102,'PUR-PARTY MASTER'!$B$6:$J$250,3,FALSE)</f>
        <v>27-Maharashatra</v>
      </c>
      <c r="G102" s="199" t="str">
        <f>VLOOKUP(A102,'PUR-PARTY MASTER'!$B$6:$J$250,4,FALSE)</f>
        <v>N</v>
      </c>
      <c r="H102" s="199" t="str">
        <f>VLOOKUP(A102,'PUR-PARTY MASTER'!$B$6:$J$250,5,FALSE)</f>
        <v>Regular</v>
      </c>
      <c r="I102" s="199">
        <f>VLOOKUP(A102,'PUR-PARTY MASTER'!$B$6:$J$250,6,FALSE)</f>
        <v>0</v>
      </c>
      <c r="J102" s="201">
        <v>18</v>
      </c>
      <c r="K102" s="400">
        <v>3000</v>
      </c>
      <c r="L102" s="202">
        <f t="shared" si="14"/>
        <v>0</v>
      </c>
      <c r="M102" s="202">
        <f t="shared" si="15"/>
        <v>270</v>
      </c>
      <c r="N102" s="202">
        <f t="shared" si="16"/>
        <v>270</v>
      </c>
      <c r="O102" s="8">
        <v>0</v>
      </c>
      <c r="P102" s="341" t="s">
        <v>177</v>
      </c>
      <c r="Q102" s="329">
        <f t="shared" si="17"/>
        <v>0</v>
      </c>
      <c r="R102" s="329">
        <f t="shared" si="18"/>
        <v>270</v>
      </c>
      <c r="S102" s="329">
        <f t="shared" si="19"/>
        <v>270</v>
      </c>
      <c r="T102" s="8">
        <f t="shared" si="20"/>
        <v>0</v>
      </c>
      <c r="U102" s="199">
        <f>VLOOKUP(A102,'PUR-PARTY MASTER'!$B$6:$J$250,7,FALSE)</f>
        <v>2</v>
      </c>
      <c r="V102" s="199" t="str">
        <f>VLOOKUP(A102,'PUR-PARTY MASTER'!$B$6:$J$250,8,FALSE)</f>
        <v>Local Pur</v>
      </c>
      <c r="W102" s="199" t="s">
        <v>894</v>
      </c>
      <c r="X102" s="404">
        <v>84663020</v>
      </c>
      <c r="Y102" s="201" t="str">
        <f>VLOOKUP(X102,'PUR-HSN MASTER'!$A$6:$D$247,2,FALSE)</f>
        <v>Mast Double Pipe Mod1</v>
      </c>
      <c r="Z102" s="201" t="str">
        <f>VLOOKUP(X102,'PUR-HSN MASTER'!$A$6:$D$247,3,FALSE)</f>
        <v>NOS-NUMBERS</v>
      </c>
      <c r="AA102" s="334" t="str">
        <f>VLOOKUP(X102,'PUR-HSN MASTER'!$A$6:$D$247,4,FALSE)</f>
        <v>Goods</v>
      </c>
      <c r="AB102" s="401">
        <v>2</v>
      </c>
    </row>
    <row r="103" spans="1:28" ht="14.4" x14ac:dyDescent="0.3">
      <c r="A103" s="128" t="s">
        <v>878</v>
      </c>
      <c r="B103" s="199" t="str">
        <f>VLOOKUP(A103,'PUR-PARTY MASTER'!$B$6:$J$250,2,FALSE)</f>
        <v>Swan Electricals</v>
      </c>
      <c r="C103" s="403">
        <v>273</v>
      </c>
      <c r="D103" s="398">
        <v>43143</v>
      </c>
      <c r="E103" s="329">
        <f t="shared" si="13"/>
        <v>37699.199999999997</v>
      </c>
      <c r="F103" s="199" t="str">
        <f>VLOOKUP(A103,'PUR-PARTY MASTER'!$B$6:$J$250,3,FALSE)</f>
        <v>27-Maharashatra</v>
      </c>
      <c r="G103" s="199" t="str">
        <f>VLOOKUP(A103,'PUR-PARTY MASTER'!$B$6:$J$250,4,FALSE)</f>
        <v>N</v>
      </c>
      <c r="H103" s="199" t="str">
        <f>VLOOKUP(A103,'PUR-PARTY MASTER'!$B$6:$J$250,5,FALSE)</f>
        <v>Regular</v>
      </c>
      <c r="I103" s="199">
        <f>VLOOKUP(A103,'PUR-PARTY MASTER'!$B$6:$J$250,6,FALSE)</f>
        <v>0</v>
      </c>
      <c r="J103" s="201">
        <v>12</v>
      </c>
      <c r="K103" s="400">
        <v>33660</v>
      </c>
      <c r="L103" s="202">
        <f t="shared" si="14"/>
        <v>0</v>
      </c>
      <c r="M103" s="202">
        <f t="shared" si="15"/>
        <v>2019.6</v>
      </c>
      <c r="N103" s="202">
        <f t="shared" si="16"/>
        <v>2019.6</v>
      </c>
      <c r="O103" s="8">
        <v>0</v>
      </c>
      <c r="P103" s="341" t="s">
        <v>177</v>
      </c>
      <c r="Q103" s="329">
        <f t="shared" si="17"/>
        <v>0</v>
      </c>
      <c r="R103" s="329">
        <f t="shared" si="18"/>
        <v>2019.6</v>
      </c>
      <c r="S103" s="329">
        <f t="shared" si="19"/>
        <v>2019.6</v>
      </c>
      <c r="T103" s="8">
        <f t="shared" si="20"/>
        <v>0</v>
      </c>
      <c r="U103" s="199">
        <f>VLOOKUP(A103,'PUR-PARTY MASTER'!$B$6:$J$250,7,FALSE)</f>
        <v>2</v>
      </c>
      <c r="V103" s="199" t="str">
        <f>VLOOKUP(A103,'PUR-PARTY MASTER'!$B$6:$J$250,8,FALSE)</f>
        <v>Local Pur</v>
      </c>
      <c r="W103" s="199" t="s">
        <v>902</v>
      </c>
      <c r="X103" s="404" t="s">
        <v>887</v>
      </c>
      <c r="Y103" s="201" t="str">
        <f>VLOOKUP(X103,'PUR-HSN MASTER'!$A$6:$D$247,2,FALSE)</f>
        <v>Led Lights</v>
      </c>
      <c r="Z103" s="201" t="str">
        <f>VLOOKUP(X103,'PUR-HSN MASTER'!$A$6:$D$247,3,FALSE)</f>
        <v>NOS-NUMBERS</v>
      </c>
      <c r="AA103" s="334" t="str">
        <f>VLOOKUP(X103,'PUR-HSN MASTER'!$A$6:$D$247,4,FALSE)</f>
        <v>Goods</v>
      </c>
      <c r="AB103" s="401">
        <v>120</v>
      </c>
    </row>
    <row r="104" spans="1:28" ht="14.4" x14ac:dyDescent="0.3">
      <c r="A104" s="128" t="s">
        <v>961</v>
      </c>
      <c r="B104" s="199" t="str">
        <f>VLOOKUP(A104,'PUR-PARTY MASTER'!$B$6:$J$250,2,FALSE)</f>
        <v>Krishna Hardware</v>
      </c>
      <c r="C104" s="403">
        <v>114</v>
      </c>
      <c r="D104" s="398">
        <v>43143</v>
      </c>
      <c r="E104" s="329">
        <f t="shared" si="13"/>
        <v>50681.472000000002</v>
      </c>
      <c r="F104" s="199" t="str">
        <f>VLOOKUP(A104,'PUR-PARTY MASTER'!$B$6:$J$250,3,FALSE)</f>
        <v>27-Maharashatra</v>
      </c>
      <c r="G104" s="199" t="str">
        <f>VLOOKUP(A104,'PUR-PARTY MASTER'!$B$6:$J$250,4,FALSE)</f>
        <v>N</v>
      </c>
      <c r="H104" s="199" t="str">
        <f>VLOOKUP(A104,'PUR-PARTY MASTER'!$B$6:$J$250,5,FALSE)</f>
        <v>Regular</v>
      </c>
      <c r="I104" s="199">
        <f>VLOOKUP(A104,'PUR-PARTY MASTER'!$B$6:$J$250,6,FALSE)</f>
        <v>0</v>
      </c>
      <c r="J104" s="201">
        <v>18</v>
      </c>
      <c r="K104" s="400">
        <v>42950.400000000001</v>
      </c>
      <c r="L104" s="202">
        <f t="shared" si="14"/>
        <v>0</v>
      </c>
      <c r="M104" s="202">
        <f t="shared" si="15"/>
        <v>3865.5360000000001</v>
      </c>
      <c r="N104" s="202">
        <f t="shared" si="16"/>
        <v>3865.5360000000001</v>
      </c>
      <c r="O104" s="8">
        <v>0</v>
      </c>
      <c r="P104" s="341" t="s">
        <v>177</v>
      </c>
      <c r="Q104" s="329">
        <f t="shared" si="17"/>
        <v>0</v>
      </c>
      <c r="R104" s="329">
        <f t="shared" si="18"/>
        <v>3865.5360000000001</v>
      </c>
      <c r="S104" s="329">
        <f t="shared" si="19"/>
        <v>3865.5360000000001</v>
      </c>
      <c r="T104" s="8">
        <f t="shared" si="20"/>
        <v>0</v>
      </c>
      <c r="U104" s="199">
        <f>VLOOKUP(A104,'PUR-PARTY MASTER'!$B$6:$J$250,7,FALSE)</f>
        <v>2</v>
      </c>
      <c r="V104" s="199" t="str">
        <f>VLOOKUP(A104,'PUR-PARTY MASTER'!$B$6:$J$250,8,FALSE)</f>
        <v>Local Pur</v>
      </c>
      <c r="W104" s="199" t="s">
        <v>894</v>
      </c>
      <c r="X104" s="404" t="s">
        <v>595</v>
      </c>
      <c r="Y104" s="201" t="str">
        <f>VLOOKUP(X104,'PUR-HSN MASTER'!$A$6:$D$247,2,FALSE)</f>
        <v>Aldrop</v>
      </c>
      <c r="Z104" s="201" t="str">
        <f>VLOOKUP(X104,'PUR-HSN MASTER'!$A$6:$D$247,3,FALSE)</f>
        <v>NOS-NUMBERS</v>
      </c>
      <c r="AA104" s="334" t="str">
        <f>VLOOKUP(X104,'PUR-HSN MASTER'!$A$6:$D$247,4,FALSE)</f>
        <v>Goods</v>
      </c>
      <c r="AB104" s="401">
        <v>87</v>
      </c>
    </row>
    <row r="105" spans="1:28" ht="14.4" x14ac:dyDescent="0.3">
      <c r="A105" s="128" t="s">
        <v>961</v>
      </c>
      <c r="B105" s="199" t="str">
        <f>VLOOKUP(A105,'PUR-PARTY MASTER'!$B$6:$J$250,2,FALSE)</f>
        <v>Krishna Hardware</v>
      </c>
      <c r="C105" s="403">
        <v>114</v>
      </c>
      <c r="D105" s="398">
        <v>43143</v>
      </c>
      <c r="E105" s="329">
        <f t="shared" si="13"/>
        <v>7318.2420000000002</v>
      </c>
      <c r="F105" s="199" t="str">
        <f>VLOOKUP(A105,'PUR-PARTY MASTER'!$B$6:$J$250,3,FALSE)</f>
        <v>27-Maharashatra</v>
      </c>
      <c r="G105" s="199" t="str">
        <f>VLOOKUP(A105,'PUR-PARTY MASTER'!$B$6:$J$250,4,FALSE)</f>
        <v>N</v>
      </c>
      <c r="H105" s="199" t="str">
        <f>VLOOKUP(A105,'PUR-PARTY MASTER'!$B$6:$J$250,5,FALSE)</f>
        <v>Regular</v>
      </c>
      <c r="I105" s="199">
        <f>VLOOKUP(A105,'PUR-PARTY MASTER'!$B$6:$J$250,6,FALSE)</f>
        <v>0</v>
      </c>
      <c r="J105" s="201">
        <v>18</v>
      </c>
      <c r="K105" s="400">
        <v>6201.9</v>
      </c>
      <c r="L105" s="202">
        <f t="shared" si="14"/>
        <v>0</v>
      </c>
      <c r="M105" s="202">
        <f t="shared" si="15"/>
        <v>558.17099999999994</v>
      </c>
      <c r="N105" s="202">
        <f t="shared" si="16"/>
        <v>558.17099999999994</v>
      </c>
      <c r="O105" s="8">
        <v>0</v>
      </c>
      <c r="P105" s="341" t="s">
        <v>177</v>
      </c>
      <c r="Q105" s="329">
        <f t="shared" si="17"/>
        <v>0</v>
      </c>
      <c r="R105" s="329">
        <f t="shared" si="18"/>
        <v>558.17099999999994</v>
      </c>
      <c r="S105" s="329">
        <f t="shared" si="19"/>
        <v>558.17099999999994</v>
      </c>
      <c r="T105" s="8">
        <f t="shared" si="20"/>
        <v>0</v>
      </c>
      <c r="U105" s="199">
        <f>VLOOKUP(A105,'PUR-PARTY MASTER'!$B$6:$J$250,7,FALSE)</f>
        <v>2</v>
      </c>
      <c r="V105" s="199" t="str">
        <f>VLOOKUP(A105,'PUR-PARTY MASTER'!$B$6:$J$250,8,FALSE)</f>
        <v>Local Pur</v>
      </c>
      <c r="W105" s="199" t="s">
        <v>894</v>
      </c>
      <c r="X105" s="404">
        <v>7318</v>
      </c>
      <c r="Y105" s="201" t="str">
        <f>VLOOKUP(X105,'PUR-HSN MASTER'!$A$6:$D$247,2,FALSE)</f>
        <v>including spring washers</v>
      </c>
      <c r="Z105" s="201" t="str">
        <f>VLOOKUP(X105,'PUR-HSN MASTER'!$A$6:$D$247,3,FALSE)</f>
        <v>NOS-NUMBERS</v>
      </c>
      <c r="AA105" s="334" t="str">
        <f>VLOOKUP(X105,'PUR-HSN MASTER'!$A$6:$D$247,4,FALSE)</f>
        <v>Goods</v>
      </c>
      <c r="AB105" s="401">
        <v>5103</v>
      </c>
    </row>
    <row r="106" spans="1:28" ht="14.4" x14ac:dyDescent="0.3">
      <c r="A106" s="128" t="s">
        <v>24</v>
      </c>
      <c r="B106" s="199" t="str">
        <f>VLOOKUP(A106,'PUR-PARTY MASTER'!$B$6:$J$250,2,FALSE)</f>
        <v>Tata Autocomp Systems LTD.(X1)</v>
      </c>
      <c r="C106" s="403" t="s">
        <v>1392</v>
      </c>
      <c r="D106" s="398">
        <v>43143</v>
      </c>
      <c r="E106" s="329">
        <f t="shared" si="13"/>
        <v>8138.7520000000004</v>
      </c>
      <c r="F106" s="199" t="str">
        <f>VLOOKUP(A106,'PUR-PARTY MASTER'!$B$6:$J$250,3,FALSE)</f>
        <v>27-Maharashatra</v>
      </c>
      <c r="G106" s="199" t="str">
        <f>VLOOKUP(A106,'PUR-PARTY MASTER'!$B$6:$J$250,4,FALSE)</f>
        <v>N</v>
      </c>
      <c r="H106" s="199" t="str">
        <f>VLOOKUP(A106,'PUR-PARTY MASTER'!$B$6:$J$250,5,FALSE)</f>
        <v>Regular</v>
      </c>
      <c r="I106" s="199">
        <f>VLOOKUP(A106,'PUR-PARTY MASTER'!$B$6:$J$250,6,FALSE)</f>
        <v>0</v>
      </c>
      <c r="J106" s="201">
        <v>28</v>
      </c>
      <c r="K106" s="400">
        <v>6358.4</v>
      </c>
      <c r="L106" s="202">
        <f t="shared" si="14"/>
        <v>0</v>
      </c>
      <c r="M106" s="202">
        <f t="shared" si="15"/>
        <v>890.17600000000004</v>
      </c>
      <c r="N106" s="202">
        <f t="shared" si="16"/>
        <v>890.17600000000004</v>
      </c>
      <c r="O106" s="8">
        <v>0</v>
      </c>
      <c r="P106" s="341" t="s">
        <v>177</v>
      </c>
      <c r="Q106" s="329">
        <f t="shared" si="17"/>
        <v>0</v>
      </c>
      <c r="R106" s="329">
        <f t="shared" si="18"/>
        <v>890.17600000000004</v>
      </c>
      <c r="S106" s="329">
        <f t="shared" si="19"/>
        <v>890.17600000000004</v>
      </c>
      <c r="T106" s="8">
        <f t="shared" si="20"/>
        <v>0</v>
      </c>
      <c r="U106" s="199">
        <f>VLOOKUP(A106,'PUR-PARTY MASTER'!$B$6:$J$250,7,FALSE)</f>
        <v>2</v>
      </c>
      <c r="V106" s="199" t="str">
        <f>VLOOKUP(A106,'PUR-PARTY MASTER'!$B$6:$J$250,8,FALSE)</f>
        <v>Local Pur</v>
      </c>
      <c r="W106" s="199" t="s">
        <v>897</v>
      </c>
      <c r="X106" s="404">
        <v>87089900</v>
      </c>
      <c r="Y106" s="201" t="str">
        <f>VLOOKUP(X106,'PUR-HSN MASTER'!$A$6:$D$247,2,FALSE)</f>
        <v>Parts &amp; Accessories Of Motor Vehicles Other</v>
      </c>
      <c r="Z106" s="201" t="str">
        <f>VLOOKUP(X106,'PUR-HSN MASTER'!$A$6:$D$247,3,FALSE)</f>
        <v>NOS-NUMBERS</v>
      </c>
      <c r="AA106" s="334" t="str">
        <f>VLOOKUP(X106,'PUR-HSN MASTER'!$A$6:$D$247,4,FALSE)</f>
        <v>Goods</v>
      </c>
      <c r="AB106" s="401">
        <v>40</v>
      </c>
    </row>
    <row r="107" spans="1:28" ht="14.4" x14ac:dyDescent="0.3">
      <c r="A107" s="128" t="s">
        <v>27</v>
      </c>
      <c r="B107" s="199" t="str">
        <f>VLOOKUP(A107,'PUR-PARTY MASTER'!$B$6:$J$250,2,FALSE)</f>
        <v>Rinder India Pvt Ltd.</v>
      </c>
      <c r="C107" s="403">
        <v>2701822554</v>
      </c>
      <c r="D107" s="398">
        <v>43143</v>
      </c>
      <c r="E107" s="329">
        <f t="shared" si="13"/>
        <v>25057.536000000004</v>
      </c>
      <c r="F107" s="199" t="str">
        <f>VLOOKUP(A107,'PUR-PARTY MASTER'!$B$6:$J$250,3,FALSE)</f>
        <v>27-Maharashatra</v>
      </c>
      <c r="G107" s="199" t="str">
        <f>VLOOKUP(A107,'PUR-PARTY MASTER'!$B$6:$J$250,4,FALSE)</f>
        <v>N</v>
      </c>
      <c r="H107" s="199" t="str">
        <f>VLOOKUP(A107,'PUR-PARTY MASTER'!$B$6:$J$250,5,FALSE)</f>
        <v>Regular</v>
      </c>
      <c r="I107" s="199">
        <f>VLOOKUP(A107,'PUR-PARTY MASTER'!$B$6:$J$250,6,FALSE)</f>
        <v>0</v>
      </c>
      <c r="J107" s="201">
        <v>18</v>
      </c>
      <c r="K107" s="400">
        <v>21235.200000000001</v>
      </c>
      <c r="L107" s="202">
        <f t="shared" si="14"/>
        <v>0</v>
      </c>
      <c r="M107" s="202">
        <f t="shared" si="15"/>
        <v>1911.1679999999999</v>
      </c>
      <c r="N107" s="202">
        <f t="shared" si="16"/>
        <v>1911.1679999999999</v>
      </c>
      <c r="O107" s="8">
        <v>0</v>
      </c>
      <c r="P107" s="341" t="s">
        <v>177</v>
      </c>
      <c r="Q107" s="329">
        <f t="shared" si="17"/>
        <v>0</v>
      </c>
      <c r="R107" s="329">
        <f t="shared" si="18"/>
        <v>1911.1679999999999</v>
      </c>
      <c r="S107" s="329">
        <f t="shared" si="19"/>
        <v>1911.1679999999999</v>
      </c>
      <c r="T107" s="8">
        <f t="shared" si="20"/>
        <v>0</v>
      </c>
      <c r="U107" s="199">
        <f>VLOOKUP(A107,'PUR-PARTY MASTER'!$B$6:$J$250,7,FALSE)</f>
        <v>2</v>
      </c>
      <c r="V107" s="199" t="str">
        <f>VLOOKUP(A107,'PUR-PARTY MASTER'!$B$6:$J$250,8,FALSE)</f>
        <v>Local Pur</v>
      </c>
      <c r="W107" s="199" t="s">
        <v>894</v>
      </c>
      <c r="X107" s="404">
        <v>85129000</v>
      </c>
      <c r="Y107" s="201" t="str">
        <f>VLOOKUP(X107,'PUR-HSN MASTER'!$A$6:$D$247,2,FALSE)</f>
        <v>Lighting &amp; Fitting</v>
      </c>
      <c r="Z107" s="201" t="str">
        <f>VLOOKUP(X107,'PUR-HSN MASTER'!$A$6:$D$247,3,FALSE)</f>
        <v>NOS-NUMBERS</v>
      </c>
      <c r="AA107" s="334" t="str">
        <f>VLOOKUP(X107,'PUR-HSN MASTER'!$A$6:$D$247,4,FALSE)</f>
        <v>Goods</v>
      </c>
      <c r="AB107" s="401">
        <v>1920</v>
      </c>
    </row>
    <row r="108" spans="1:28" ht="14.4" x14ac:dyDescent="0.3">
      <c r="A108" s="128" t="s">
        <v>23</v>
      </c>
      <c r="B108" s="199" t="str">
        <f>VLOOKUP(A108,'PUR-PARTY MASTER'!$B$6:$J$250,2,FALSE)</f>
        <v>Varroc Polymers Pvt Ltd,</v>
      </c>
      <c r="C108" s="403">
        <v>2041071028</v>
      </c>
      <c r="D108" s="398">
        <v>43143</v>
      </c>
      <c r="E108" s="329">
        <f t="shared" si="13"/>
        <v>17186.816000000003</v>
      </c>
      <c r="F108" s="199" t="str">
        <f>VLOOKUP(A108,'PUR-PARTY MASTER'!$B$6:$J$250,3,FALSE)</f>
        <v>27-Maharashatra</v>
      </c>
      <c r="G108" s="199" t="str">
        <f>VLOOKUP(A108,'PUR-PARTY MASTER'!$B$6:$J$250,4,FALSE)</f>
        <v>N</v>
      </c>
      <c r="H108" s="199" t="str">
        <f>VLOOKUP(A108,'PUR-PARTY MASTER'!$B$6:$J$250,5,FALSE)</f>
        <v>Regular</v>
      </c>
      <c r="I108" s="199">
        <f>VLOOKUP(A108,'PUR-PARTY MASTER'!$B$6:$J$250,6,FALSE)</f>
        <v>0</v>
      </c>
      <c r="J108" s="201">
        <v>28</v>
      </c>
      <c r="K108" s="400">
        <v>13427.2</v>
      </c>
      <c r="L108" s="202">
        <f t="shared" si="14"/>
        <v>0</v>
      </c>
      <c r="M108" s="202">
        <f t="shared" si="15"/>
        <v>1879.8080000000002</v>
      </c>
      <c r="N108" s="202">
        <f t="shared" si="16"/>
        <v>1879.8080000000002</v>
      </c>
      <c r="O108" s="8">
        <v>0</v>
      </c>
      <c r="P108" s="341" t="s">
        <v>177</v>
      </c>
      <c r="Q108" s="329">
        <f t="shared" si="17"/>
        <v>0</v>
      </c>
      <c r="R108" s="329">
        <f t="shared" si="18"/>
        <v>1879.8080000000002</v>
      </c>
      <c r="S108" s="329">
        <f t="shared" si="19"/>
        <v>1879.8080000000002</v>
      </c>
      <c r="T108" s="8">
        <f t="shared" si="20"/>
        <v>0</v>
      </c>
      <c r="U108" s="199">
        <f>VLOOKUP(A108,'PUR-PARTY MASTER'!$B$6:$J$250,7,FALSE)</f>
        <v>2</v>
      </c>
      <c r="V108" s="199" t="str">
        <f>VLOOKUP(A108,'PUR-PARTY MASTER'!$B$6:$J$250,8,FALSE)</f>
        <v>Local Pur</v>
      </c>
      <c r="W108" s="199" t="s">
        <v>897</v>
      </c>
      <c r="X108" s="404">
        <v>39199090</v>
      </c>
      <c r="Y108" s="201" t="str">
        <f>VLOOKUP(X108,'PUR-HSN MASTER'!$A$6:$D$247,2,FALSE)</f>
        <v>Parts &amp; Accessories Of Motor Vehicles Other</v>
      </c>
      <c r="Z108" s="201" t="str">
        <f>VLOOKUP(X108,'PUR-HSN MASTER'!$A$6:$D$247,3,FALSE)</f>
        <v>KLR-KILOLITRE</v>
      </c>
      <c r="AA108" s="334" t="str">
        <f>VLOOKUP(X108,'PUR-HSN MASTER'!$A$6:$D$247,4,FALSE)</f>
        <v>Goods</v>
      </c>
      <c r="AB108" s="401">
        <v>320</v>
      </c>
    </row>
    <row r="109" spans="1:28" ht="14.4" x14ac:dyDescent="0.3">
      <c r="A109" s="128" t="s">
        <v>23</v>
      </c>
      <c r="B109" s="199" t="str">
        <f>VLOOKUP(A109,'PUR-PARTY MASTER'!$B$6:$J$250,2,FALSE)</f>
        <v>Varroc Polymers Pvt Ltd,</v>
      </c>
      <c r="C109" s="403">
        <v>2041071029</v>
      </c>
      <c r="D109" s="398">
        <v>43143</v>
      </c>
      <c r="E109" s="329">
        <f t="shared" si="13"/>
        <v>17022.72</v>
      </c>
      <c r="F109" s="199" t="str">
        <f>VLOOKUP(A109,'PUR-PARTY MASTER'!$B$6:$J$250,3,FALSE)</f>
        <v>27-Maharashatra</v>
      </c>
      <c r="G109" s="199" t="str">
        <f>VLOOKUP(A109,'PUR-PARTY MASTER'!$B$6:$J$250,4,FALSE)</f>
        <v>N</v>
      </c>
      <c r="H109" s="199" t="str">
        <f>VLOOKUP(A109,'PUR-PARTY MASTER'!$B$6:$J$250,5,FALSE)</f>
        <v>Regular</v>
      </c>
      <c r="I109" s="199">
        <f>VLOOKUP(A109,'PUR-PARTY MASTER'!$B$6:$J$250,6,FALSE)</f>
        <v>0</v>
      </c>
      <c r="J109" s="201">
        <v>28</v>
      </c>
      <c r="K109" s="400">
        <v>13299</v>
      </c>
      <c r="L109" s="202">
        <f t="shared" si="14"/>
        <v>0</v>
      </c>
      <c r="M109" s="202">
        <f t="shared" si="15"/>
        <v>1861.8600000000001</v>
      </c>
      <c r="N109" s="202">
        <f t="shared" si="16"/>
        <v>1861.8600000000001</v>
      </c>
      <c r="O109" s="8">
        <v>0</v>
      </c>
      <c r="P109" s="341" t="s">
        <v>177</v>
      </c>
      <c r="Q109" s="329">
        <f t="shared" si="17"/>
        <v>0</v>
      </c>
      <c r="R109" s="329">
        <f t="shared" si="18"/>
        <v>1861.8600000000001</v>
      </c>
      <c r="S109" s="329">
        <f t="shared" si="19"/>
        <v>1861.8600000000001</v>
      </c>
      <c r="T109" s="8">
        <f t="shared" si="20"/>
        <v>0</v>
      </c>
      <c r="U109" s="199">
        <f>VLOOKUP(A109,'PUR-PARTY MASTER'!$B$6:$J$250,7,FALSE)</f>
        <v>2</v>
      </c>
      <c r="V109" s="199" t="str">
        <f>VLOOKUP(A109,'PUR-PARTY MASTER'!$B$6:$J$250,8,FALSE)</f>
        <v>Local Pur</v>
      </c>
      <c r="W109" s="199" t="s">
        <v>897</v>
      </c>
      <c r="X109" s="404">
        <v>87141090</v>
      </c>
      <c r="Y109" s="201" t="str">
        <f>VLOOKUP(X109,'PUR-HSN MASTER'!$A$6:$D$247,2,FALSE)</f>
        <v>Parts &amp; Accessories Of Motor Vehicles Other</v>
      </c>
      <c r="Z109" s="201" t="str">
        <f>VLOOKUP(X109,'PUR-HSN MASTER'!$A$6:$D$247,3,FALSE)</f>
        <v>NOS-NUMBERS</v>
      </c>
      <c r="AA109" s="334" t="str">
        <f>VLOOKUP(X109,'PUR-HSN MASTER'!$A$6:$D$247,4,FALSE)</f>
        <v>Goods</v>
      </c>
      <c r="AB109" s="401">
        <v>260</v>
      </c>
    </row>
    <row r="110" spans="1:28" ht="14.4" x14ac:dyDescent="0.3">
      <c r="A110" s="128" t="s">
        <v>335</v>
      </c>
      <c r="B110" s="199" t="str">
        <f>VLOOKUP(A110,'PUR-PARTY MASTER'!$B$6:$J$250,2,FALSE)</f>
        <v>Atharva Polymers Pvt Ltd,</v>
      </c>
      <c r="C110" s="403" t="s">
        <v>1393</v>
      </c>
      <c r="D110" s="398">
        <v>43143</v>
      </c>
      <c r="E110" s="329">
        <f t="shared" si="13"/>
        <v>54502.399999999994</v>
      </c>
      <c r="F110" s="199" t="str">
        <f>VLOOKUP(A110,'PUR-PARTY MASTER'!$B$6:$J$250,3,FALSE)</f>
        <v>27-Maharashatra</v>
      </c>
      <c r="G110" s="199" t="str">
        <f>VLOOKUP(A110,'PUR-PARTY MASTER'!$B$6:$J$250,4,FALSE)</f>
        <v>N</v>
      </c>
      <c r="H110" s="199" t="str">
        <f>VLOOKUP(A110,'PUR-PARTY MASTER'!$B$6:$J$250,5,FALSE)</f>
        <v>Regular</v>
      </c>
      <c r="I110" s="199">
        <f>VLOOKUP(A110,'PUR-PARTY MASTER'!$B$6:$J$250,6,FALSE)</f>
        <v>0</v>
      </c>
      <c r="J110" s="201">
        <v>28</v>
      </c>
      <c r="K110" s="400">
        <f>42475+105</f>
        <v>42580</v>
      </c>
      <c r="L110" s="202">
        <f t="shared" si="14"/>
        <v>0</v>
      </c>
      <c r="M110" s="202">
        <f t="shared" si="15"/>
        <v>5961.2000000000007</v>
      </c>
      <c r="N110" s="202">
        <f t="shared" si="16"/>
        <v>5961.2000000000007</v>
      </c>
      <c r="O110" s="8">
        <v>0</v>
      </c>
      <c r="P110" s="341" t="s">
        <v>177</v>
      </c>
      <c r="Q110" s="329">
        <f t="shared" si="17"/>
        <v>0</v>
      </c>
      <c r="R110" s="329">
        <f t="shared" si="18"/>
        <v>5961.2000000000007</v>
      </c>
      <c r="S110" s="329">
        <f t="shared" si="19"/>
        <v>5961.2000000000007</v>
      </c>
      <c r="T110" s="8">
        <f t="shared" si="20"/>
        <v>0</v>
      </c>
      <c r="U110" s="199">
        <f>VLOOKUP(A110,'PUR-PARTY MASTER'!$B$6:$J$250,7,FALSE)</f>
        <v>2</v>
      </c>
      <c r="V110" s="199" t="str">
        <f>VLOOKUP(A110,'PUR-PARTY MASTER'!$B$6:$J$250,8,FALSE)</f>
        <v>Local Pur</v>
      </c>
      <c r="W110" s="199" t="s">
        <v>897</v>
      </c>
      <c r="X110" s="404">
        <v>87141900</v>
      </c>
      <c r="Y110" s="201" t="str">
        <f>VLOOKUP(X110,'PUR-HSN MASTER'!$A$6:$D$247,2,FALSE)</f>
        <v>Parts &amp; Accessories Of Motor Vehicles Other</v>
      </c>
      <c r="Z110" s="201" t="str">
        <f>VLOOKUP(X110,'PUR-HSN MASTER'!$A$6:$D$247,3,FALSE)</f>
        <v>KLR-KILOLITRE</v>
      </c>
      <c r="AA110" s="334" t="str">
        <f>VLOOKUP(X110,'PUR-HSN MASTER'!$A$6:$D$247,4,FALSE)</f>
        <v>Goods</v>
      </c>
      <c r="AB110" s="401">
        <v>1000</v>
      </c>
    </row>
    <row r="111" spans="1:28" ht="14.4" x14ac:dyDescent="0.3">
      <c r="A111" s="128" t="s">
        <v>344</v>
      </c>
      <c r="B111" s="199" t="str">
        <f>VLOOKUP(A111,'PUR-PARTY MASTER'!$B$6:$J$250,2,FALSE)</f>
        <v>Om Enterprises</v>
      </c>
      <c r="C111" s="403">
        <v>981</v>
      </c>
      <c r="D111" s="398">
        <v>43144</v>
      </c>
      <c r="E111" s="329">
        <f t="shared" si="13"/>
        <v>1180</v>
      </c>
      <c r="F111" s="199" t="str">
        <f>VLOOKUP(A111,'PUR-PARTY MASTER'!$B$6:$J$250,3,FALSE)</f>
        <v>27-Maharashatra</v>
      </c>
      <c r="G111" s="199" t="str">
        <f>VLOOKUP(A111,'PUR-PARTY MASTER'!$B$6:$J$250,4,FALSE)</f>
        <v>N</v>
      </c>
      <c r="H111" s="199" t="str">
        <f>VLOOKUP(A111,'PUR-PARTY MASTER'!$B$6:$J$250,5,FALSE)</f>
        <v>Regular</v>
      </c>
      <c r="I111" s="199">
        <f>VLOOKUP(A111,'PUR-PARTY MASTER'!$B$6:$J$250,6,FALSE)</f>
        <v>0</v>
      </c>
      <c r="J111" s="201">
        <v>18</v>
      </c>
      <c r="K111" s="400">
        <v>1000</v>
      </c>
      <c r="L111" s="202">
        <f t="shared" si="14"/>
        <v>0</v>
      </c>
      <c r="M111" s="202">
        <f t="shared" si="15"/>
        <v>90</v>
      </c>
      <c r="N111" s="202">
        <f t="shared" si="16"/>
        <v>90</v>
      </c>
      <c r="O111" s="8">
        <v>0</v>
      </c>
      <c r="P111" s="341" t="s">
        <v>177</v>
      </c>
      <c r="Q111" s="329">
        <f t="shared" si="17"/>
        <v>0</v>
      </c>
      <c r="R111" s="329">
        <f t="shared" si="18"/>
        <v>90</v>
      </c>
      <c r="S111" s="329">
        <f t="shared" si="19"/>
        <v>90</v>
      </c>
      <c r="T111" s="8">
        <f t="shared" si="20"/>
        <v>0</v>
      </c>
      <c r="U111" s="199">
        <f>VLOOKUP(A111,'PUR-PARTY MASTER'!$B$6:$J$250,7,FALSE)</f>
        <v>2</v>
      </c>
      <c r="V111" s="199" t="str">
        <f>VLOOKUP(A111,'PUR-PARTY MASTER'!$B$6:$J$250,8,FALSE)</f>
        <v>Local Pur</v>
      </c>
      <c r="W111" s="199" t="s">
        <v>894</v>
      </c>
      <c r="X111" s="404" t="s">
        <v>509</v>
      </c>
      <c r="Y111" s="201" t="str">
        <f>VLOOKUP(X111,'PUR-HSN MASTER'!$A$6:$D$247,2,FALSE)</f>
        <v>Bubble Bag</v>
      </c>
      <c r="Z111" s="201" t="str">
        <f>VLOOKUP(X111,'PUR-HSN MASTER'!$A$6:$D$247,3,FALSE)</f>
        <v>NOS-NUMBERS</v>
      </c>
      <c r="AA111" s="334" t="str">
        <f>VLOOKUP(X111,'PUR-HSN MASTER'!$A$6:$D$247,4,FALSE)</f>
        <v>Goods</v>
      </c>
      <c r="AB111" s="401">
        <v>200</v>
      </c>
    </row>
    <row r="112" spans="1:28" ht="14.4" x14ac:dyDescent="0.3">
      <c r="A112" s="128" t="s">
        <v>344</v>
      </c>
      <c r="B112" s="199" t="str">
        <f>VLOOKUP(A112,'PUR-PARTY MASTER'!$B$6:$J$250,2,FALSE)</f>
        <v>Om Enterprises</v>
      </c>
      <c r="C112" s="403">
        <v>981</v>
      </c>
      <c r="D112" s="398">
        <v>43144</v>
      </c>
      <c r="E112" s="329">
        <f t="shared" si="13"/>
        <v>16402</v>
      </c>
      <c r="F112" s="199" t="str">
        <f>VLOOKUP(A112,'PUR-PARTY MASTER'!$B$6:$J$250,3,FALSE)</f>
        <v>27-Maharashatra</v>
      </c>
      <c r="G112" s="199" t="str">
        <f>VLOOKUP(A112,'PUR-PARTY MASTER'!$B$6:$J$250,4,FALSE)</f>
        <v>N</v>
      </c>
      <c r="H112" s="199" t="str">
        <f>VLOOKUP(A112,'PUR-PARTY MASTER'!$B$6:$J$250,5,FALSE)</f>
        <v>Regular</v>
      </c>
      <c r="I112" s="199">
        <f>VLOOKUP(A112,'PUR-PARTY MASTER'!$B$6:$J$250,6,FALSE)</f>
        <v>0</v>
      </c>
      <c r="J112" s="201">
        <v>18</v>
      </c>
      <c r="K112" s="400">
        <v>13900</v>
      </c>
      <c r="L112" s="202">
        <f t="shared" si="14"/>
        <v>0</v>
      </c>
      <c r="M112" s="202">
        <f t="shared" si="15"/>
        <v>1251</v>
      </c>
      <c r="N112" s="202">
        <f t="shared" si="16"/>
        <v>1251</v>
      </c>
      <c r="O112" s="8">
        <v>0</v>
      </c>
      <c r="P112" s="341" t="s">
        <v>177</v>
      </c>
      <c r="Q112" s="329">
        <f t="shared" si="17"/>
        <v>0</v>
      </c>
      <c r="R112" s="329">
        <f t="shared" si="18"/>
        <v>1251</v>
      </c>
      <c r="S112" s="329">
        <f t="shared" si="19"/>
        <v>1251</v>
      </c>
      <c r="T112" s="8">
        <f t="shared" si="20"/>
        <v>0</v>
      </c>
      <c r="U112" s="199">
        <f>VLOOKUP(A112,'PUR-PARTY MASTER'!$B$6:$J$250,7,FALSE)</f>
        <v>2</v>
      </c>
      <c r="V112" s="199" t="str">
        <f>VLOOKUP(A112,'PUR-PARTY MASTER'!$B$6:$J$250,8,FALSE)</f>
        <v>Local Pur</v>
      </c>
      <c r="W112" s="199" t="s">
        <v>894</v>
      </c>
      <c r="X112" s="404">
        <v>39201091</v>
      </c>
      <c r="Y112" s="201" t="str">
        <f>VLOOKUP(X112,'PUR-HSN MASTER'!$A$6:$D$247,2,FALSE)</f>
        <v xml:space="preserve">Bubble </v>
      </c>
      <c r="Z112" s="201" t="str">
        <f>VLOOKUP(X112,'PUR-HSN MASTER'!$A$6:$D$247,3,FALSE)</f>
        <v>NOS-NUMBERS</v>
      </c>
      <c r="AA112" s="334" t="str">
        <f>VLOOKUP(X112,'PUR-HSN MASTER'!$A$6:$D$247,4,FALSE)</f>
        <v>Goods</v>
      </c>
      <c r="AB112" s="401">
        <v>14</v>
      </c>
    </row>
    <row r="113" spans="1:28" ht="14.4" x14ac:dyDescent="0.3">
      <c r="A113" s="128" t="s">
        <v>344</v>
      </c>
      <c r="B113" s="199" t="str">
        <f>VLOOKUP(A113,'PUR-PARTY MASTER'!$B$6:$J$250,2,FALSE)</f>
        <v>Om Enterprises</v>
      </c>
      <c r="C113" s="403">
        <v>982</v>
      </c>
      <c r="D113" s="398">
        <v>43144</v>
      </c>
      <c r="E113" s="329">
        <f t="shared" si="13"/>
        <v>7080</v>
      </c>
      <c r="F113" s="199" t="str">
        <f>VLOOKUP(A113,'PUR-PARTY MASTER'!$B$6:$J$250,3,FALSE)</f>
        <v>27-Maharashatra</v>
      </c>
      <c r="G113" s="199" t="str">
        <f>VLOOKUP(A113,'PUR-PARTY MASTER'!$B$6:$J$250,4,FALSE)</f>
        <v>N</v>
      </c>
      <c r="H113" s="199" t="str">
        <f>VLOOKUP(A113,'PUR-PARTY MASTER'!$B$6:$J$250,5,FALSE)</f>
        <v>Regular</v>
      </c>
      <c r="I113" s="199">
        <f>VLOOKUP(A113,'PUR-PARTY MASTER'!$B$6:$J$250,6,FALSE)</f>
        <v>0</v>
      </c>
      <c r="J113" s="201">
        <v>18</v>
      </c>
      <c r="K113" s="400">
        <v>6000</v>
      </c>
      <c r="L113" s="202">
        <f t="shared" si="14"/>
        <v>0</v>
      </c>
      <c r="M113" s="202">
        <f t="shared" si="15"/>
        <v>540</v>
      </c>
      <c r="N113" s="202">
        <f t="shared" si="16"/>
        <v>540</v>
      </c>
      <c r="O113" s="8">
        <v>0</v>
      </c>
      <c r="P113" s="341" t="s">
        <v>177</v>
      </c>
      <c r="Q113" s="329">
        <f t="shared" si="17"/>
        <v>0</v>
      </c>
      <c r="R113" s="329">
        <f t="shared" si="18"/>
        <v>540</v>
      </c>
      <c r="S113" s="329">
        <f t="shared" si="19"/>
        <v>540</v>
      </c>
      <c r="T113" s="8">
        <f t="shared" si="20"/>
        <v>0</v>
      </c>
      <c r="U113" s="199">
        <f>VLOOKUP(A113,'PUR-PARTY MASTER'!$B$6:$J$250,7,FALSE)</f>
        <v>2</v>
      </c>
      <c r="V113" s="199" t="str">
        <f>VLOOKUP(A113,'PUR-PARTY MASTER'!$B$6:$J$250,8,FALSE)</f>
        <v>Local Pur</v>
      </c>
      <c r="W113" s="199" t="s">
        <v>894</v>
      </c>
      <c r="X113" s="404" t="s">
        <v>509</v>
      </c>
      <c r="Y113" s="201" t="str">
        <f>VLOOKUP(X113,'PUR-HSN MASTER'!$A$6:$D$247,2,FALSE)</f>
        <v>Bubble Bag</v>
      </c>
      <c r="Z113" s="201" t="str">
        <f>VLOOKUP(X113,'PUR-HSN MASTER'!$A$6:$D$247,3,FALSE)</f>
        <v>NOS-NUMBERS</v>
      </c>
      <c r="AA113" s="334" t="str">
        <f>VLOOKUP(X113,'PUR-HSN MASTER'!$A$6:$D$247,4,FALSE)</f>
        <v>Goods</v>
      </c>
      <c r="AB113" s="401">
        <v>2000</v>
      </c>
    </row>
    <row r="114" spans="1:28" ht="14.4" x14ac:dyDescent="0.3">
      <c r="A114" s="128" t="s">
        <v>344</v>
      </c>
      <c r="B114" s="199" t="str">
        <f>VLOOKUP(A114,'PUR-PARTY MASTER'!$B$6:$J$250,2,FALSE)</f>
        <v>Om Enterprises</v>
      </c>
      <c r="C114" s="403">
        <v>982</v>
      </c>
      <c r="D114" s="398">
        <v>43144</v>
      </c>
      <c r="E114" s="329">
        <f t="shared" si="13"/>
        <v>11328</v>
      </c>
      <c r="F114" s="199" t="str">
        <f>VLOOKUP(A114,'PUR-PARTY MASTER'!$B$6:$J$250,3,FALSE)</f>
        <v>27-Maharashatra</v>
      </c>
      <c r="G114" s="199" t="str">
        <f>VLOOKUP(A114,'PUR-PARTY MASTER'!$B$6:$J$250,4,FALSE)</f>
        <v>N</v>
      </c>
      <c r="H114" s="199" t="str">
        <f>VLOOKUP(A114,'PUR-PARTY MASTER'!$B$6:$J$250,5,FALSE)</f>
        <v>Regular</v>
      </c>
      <c r="I114" s="199">
        <f>VLOOKUP(A114,'PUR-PARTY MASTER'!$B$6:$J$250,6,FALSE)</f>
        <v>0</v>
      </c>
      <c r="J114" s="201">
        <v>18</v>
      </c>
      <c r="K114" s="400">
        <v>9600</v>
      </c>
      <c r="L114" s="202">
        <f t="shared" si="14"/>
        <v>0</v>
      </c>
      <c r="M114" s="202">
        <f t="shared" si="15"/>
        <v>864</v>
      </c>
      <c r="N114" s="202">
        <f t="shared" si="16"/>
        <v>864</v>
      </c>
      <c r="O114" s="8">
        <v>0</v>
      </c>
      <c r="P114" s="341" t="s">
        <v>177</v>
      </c>
      <c r="Q114" s="329">
        <f t="shared" si="17"/>
        <v>0</v>
      </c>
      <c r="R114" s="329">
        <f t="shared" si="18"/>
        <v>864</v>
      </c>
      <c r="S114" s="329">
        <f t="shared" si="19"/>
        <v>864</v>
      </c>
      <c r="T114" s="8">
        <f t="shared" si="20"/>
        <v>0</v>
      </c>
      <c r="U114" s="199">
        <f>VLOOKUP(A114,'PUR-PARTY MASTER'!$B$6:$J$250,7,FALSE)</f>
        <v>2</v>
      </c>
      <c r="V114" s="199" t="str">
        <f>VLOOKUP(A114,'PUR-PARTY MASTER'!$B$6:$J$250,8,FALSE)</f>
        <v>Local Pur</v>
      </c>
      <c r="W114" s="199" t="s">
        <v>894</v>
      </c>
      <c r="X114" s="404">
        <v>39201091</v>
      </c>
      <c r="Y114" s="201" t="str">
        <f>VLOOKUP(X114,'PUR-HSN MASTER'!$A$6:$D$247,2,FALSE)</f>
        <v xml:space="preserve">Bubble </v>
      </c>
      <c r="Z114" s="201" t="str">
        <f>VLOOKUP(X114,'PUR-HSN MASTER'!$A$6:$D$247,3,FALSE)</f>
        <v>NOS-NUMBERS</v>
      </c>
      <c r="AA114" s="334" t="str">
        <f>VLOOKUP(X114,'PUR-HSN MASTER'!$A$6:$D$247,4,FALSE)</f>
        <v>Goods</v>
      </c>
      <c r="AB114" s="401">
        <v>9</v>
      </c>
    </row>
    <row r="115" spans="1:28" ht="14.4" x14ac:dyDescent="0.3">
      <c r="A115" s="128" t="s">
        <v>344</v>
      </c>
      <c r="B115" s="199" t="str">
        <f>VLOOKUP(A115,'PUR-PARTY MASTER'!$B$6:$J$250,2,FALSE)</f>
        <v>Om Enterprises</v>
      </c>
      <c r="C115" s="403">
        <v>983</v>
      </c>
      <c r="D115" s="398">
        <v>43144</v>
      </c>
      <c r="E115" s="329">
        <f t="shared" si="13"/>
        <v>1180</v>
      </c>
      <c r="F115" s="199" t="str">
        <f>VLOOKUP(A115,'PUR-PARTY MASTER'!$B$6:$J$250,3,FALSE)</f>
        <v>27-Maharashatra</v>
      </c>
      <c r="G115" s="199" t="str">
        <f>VLOOKUP(A115,'PUR-PARTY MASTER'!$B$6:$J$250,4,FALSE)</f>
        <v>N</v>
      </c>
      <c r="H115" s="199" t="str">
        <f>VLOOKUP(A115,'PUR-PARTY MASTER'!$B$6:$J$250,5,FALSE)</f>
        <v>Regular</v>
      </c>
      <c r="I115" s="199">
        <f>VLOOKUP(A115,'PUR-PARTY MASTER'!$B$6:$J$250,6,FALSE)</f>
        <v>0</v>
      </c>
      <c r="J115" s="201">
        <v>18</v>
      </c>
      <c r="K115" s="400">
        <v>1000</v>
      </c>
      <c r="L115" s="202">
        <f t="shared" si="14"/>
        <v>0</v>
      </c>
      <c r="M115" s="202">
        <f t="shared" si="15"/>
        <v>90</v>
      </c>
      <c r="N115" s="202">
        <f t="shared" si="16"/>
        <v>90</v>
      </c>
      <c r="O115" s="8">
        <v>0</v>
      </c>
      <c r="P115" s="341" t="s">
        <v>177</v>
      </c>
      <c r="Q115" s="329">
        <f t="shared" si="17"/>
        <v>0</v>
      </c>
      <c r="R115" s="329">
        <f t="shared" si="18"/>
        <v>90</v>
      </c>
      <c r="S115" s="329">
        <f t="shared" si="19"/>
        <v>90</v>
      </c>
      <c r="T115" s="8">
        <f t="shared" si="20"/>
        <v>0</v>
      </c>
      <c r="U115" s="199">
        <f>VLOOKUP(A115,'PUR-PARTY MASTER'!$B$6:$J$250,7,FALSE)</f>
        <v>2</v>
      </c>
      <c r="V115" s="199" t="str">
        <f>VLOOKUP(A115,'PUR-PARTY MASTER'!$B$6:$J$250,8,FALSE)</f>
        <v>Local Pur</v>
      </c>
      <c r="W115" s="199" t="s">
        <v>894</v>
      </c>
      <c r="X115" s="404" t="s">
        <v>509</v>
      </c>
      <c r="Y115" s="201" t="str">
        <f>VLOOKUP(X115,'PUR-HSN MASTER'!$A$6:$D$247,2,FALSE)</f>
        <v>Bubble Bag</v>
      </c>
      <c r="Z115" s="201" t="str">
        <f>VLOOKUP(X115,'PUR-HSN MASTER'!$A$6:$D$247,3,FALSE)</f>
        <v>NOS-NUMBERS</v>
      </c>
      <c r="AA115" s="334" t="str">
        <f>VLOOKUP(X115,'PUR-HSN MASTER'!$A$6:$D$247,4,FALSE)</f>
        <v>Goods</v>
      </c>
      <c r="AB115" s="401">
        <v>200</v>
      </c>
    </row>
    <row r="116" spans="1:28" ht="14.4" x14ac:dyDescent="0.3">
      <c r="A116" s="128" t="s">
        <v>346</v>
      </c>
      <c r="B116" s="199" t="str">
        <f>VLOOKUP(A116,'PUR-PARTY MASTER'!$B$6:$J$250,2,FALSE)</f>
        <v>S &amp; P Electrocoating Pvt Ltd,</v>
      </c>
      <c r="C116" s="403">
        <v>4208</v>
      </c>
      <c r="D116" s="398">
        <v>43144</v>
      </c>
      <c r="E116" s="329">
        <f t="shared" si="13"/>
        <v>2231.38</v>
      </c>
      <c r="F116" s="199" t="str">
        <f>VLOOKUP(A116,'PUR-PARTY MASTER'!$B$6:$J$250,3,FALSE)</f>
        <v>27-Maharashatra</v>
      </c>
      <c r="G116" s="199" t="str">
        <f>VLOOKUP(A116,'PUR-PARTY MASTER'!$B$6:$J$250,4,FALSE)</f>
        <v>N</v>
      </c>
      <c r="H116" s="199" t="str">
        <f>VLOOKUP(A116,'PUR-PARTY MASTER'!$B$6:$J$250,5,FALSE)</f>
        <v>Regular</v>
      </c>
      <c r="I116" s="199">
        <f>VLOOKUP(A116,'PUR-PARTY MASTER'!$B$6:$J$250,6,FALSE)</f>
        <v>0</v>
      </c>
      <c r="J116" s="201">
        <v>18</v>
      </c>
      <c r="K116" s="400">
        <v>1891</v>
      </c>
      <c r="L116" s="202">
        <f t="shared" si="14"/>
        <v>0</v>
      </c>
      <c r="M116" s="202">
        <f t="shared" si="15"/>
        <v>170.19</v>
      </c>
      <c r="N116" s="202">
        <f t="shared" si="16"/>
        <v>170.19</v>
      </c>
      <c r="O116" s="8">
        <v>0</v>
      </c>
      <c r="P116" s="341" t="s">
        <v>177</v>
      </c>
      <c r="Q116" s="329">
        <f t="shared" si="17"/>
        <v>0</v>
      </c>
      <c r="R116" s="329">
        <f t="shared" si="18"/>
        <v>170.19</v>
      </c>
      <c r="S116" s="329">
        <f t="shared" si="19"/>
        <v>170.19</v>
      </c>
      <c r="T116" s="8">
        <f t="shared" si="20"/>
        <v>0</v>
      </c>
      <c r="U116" s="199">
        <f>VLOOKUP(A116,'PUR-PARTY MASTER'!$B$6:$J$250,7,FALSE)</f>
        <v>2</v>
      </c>
      <c r="V116" s="199" t="str">
        <f>VLOOKUP(A116,'PUR-PARTY MASTER'!$B$6:$J$250,8,FALSE)</f>
        <v>Local Pur</v>
      </c>
      <c r="W116" s="199" t="s">
        <v>894</v>
      </c>
      <c r="X116" s="404">
        <v>998933</v>
      </c>
      <c r="Y116" s="201" t="str">
        <f>VLOOKUP(X116,'PUR-HSN MASTER'!$A$6:$D$247,2,FALSE)</f>
        <v>Parts &amp; Accessories Of Motor Vehicles Other</v>
      </c>
      <c r="Z116" s="201" t="str">
        <f>VLOOKUP(X116,'PUR-HSN MASTER'!$A$6:$D$247,3,FALSE)</f>
        <v>NOS-NUMBERS</v>
      </c>
      <c r="AA116" s="334" t="str">
        <f>VLOOKUP(X116,'PUR-HSN MASTER'!$A$6:$D$247,4,FALSE)</f>
        <v>Goods</v>
      </c>
      <c r="AB116" s="401">
        <v>244</v>
      </c>
    </row>
    <row r="117" spans="1:28" ht="14.4" x14ac:dyDescent="0.3">
      <c r="A117" s="128" t="s">
        <v>346</v>
      </c>
      <c r="B117" s="199" t="str">
        <f>VLOOKUP(A117,'PUR-PARTY MASTER'!$B$6:$J$250,2,FALSE)</f>
        <v>S &amp; P Electrocoating Pvt Ltd,</v>
      </c>
      <c r="C117" s="403">
        <v>4209</v>
      </c>
      <c r="D117" s="398">
        <v>43144</v>
      </c>
      <c r="E117" s="329">
        <f t="shared" si="13"/>
        <v>637.20000000000005</v>
      </c>
      <c r="F117" s="199" t="str">
        <f>VLOOKUP(A117,'PUR-PARTY MASTER'!$B$6:$J$250,3,FALSE)</f>
        <v>27-Maharashatra</v>
      </c>
      <c r="G117" s="199" t="str">
        <f>VLOOKUP(A117,'PUR-PARTY MASTER'!$B$6:$J$250,4,FALSE)</f>
        <v>N</v>
      </c>
      <c r="H117" s="199" t="str">
        <f>VLOOKUP(A117,'PUR-PARTY MASTER'!$B$6:$J$250,5,FALSE)</f>
        <v>Regular</v>
      </c>
      <c r="I117" s="199">
        <f>VLOOKUP(A117,'PUR-PARTY MASTER'!$B$6:$J$250,6,FALSE)</f>
        <v>0</v>
      </c>
      <c r="J117" s="201">
        <v>18</v>
      </c>
      <c r="K117" s="400">
        <v>540</v>
      </c>
      <c r="L117" s="202">
        <f t="shared" si="14"/>
        <v>0</v>
      </c>
      <c r="M117" s="202">
        <f t="shared" si="15"/>
        <v>48.6</v>
      </c>
      <c r="N117" s="202">
        <f t="shared" si="16"/>
        <v>48.6</v>
      </c>
      <c r="O117" s="8">
        <v>0</v>
      </c>
      <c r="P117" s="341" t="s">
        <v>177</v>
      </c>
      <c r="Q117" s="329">
        <f t="shared" si="17"/>
        <v>0</v>
      </c>
      <c r="R117" s="329">
        <f t="shared" si="18"/>
        <v>48.6</v>
      </c>
      <c r="S117" s="329">
        <f t="shared" si="19"/>
        <v>48.6</v>
      </c>
      <c r="T117" s="8">
        <f t="shared" si="20"/>
        <v>0</v>
      </c>
      <c r="U117" s="199">
        <f>VLOOKUP(A117,'PUR-PARTY MASTER'!$B$6:$J$250,7,FALSE)</f>
        <v>2</v>
      </c>
      <c r="V117" s="199" t="str">
        <f>VLOOKUP(A117,'PUR-PARTY MASTER'!$B$6:$J$250,8,FALSE)</f>
        <v>Local Pur</v>
      </c>
      <c r="W117" s="199" t="s">
        <v>894</v>
      </c>
      <c r="X117" s="404">
        <v>998933</v>
      </c>
      <c r="Y117" s="201" t="str">
        <f>VLOOKUP(X117,'PUR-HSN MASTER'!$A$6:$D$247,2,FALSE)</f>
        <v>Parts &amp; Accessories Of Motor Vehicles Other</v>
      </c>
      <c r="Z117" s="201" t="str">
        <f>VLOOKUP(X117,'PUR-HSN MASTER'!$A$6:$D$247,3,FALSE)</f>
        <v>NOS-NUMBERS</v>
      </c>
      <c r="AA117" s="334" t="str">
        <f>VLOOKUP(X117,'PUR-HSN MASTER'!$A$6:$D$247,4,FALSE)</f>
        <v>Goods</v>
      </c>
      <c r="AB117" s="401">
        <v>12</v>
      </c>
    </row>
    <row r="118" spans="1:28" ht="14.4" x14ac:dyDescent="0.3">
      <c r="A118" s="128" t="s">
        <v>27</v>
      </c>
      <c r="B118" s="199" t="str">
        <f>VLOOKUP(A118,'PUR-PARTY MASTER'!$B$6:$J$250,2,FALSE)</f>
        <v>Rinder India Pvt Ltd.</v>
      </c>
      <c r="C118" s="403">
        <v>2701822748</v>
      </c>
      <c r="D118" s="398">
        <v>43144</v>
      </c>
      <c r="E118" s="329">
        <f t="shared" si="13"/>
        <v>78304.799999999988</v>
      </c>
      <c r="F118" s="199" t="str">
        <f>VLOOKUP(A118,'PUR-PARTY MASTER'!$B$6:$J$250,3,FALSE)</f>
        <v>27-Maharashatra</v>
      </c>
      <c r="G118" s="199" t="str">
        <f>VLOOKUP(A118,'PUR-PARTY MASTER'!$B$6:$J$250,4,FALSE)</f>
        <v>N</v>
      </c>
      <c r="H118" s="199" t="str">
        <f>VLOOKUP(A118,'PUR-PARTY MASTER'!$B$6:$J$250,5,FALSE)</f>
        <v>Regular</v>
      </c>
      <c r="I118" s="199">
        <f>VLOOKUP(A118,'PUR-PARTY MASTER'!$B$6:$J$250,6,FALSE)</f>
        <v>0</v>
      </c>
      <c r="J118" s="201">
        <v>18</v>
      </c>
      <c r="K118" s="400">
        <v>66360</v>
      </c>
      <c r="L118" s="202">
        <f t="shared" si="14"/>
        <v>0</v>
      </c>
      <c r="M118" s="202">
        <f t="shared" si="15"/>
        <v>5972.4</v>
      </c>
      <c r="N118" s="202">
        <f t="shared" si="16"/>
        <v>5972.4</v>
      </c>
      <c r="O118" s="8">
        <v>0</v>
      </c>
      <c r="P118" s="341" t="s">
        <v>177</v>
      </c>
      <c r="Q118" s="329">
        <f t="shared" si="17"/>
        <v>0</v>
      </c>
      <c r="R118" s="329">
        <f t="shared" si="18"/>
        <v>5972.4</v>
      </c>
      <c r="S118" s="329">
        <f t="shared" si="19"/>
        <v>5972.4</v>
      </c>
      <c r="T118" s="8">
        <f t="shared" si="20"/>
        <v>0</v>
      </c>
      <c r="U118" s="199">
        <f>VLOOKUP(A118,'PUR-PARTY MASTER'!$B$6:$J$250,7,FALSE)</f>
        <v>2</v>
      </c>
      <c r="V118" s="199" t="str">
        <f>VLOOKUP(A118,'PUR-PARTY MASTER'!$B$6:$J$250,8,FALSE)</f>
        <v>Local Pur</v>
      </c>
      <c r="W118" s="199" t="s">
        <v>894</v>
      </c>
      <c r="X118" s="404">
        <v>85129000</v>
      </c>
      <c r="Y118" s="201" t="str">
        <f>VLOOKUP(X118,'PUR-HSN MASTER'!$A$6:$D$247,2,FALSE)</f>
        <v>Lighting &amp; Fitting</v>
      </c>
      <c r="Z118" s="201" t="str">
        <f>VLOOKUP(X118,'PUR-HSN MASTER'!$A$6:$D$247,3,FALSE)</f>
        <v>NOS-NUMBERS</v>
      </c>
      <c r="AA118" s="334" t="str">
        <f>VLOOKUP(X118,'PUR-HSN MASTER'!$A$6:$D$247,4,FALSE)</f>
        <v>Goods</v>
      </c>
      <c r="AB118" s="401">
        <v>6000</v>
      </c>
    </row>
    <row r="119" spans="1:28" ht="14.4" x14ac:dyDescent="0.3">
      <c r="A119" s="128" t="s">
        <v>335</v>
      </c>
      <c r="B119" s="199" t="str">
        <f>VLOOKUP(A119,'PUR-PARTY MASTER'!$B$6:$J$250,2,FALSE)</f>
        <v>Atharva Polymers Pvt Ltd,</v>
      </c>
      <c r="C119" s="403" t="s">
        <v>1394</v>
      </c>
      <c r="D119" s="398">
        <v>43144</v>
      </c>
      <c r="E119" s="329">
        <f t="shared" si="13"/>
        <v>54502.399999999994</v>
      </c>
      <c r="F119" s="199" t="str">
        <f>VLOOKUP(A119,'PUR-PARTY MASTER'!$B$6:$J$250,3,FALSE)</f>
        <v>27-Maharashatra</v>
      </c>
      <c r="G119" s="199" t="str">
        <f>VLOOKUP(A119,'PUR-PARTY MASTER'!$B$6:$J$250,4,FALSE)</f>
        <v>N</v>
      </c>
      <c r="H119" s="199" t="str">
        <f>VLOOKUP(A119,'PUR-PARTY MASTER'!$B$6:$J$250,5,FALSE)</f>
        <v>Regular</v>
      </c>
      <c r="I119" s="199">
        <f>VLOOKUP(A119,'PUR-PARTY MASTER'!$B$6:$J$250,6,FALSE)</f>
        <v>0</v>
      </c>
      <c r="J119" s="201">
        <v>28</v>
      </c>
      <c r="K119" s="400">
        <f>42475+105</f>
        <v>42580</v>
      </c>
      <c r="L119" s="202">
        <f t="shared" si="14"/>
        <v>0</v>
      </c>
      <c r="M119" s="202">
        <f t="shared" si="15"/>
        <v>5961.2000000000007</v>
      </c>
      <c r="N119" s="202">
        <f t="shared" si="16"/>
        <v>5961.2000000000007</v>
      </c>
      <c r="O119" s="8">
        <v>0</v>
      </c>
      <c r="P119" s="341" t="s">
        <v>177</v>
      </c>
      <c r="Q119" s="329">
        <f t="shared" si="17"/>
        <v>0</v>
      </c>
      <c r="R119" s="329">
        <f t="shared" si="18"/>
        <v>5961.2000000000007</v>
      </c>
      <c r="S119" s="329">
        <f t="shared" si="19"/>
        <v>5961.2000000000007</v>
      </c>
      <c r="T119" s="8">
        <f t="shared" si="20"/>
        <v>0</v>
      </c>
      <c r="U119" s="199">
        <f>VLOOKUP(A119,'PUR-PARTY MASTER'!$B$6:$J$250,7,FALSE)</f>
        <v>2</v>
      </c>
      <c r="V119" s="199" t="str">
        <f>VLOOKUP(A119,'PUR-PARTY MASTER'!$B$6:$J$250,8,FALSE)</f>
        <v>Local Pur</v>
      </c>
      <c r="W119" s="199" t="s">
        <v>897</v>
      </c>
      <c r="X119" s="404">
        <v>87141900</v>
      </c>
      <c r="Y119" s="201" t="str">
        <f>VLOOKUP(X119,'PUR-HSN MASTER'!$A$6:$D$247,2,FALSE)</f>
        <v>Parts &amp; Accessories Of Motor Vehicles Other</v>
      </c>
      <c r="Z119" s="201" t="str">
        <f>VLOOKUP(X119,'PUR-HSN MASTER'!$A$6:$D$247,3,FALSE)</f>
        <v>KLR-KILOLITRE</v>
      </c>
      <c r="AA119" s="334" t="str">
        <f>VLOOKUP(X119,'PUR-HSN MASTER'!$A$6:$D$247,4,FALSE)</f>
        <v>Goods</v>
      </c>
      <c r="AB119" s="401">
        <v>1000</v>
      </c>
    </row>
    <row r="120" spans="1:28" ht="14.4" x14ac:dyDescent="0.3">
      <c r="A120" s="128" t="s">
        <v>335</v>
      </c>
      <c r="B120" s="199" t="str">
        <f>VLOOKUP(A120,'PUR-PARTY MASTER'!$B$6:$J$250,2,FALSE)</f>
        <v>Atharva Polymers Pvt Ltd,</v>
      </c>
      <c r="C120" s="403" t="s">
        <v>1395</v>
      </c>
      <c r="D120" s="398">
        <v>43144</v>
      </c>
      <c r="E120" s="329">
        <f t="shared" si="13"/>
        <v>54355.968000000001</v>
      </c>
      <c r="F120" s="199" t="str">
        <f>VLOOKUP(A120,'PUR-PARTY MASTER'!$B$6:$J$250,3,FALSE)</f>
        <v>27-Maharashatra</v>
      </c>
      <c r="G120" s="199" t="str">
        <f>VLOOKUP(A120,'PUR-PARTY MASTER'!$B$6:$J$250,4,FALSE)</f>
        <v>N</v>
      </c>
      <c r="H120" s="199" t="str">
        <f>VLOOKUP(A120,'PUR-PARTY MASTER'!$B$6:$J$250,5,FALSE)</f>
        <v>Regular</v>
      </c>
      <c r="I120" s="199">
        <f>VLOOKUP(A120,'PUR-PARTY MASTER'!$B$6:$J$250,6,FALSE)</f>
        <v>0</v>
      </c>
      <c r="J120" s="201">
        <v>28</v>
      </c>
      <c r="K120" s="400">
        <f>42365+100.6</f>
        <v>42465.599999999999</v>
      </c>
      <c r="L120" s="202">
        <f t="shared" si="14"/>
        <v>0</v>
      </c>
      <c r="M120" s="202">
        <f t="shared" si="15"/>
        <v>5945.1840000000002</v>
      </c>
      <c r="N120" s="202">
        <f t="shared" si="16"/>
        <v>5945.1840000000002</v>
      </c>
      <c r="O120" s="8">
        <v>0</v>
      </c>
      <c r="P120" s="341" t="s">
        <v>177</v>
      </c>
      <c r="Q120" s="329">
        <f t="shared" si="17"/>
        <v>0</v>
      </c>
      <c r="R120" s="329">
        <f t="shared" si="18"/>
        <v>5945.1840000000002</v>
      </c>
      <c r="S120" s="329">
        <f t="shared" si="19"/>
        <v>5945.1840000000002</v>
      </c>
      <c r="T120" s="8">
        <f t="shared" si="20"/>
        <v>0</v>
      </c>
      <c r="U120" s="199">
        <f>VLOOKUP(A120,'PUR-PARTY MASTER'!$B$6:$J$250,7,FALSE)</f>
        <v>2</v>
      </c>
      <c r="V120" s="199" t="str">
        <f>VLOOKUP(A120,'PUR-PARTY MASTER'!$B$6:$J$250,8,FALSE)</f>
        <v>Local Pur</v>
      </c>
      <c r="W120" s="199" t="s">
        <v>897</v>
      </c>
      <c r="X120" s="404">
        <v>87141900</v>
      </c>
      <c r="Y120" s="201" t="str">
        <f>VLOOKUP(X120,'PUR-HSN MASTER'!$A$6:$D$247,2,FALSE)</f>
        <v>Parts &amp; Accessories Of Motor Vehicles Other</v>
      </c>
      <c r="Z120" s="201" t="str">
        <f>VLOOKUP(X120,'PUR-HSN MASTER'!$A$6:$D$247,3,FALSE)</f>
        <v>KLR-KILOLITRE</v>
      </c>
      <c r="AA120" s="334" t="str">
        <f>VLOOKUP(X120,'PUR-HSN MASTER'!$A$6:$D$247,4,FALSE)</f>
        <v>Goods</v>
      </c>
      <c r="AB120" s="401">
        <v>1000</v>
      </c>
    </row>
    <row r="121" spans="1:28" ht="14.4" x14ac:dyDescent="0.3">
      <c r="A121" s="128" t="s">
        <v>23</v>
      </c>
      <c r="B121" s="199" t="str">
        <f>VLOOKUP(A121,'PUR-PARTY MASTER'!$B$6:$J$250,2,FALSE)</f>
        <v>Varroc Polymers Pvt Ltd,</v>
      </c>
      <c r="C121" s="403">
        <v>2041071540</v>
      </c>
      <c r="D121" s="398">
        <v>43144</v>
      </c>
      <c r="E121" s="329">
        <f t="shared" si="13"/>
        <v>6617.6</v>
      </c>
      <c r="F121" s="199" t="str">
        <f>VLOOKUP(A121,'PUR-PARTY MASTER'!$B$6:$J$250,3,FALSE)</f>
        <v>27-Maharashatra</v>
      </c>
      <c r="G121" s="199" t="str">
        <f>VLOOKUP(A121,'PUR-PARTY MASTER'!$B$6:$J$250,4,FALSE)</f>
        <v>N</v>
      </c>
      <c r="H121" s="199" t="str">
        <f>VLOOKUP(A121,'PUR-PARTY MASTER'!$B$6:$J$250,5,FALSE)</f>
        <v>Regular</v>
      </c>
      <c r="I121" s="199">
        <f>VLOOKUP(A121,'PUR-PARTY MASTER'!$B$6:$J$250,6,FALSE)</f>
        <v>0</v>
      </c>
      <c r="J121" s="201">
        <v>28</v>
      </c>
      <c r="K121" s="400">
        <v>5170</v>
      </c>
      <c r="L121" s="202">
        <f t="shared" si="14"/>
        <v>0</v>
      </c>
      <c r="M121" s="202">
        <f t="shared" si="15"/>
        <v>723.80000000000007</v>
      </c>
      <c r="N121" s="202">
        <f t="shared" si="16"/>
        <v>723.80000000000007</v>
      </c>
      <c r="O121" s="8">
        <v>0</v>
      </c>
      <c r="P121" s="341" t="s">
        <v>177</v>
      </c>
      <c r="Q121" s="329">
        <f t="shared" si="17"/>
        <v>0</v>
      </c>
      <c r="R121" s="329">
        <f t="shared" si="18"/>
        <v>723.80000000000007</v>
      </c>
      <c r="S121" s="329">
        <f t="shared" si="19"/>
        <v>723.80000000000007</v>
      </c>
      <c r="T121" s="8">
        <f t="shared" si="20"/>
        <v>0</v>
      </c>
      <c r="U121" s="199">
        <f>VLOOKUP(A121,'PUR-PARTY MASTER'!$B$6:$J$250,7,FALSE)</f>
        <v>2</v>
      </c>
      <c r="V121" s="199" t="str">
        <f>VLOOKUP(A121,'PUR-PARTY MASTER'!$B$6:$J$250,8,FALSE)</f>
        <v>Local Pur</v>
      </c>
      <c r="W121" s="199" t="s">
        <v>897</v>
      </c>
      <c r="X121" s="404">
        <v>87141090</v>
      </c>
      <c r="Y121" s="201" t="str">
        <f>VLOOKUP(X121,'PUR-HSN MASTER'!$A$6:$D$247,2,FALSE)</f>
        <v>Parts &amp; Accessories Of Motor Vehicles Other</v>
      </c>
      <c r="Z121" s="201" t="str">
        <f>VLOOKUP(X121,'PUR-HSN MASTER'!$A$6:$D$247,3,FALSE)</f>
        <v>NOS-NUMBERS</v>
      </c>
      <c r="AA121" s="334" t="str">
        <f>VLOOKUP(X121,'PUR-HSN MASTER'!$A$6:$D$247,4,FALSE)</f>
        <v>Goods</v>
      </c>
      <c r="AB121" s="401">
        <v>250</v>
      </c>
    </row>
    <row r="122" spans="1:28" ht="14.4" x14ac:dyDescent="0.3">
      <c r="A122" s="128" t="s">
        <v>23</v>
      </c>
      <c r="B122" s="199" t="str">
        <f>VLOOKUP(A122,'PUR-PARTY MASTER'!$B$6:$J$250,2,FALSE)</f>
        <v>Varroc Polymers Pvt Ltd,</v>
      </c>
      <c r="C122" s="403">
        <v>2041071541</v>
      </c>
      <c r="D122" s="398">
        <v>43144</v>
      </c>
      <c r="E122" s="329">
        <f t="shared" si="13"/>
        <v>6617.6</v>
      </c>
      <c r="F122" s="199" t="str">
        <f>VLOOKUP(A122,'PUR-PARTY MASTER'!$B$6:$J$250,3,FALSE)</f>
        <v>27-Maharashatra</v>
      </c>
      <c r="G122" s="199" t="str">
        <f>VLOOKUP(A122,'PUR-PARTY MASTER'!$B$6:$J$250,4,FALSE)</f>
        <v>N</v>
      </c>
      <c r="H122" s="199" t="str">
        <f>VLOOKUP(A122,'PUR-PARTY MASTER'!$B$6:$J$250,5,FALSE)</f>
        <v>Regular</v>
      </c>
      <c r="I122" s="199">
        <f>VLOOKUP(A122,'PUR-PARTY MASTER'!$B$6:$J$250,6,FALSE)</f>
        <v>0</v>
      </c>
      <c r="J122" s="201">
        <v>28</v>
      </c>
      <c r="K122" s="400">
        <v>5170</v>
      </c>
      <c r="L122" s="202">
        <f t="shared" si="14"/>
        <v>0</v>
      </c>
      <c r="M122" s="202">
        <f t="shared" si="15"/>
        <v>723.80000000000007</v>
      </c>
      <c r="N122" s="202">
        <f t="shared" si="16"/>
        <v>723.80000000000007</v>
      </c>
      <c r="O122" s="8">
        <v>0</v>
      </c>
      <c r="P122" s="341" t="s">
        <v>177</v>
      </c>
      <c r="Q122" s="329">
        <f t="shared" si="17"/>
        <v>0</v>
      </c>
      <c r="R122" s="329">
        <f t="shared" si="18"/>
        <v>723.80000000000007</v>
      </c>
      <c r="S122" s="329">
        <f t="shared" si="19"/>
        <v>723.80000000000007</v>
      </c>
      <c r="T122" s="8">
        <f t="shared" si="20"/>
        <v>0</v>
      </c>
      <c r="U122" s="199">
        <f>VLOOKUP(A122,'PUR-PARTY MASTER'!$B$6:$J$250,7,FALSE)</f>
        <v>2</v>
      </c>
      <c r="V122" s="199" t="str">
        <f>VLOOKUP(A122,'PUR-PARTY MASTER'!$B$6:$J$250,8,FALSE)</f>
        <v>Local Pur</v>
      </c>
      <c r="W122" s="199" t="s">
        <v>897</v>
      </c>
      <c r="X122" s="404">
        <v>87141090</v>
      </c>
      <c r="Y122" s="201" t="str">
        <f>VLOOKUP(X122,'PUR-HSN MASTER'!$A$6:$D$247,2,FALSE)</f>
        <v>Parts &amp; Accessories Of Motor Vehicles Other</v>
      </c>
      <c r="Z122" s="201" t="str">
        <f>VLOOKUP(X122,'PUR-HSN MASTER'!$A$6:$D$247,3,FALSE)</f>
        <v>NOS-NUMBERS</v>
      </c>
      <c r="AA122" s="334" t="str">
        <f>VLOOKUP(X122,'PUR-HSN MASTER'!$A$6:$D$247,4,FALSE)</f>
        <v>Goods</v>
      </c>
      <c r="AB122" s="401">
        <v>250</v>
      </c>
    </row>
    <row r="123" spans="1:28" ht="14.4" x14ac:dyDescent="0.3">
      <c r="A123" s="128" t="s">
        <v>333</v>
      </c>
      <c r="B123" s="199" t="str">
        <f>VLOOKUP(A123,'PUR-PARTY MASTER'!$B$6:$J$250,2,FALSE)</f>
        <v>Aditya Enteprises</v>
      </c>
      <c r="C123" s="403">
        <v>4711</v>
      </c>
      <c r="D123" s="398">
        <v>43144</v>
      </c>
      <c r="E123" s="329">
        <f t="shared" si="13"/>
        <v>20346.150000000001</v>
      </c>
      <c r="F123" s="199" t="str">
        <f>VLOOKUP(A123,'PUR-PARTY MASTER'!$B$6:$J$250,3,FALSE)</f>
        <v>27-Maharashatra</v>
      </c>
      <c r="G123" s="199" t="str">
        <f>VLOOKUP(A123,'PUR-PARTY MASTER'!$B$6:$J$250,4,FALSE)</f>
        <v>N</v>
      </c>
      <c r="H123" s="199" t="str">
        <f>VLOOKUP(A123,'PUR-PARTY MASTER'!$B$6:$J$250,5,FALSE)</f>
        <v>Regular</v>
      </c>
      <c r="I123" s="199">
        <f>VLOOKUP(A123,'PUR-PARTY MASTER'!$B$6:$J$250,6,FALSE)</f>
        <v>0</v>
      </c>
      <c r="J123" s="201">
        <v>18</v>
      </c>
      <c r="K123" s="400">
        <v>17242.5</v>
      </c>
      <c r="L123" s="202">
        <f t="shared" si="14"/>
        <v>0</v>
      </c>
      <c r="M123" s="202">
        <f t="shared" si="15"/>
        <v>1551.825</v>
      </c>
      <c r="N123" s="202">
        <f t="shared" si="16"/>
        <v>1551.825</v>
      </c>
      <c r="O123" s="8">
        <v>0</v>
      </c>
      <c r="P123" s="341" t="s">
        <v>177</v>
      </c>
      <c r="Q123" s="329">
        <f t="shared" si="17"/>
        <v>0</v>
      </c>
      <c r="R123" s="329">
        <f t="shared" si="18"/>
        <v>1551.825</v>
      </c>
      <c r="S123" s="329">
        <f t="shared" si="19"/>
        <v>1551.825</v>
      </c>
      <c r="T123" s="8">
        <f t="shared" si="20"/>
        <v>0</v>
      </c>
      <c r="U123" s="199">
        <f>VLOOKUP(A123,'PUR-PARTY MASTER'!$B$6:$J$250,7,FALSE)</f>
        <v>2</v>
      </c>
      <c r="V123" s="199" t="str">
        <f>VLOOKUP(A123,'PUR-PARTY MASTER'!$B$6:$J$250,8,FALSE)</f>
        <v>Local Pur</v>
      </c>
      <c r="W123" s="199" t="s">
        <v>894</v>
      </c>
      <c r="X123" s="404">
        <v>85129000</v>
      </c>
      <c r="Y123" s="201" t="str">
        <f>VLOOKUP(X123,'PUR-HSN MASTER'!$A$6:$D$247,2,FALSE)</f>
        <v>Lighting &amp; Fitting</v>
      </c>
      <c r="Z123" s="201" t="str">
        <f>VLOOKUP(X123,'PUR-HSN MASTER'!$A$6:$D$247,3,FALSE)</f>
        <v>NOS-NUMBERS</v>
      </c>
      <c r="AA123" s="334" t="str">
        <f>VLOOKUP(X123,'PUR-HSN MASTER'!$A$6:$D$247,4,FALSE)</f>
        <v>Goods</v>
      </c>
      <c r="AB123" s="401">
        <v>750</v>
      </c>
    </row>
    <row r="124" spans="1:28" ht="14.4" x14ac:dyDescent="0.3">
      <c r="A124" s="128" t="s">
        <v>333</v>
      </c>
      <c r="B124" s="199" t="str">
        <f>VLOOKUP(A124,'PUR-PARTY MASTER'!$B$6:$J$250,2,FALSE)</f>
        <v>Aditya Enteprises</v>
      </c>
      <c r="C124" s="403">
        <v>4712</v>
      </c>
      <c r="D124" s="398">
        <v>43144</v>
      </c>
      <c r="E124" s="329">
        <f t="shared" si="13"/>
        <v>43394.688800000004</v>
      </c>
      <c r="F124" s="199" t="str">
        <f>VLOOKUP(A124,'PUR-PARTY MASTER'!$B$6:$J$250,3,FALSE)</f>
        <v>27-Maharashatra</v>
      </c>
      <c r="G124" s="199" t="str">
        <f>VLOOKUP(A124,'PUR-PARTY MASTER'!$B$6:$J$250,4,FALSE)</f>
        <v>N</v>
      </c>
      <c r="H124" s="199" t="str">
        <f>VLOOKUP(A124,'PUR-PARTY MASTER'!$B$6:$J$250,5,FALSE)</f>
        <v>Regular</v>
      </c>
      <c r="I124" s="199">
        <f>VLOOKUP(A124,'PUR-PARTY MASTER'!$B$6:$J$250,6,FALSE)</f>
        <v>0</v>
      </c>
      <c r="J124" s="201">
        <v>18</v>
      </c>
      <c r="K124" s="400">
        <v>36775.160000000003</v>
      </c>
      <c r="L124" s="202">
        <f t="shared" si="14"/>
        <v>0</v>
      </c>
      <c r="M124" s="202">
        <f t="shared" si="15"/>
        <v>3309.7644</v>
      </c>
      <c r="N124" s="202">
        <f t="shared" si="16"/>
        <v>3309.7644</v>
      </c>
      <c r="O124" s="8">
        <v>0</v>
      </c>
      <c r="P124" s="341" t="s">
        <v>177</v>
      </c>
      <c r="Q124" s="329">
        <f t="shared" si="17"/>
        <v>0</v>
      </c>
      <c r="R124" s="329">
        <f t="shared" si="18"/>
        <v>3309.7644</v>
      </c>
      <c r="S124" s="329">
        <f t="shared" si="19"/>
        <v>3309.7644</v>
      </c>
      <c r="T124" s="8">
        <f t="shared" si="20"/>
        <v>0</v>
      </c>
      <c r="U124" s="199">
        <f>VLOOKUP(A124,'PUR-PARTY MASTER'!$B$6:$J$250,7,FALSE)</f>
        <v>2</v>
      </c>
      <c r="V124" s="199" t="str">
        <f>VLOOKUP(A124,'PUR-PARTY MASTER'!$B$6:$J$250,8,FALSE)</f>
        <v>Local Pur</v>
      </c>
      <c r="W124" s="199" t="s">
        <v>894</v>
      </c>
      <c r="X124" s="404">
        <v>85129000</v>
      </c>
      <c r="Y124" s="201" t="str">
        <f>VLOOKUP(X124,'PUR-HSN MASTER'!$A$6:$D$247,2,FALSE)</f>
        <v>Lighting &amp; Fitting</v>
      </c>
      <c r="Z124" s="201" t="str">
        <f>VLOOKUP(X124,'PUR-HSN MASTER'!$A$6:$D$247,3,FALSE)</f>
        <v>NOS-NUMBERS</v>
      </c>
      <c r="AA124" s="334" t="str">
        <f>VLOOKUP(X124,'PUR-HSN MASTER'!$A$6:$D$247,4,FALSE)</f>
        <v>Goods</v>
      </c>
      <c r="AB124" s="401">
        <v>1126</v>
      </c>
    </row>
    <row r="125" spans="1:28" ht="14.4" x14ac:dyDescent="0.3">
      <c r="A125" s="128" t="s">
        <v>333</v>
      </c>
      <c r="B125" s="199" t="str">
        <f>VLOOKUP(A125,'PUR-PARTY MASTER'!$B$6:$J$250,2,FALSE)</f>
        <v>Aditya Enteprises</v>
      </c>
      <c r="C125" s="403">
        <v>4728</v>
      </c>
      <c r="D125" s="398">
        <v>43144</v>
      </c>
      <c r="E125" s="329">
        <f t="shared" si="13"/>
        <v>10579.998000000001</v>
      </c>
      <c r="F125" s="199" t="str">
        <f>VLOOKUP(A125,'PUR-PARTY MASTER'!$B$6:$J$250,3,FALSE)</f>
        <v>27-Maharashatra</v>
      </c>
      <c r="G125" s="199" t="str">
        <f>VLOOKUP(A125,'PUR-PARTY MASTER'!$B$6:$J$250,4,FALSE)</f>
        <v>N</v>
      </c>
      <c r="H125" s="199" t="str">
        <f>VLOOKUP(A125,'PUR-PARTY MASTER'!$B$6:$J$250,5,FALSE)</f>
        <v>Regular</v>
      </c>
      <c r="I125" s="199">
        <f>VLOOKUP(A125,'PUR-PARTY MASTER'!$B$6:$J$250,6,FALSE)</f>
        <v>0</v>
      </c>
      <c r="J125" s="201">
        <v>18</v>
      </c>
      <c r="K125" s="400">
        <v>8966.1</v>
      </c>
      <c r="L125" s="202">
        <f t="shared" si="14"/>
        <v>0</v>
      </c>
      <c r="M125" s="202">
        <f t="shared" si="15"/>
        <v>806.94899999999996</v>
      </c>
      <c r="N125" s="202">
        <f t="shared" si="16"/>
        <v>806.94899999999996</v>
      </c>
      <c r="O125" s="8">
        <v>0</v>
      </c>
      <c r="P125" s="341" t="s">
        <v>177</v>
      </c>
      <c r="Q125" s="329">
        <f t="shared" si="17"/>
        <v>0</v>
      </c>
      <c r="R125" s="329">
        <f t="shared" si="18"/>
        <v>806.94899999999996</v>
      </c>
      <c r="S125" s="329">
        <f t="shared" si="19"/>
        <v>806.94899999999996</v>
      </c>
      <c r="T125" s="8">
        <f t="shared" si="20"/>
        <v>0</v>
      </c>
      <c r="U125" s="199">
        <f>VLOOKUP(A125,'PUR-PARTY MASTER'!$B$6:$J$250,7,FALSE)</f>
        <v>2</v>
      </c>
      <c r="V125" s="199" t="str">
        <f>VLOOKUP(A125,'PUR-PARTY MASTER'!$B$6:$J$250,8,FALSE)</f>
        <v>Local Pur</v>
      </c>
      <c r="W125" s="199" t="s">
        <v>894</v>
      </c>
      <c r="X125" s="404">
        <v>85129000</v>
      </c>
      <c r="Y125" s="201" t="str">
        <f>VLOOKUP(X125,'PUR-HSN MASTER'!$A$6:$D$247,2,FALSE)</f>
        <v>Lighting &amp; Fitting</v>
      </c>
      <c r="Z125" s="201" t="str">
        <f>VLOOKUP(X125,'PUR-HSN MASTER'!$A$6:$D$247,3,FALSE)</f>
        <v>NOS-NUMBERS</v>
      </c>
      <c r="AA125" s="334" t="str">
        <f>VLOOKUP(X125,'PUR-HSN MASTER'!$A$6:$D$247,4,FALSE)</f>
        <v>Goods</v>
      </c>
      <c r="AB125" s="401">
        <v>390</v>
      </c>
    </row>
    <row r="126" spans="1:28" ht="14.4" x14ac:dyDescent="0.3">
      <c r="A126" s="128" t="s">
        <v>334</v>
      </c>
      <c r="B126" s="199" t="str">
        <f>VLOOKUP(A126,'PUR-PARTY MASTER'!$B$6:$J$250,2,FALSE)</f>
        <v>Aeroaids Corporation</v>
      </c>
      <c r="C126" s="403" t="s">
        <v>1396</v>
      </c>
      <c r="D126" s="398">
        <v>43145</v>
      </c>
      <c r="E126" s="329">
        <f t="shared" si="13"/>
        <v>5600</v>
      </c>
      <c r="F126" s="199" t="str">
        <f>VLOOKUP(A126,'PUR-PARTY MASTER'!$B$6:$J$250,3,FALSE)</f>
        <v>27-Maharashatra</v>
      </c>
      <c r="G126" s="199" t="str">
        <f>VLOOKUP(A126,'PUR-PARTY MASTER'!$B$6:$J$250,4,FALSE)</f>
        <v>N</v>
      </c>
      <c r="H126" s="199" t="str">
        <f>VLOOKUP(A126,'PUR-PARTY MASTER'!$B$6:$J$250,5,FALSE)</f>
        <v>Regular</v>
      </c>
      <c r="I126" s="199">
        <f>VLOOKUP(A126,'PUR-PARTY MASTER'!$B$6:$J$250,6,FALSE)</f>
        <v>0</v>
      </c>
      <c r="J126" s="201">
        <v>28</v>
      </c>
      <c r="K126" s="400">
        <v>4375</v>
      </c>
      <c r="L126" s="202">
        <f t="shared" si="14"/>
        <v>0</v>
      </c>
      <c r="M126" s="202">
        <f t="shared" si="15"/>
        <v>612.50000000000011</v>
      </c>
      <c r="N126" s="202">
        <f t="shared" si="16"/>
        <v>612.50000000000011</v>
      </c>
      <c r="O126" s="8">
        <v>0</v>
      </c>
      <c r="P126" s="341" t="s">
        <v>177</v>
      </c>
      <c r="Q126" s="329">
        <f t="shared" si="17"/>
        <v>0</v>
      </c>
      <c r="R126" s="329">
        <f t="shared" si="18"/>
        <v>612.50000000000011</v>
      </c>
      <c r="S126" s="329">
        <f t="shared" si="19"/>
        <v>612.50000000000011</v>
      </c>
      <c r="T126" s="8">
        <f t="shared" si="20"/>
        <v>0</v>
      </c>
      <c r="U126" s="199">
        <f>VLOOKUP(A126,'PUR-PARTY MASTER'!$B$6:$J$250,7,FALSE)</f>
        <v>2</v>
      </c>
      <c r="V126" s="199" t="str">
        <f>VLOOKUP(A126,'PUR-PARTY MASTER'!$B$6:$J$250,8,FALSE)</f>
        <v>Local Pur</v>
      </c>
      <c r="W126" s="199" t="s">
        <v>897</v>
      </c>
      <c r="X126" s="404">
        <v>32082090</v>
      </c>
      <c r="Y126" s="201" t="str">
        <f>VLOOKUP(X126,'PUR-HSN MASTER'!$A$6:$D$247,2,FALSE)</f>
        <v>Others ( Paint &amp; Varnishes)</v>
      </c>
      <c r="Z126" s="201" t="str">
        <f>VLOOKUP(X126,'PUR-HSN MASTER'!$A$6:$D$247,3,FALSE)</f>
        <v>KLR-KILOLITRE</v>
      </c>
      <c r="AA126" s="334" t="str">
        <f>VLOOKUP(X126,'PUR-HSN MASTER'!$A$6:$D$247,4,FALSE)</f>
        <v>Goods</v>
      </c>
      <c r="AB126" s="401">
        <v>25</v>
      </c>
    </row>
    <row r="127" spans="1:28" ht="14.4" x14ac:dyDescent="0.3">
      <c r="A127" s="128" t="s">
        <v>870</v>
      </c>
      <c r="B127" s="199" t="str">
        <f>VLOOKUP(A127,'PUR-PARTY MASTER'!$B$6:$J$250,2,FALSE)</f>
        <v>Bajaj Automobiles</v>
      </c>
      <c r="C127" s="403" t="s">
        <v>1397</v>
      </c>
      <c r="D127" s="398">
        <v>43145</v>
      </c>
      <c r="E127" s="329">
        <f t="shared" si="13"/>
        <v>3020.8</v>
      </c>
      <c r="F127" s="199" t="str">
        <f>VLOOKUP(A127,'PUR-PARTY MASTER'!$B$6:$J$250,3,FALSE)</f>
        <v>27-Maharashatra</v>
      </c>
      <c r="G127" s="199" t="str">
        <f>VLOOKUP(A127,'PUR-PARTY MASTER'!$B$6:$J$250,4,FALSE)</f>
        <v>N</v>
      </c>
      <c r="H127" s="199" t="str">
        <f>VLOOKUP(A127,'PUR-PARTY MASTER'!$B$6:$J$250,5,FALSE)</f>
        <v>Regular</v>
      </c>
      <c r="I127" s="199">
        <f>VLOOKUP(A127,'PUR-PARTY MASTER'!$B$6:$J$250,6,FALSE)</f>
        <v>0</v>
      </c>
      <c r="J127" s="201">
        <v>18</v>
      </c>
      <c r="K127" s="400">
        <v>2560</v>
      </c>
      <c r="L127" s="202">
        <f t="shared" si="14"/>
        <v>0</v>
      </c>
      <c r="M127" s="202">
        <f t="shared" si="15"/>
        <v>230.39999999999998</v>
      </c>
      <c r="N127" s="202">
        <f t="shared" si="16"/>
        <v>230.39999999999998</v>
      </c>
      <c r="O127" s="8">
        <v>0</v>
      </c>
      <c r="P127" s="341" t="s">
        <v>177</v>
      </c>
      <c r="Q127" s="329">
        <f t="shared" si="17"/>
        <v>0</v>
      </c>
      <c r="R127" s="329">
        <f t="shared" si="18"/>
        <v>230.39999999999998</v>
      </c>
      <c r="S127" s="329">
        <f t="shared" si="19"/>
        <v>230.39999999999998</v>
      </c>
      <c r="T127" s="8">
        <f t="shared" si="20"/>
        <v>0</v>
      </c>
      <c r="U127" s="199">
        <f>VLOOKUP(A127,'PUR-PARTY MASTER'!$B$6:$J$250,7,FALSE)</f>
        <v>2</v>
      </c>
      <c r="V127" s="199" t="str">
        <f>VLOOKUP(A127,'PUR-PARTY MASTER'!$B$6:$J$250,8,FALSE)</f>
        <v>Local Pur</v>
      </c>
      <c r="W127" s="199" t="s">
        <v>894</v>
      </c>
      <c r="X127" s="404" t="s">
        <v>883</v>
      </c>
      <c r="Y127" s="201" t="str">
        <f>VLOOKUP(X127,'PUR-HSN MASTER'!$A$6:$D$247,2,FALSE)</f>
        <v>Petroleum Oils and Oils</v>
      </c>
      <c r="Z127" s="201" t="str">
        <f>VLOOKUP(X127,'PUR-HSN MASTER'!$A$6:$D$247,3,FALSE)</f>
        <v>NOS-NUMBERS</v>
      </c>
      <c r="AA127" s="334" t="str">
        <f>VLOOKUP(X127,'PUR-HSN MASTER'!$A$6:$D$247,4,FALSE)</f>
        <v>Goods</v>
      </c>
      <c r="AB127" s="401">
        <v>32</v>
      </c>
    </row>
    <row r="128" spans="1:28" ht="14.4" x14ac:dyDescent="0.3">
      <c r="A128" s="128" t="s">
        <v>37</v>
      </c>
      <c r="B128" s="199" t="str">
        <f>VLOOKUP(A128,'PUR-PARTY MASTER'!$B$6:$J$250,2,FALSE)</f>
        <v>Tech-Force Composites Pvt,Ltd.,(Indore)</v>
      </c>
      <c r="C128" s="403">
        <v>17633221</v>
      </c>
      <c r="D128" s="398">
        <v>43144</v>
      </c>
      <c r="E128" s="329">
        <f t="shared" si="13"/>
        <v>15937.843200000001</v>
      </c>
      <c r="F128" s="199" t="str">
        <f>VLOOKUP(A128,'PUR-PARTY MASTER'!$B$6:$J$250,3,FALSE)</f>
        <v>23-Madhya Pradesh</v>
      </c>
      <c r="G128" s="199" t="str">
        <f>VLOOKUP(A128,'PUR-PARTY MASTER'!$B$6:$J$250,4,FALSE)</f>
        <v>N</v>
      </c>
      <c r="H128" s="199" t="str">
        <f>VLOOKUP(A128,'PUR-PARTY MASTER'!$B$6:$J$250,5,FALSE)</f>
        <v>Regular</v>
      </c>
      <c r="I128" s="199">
        <f>VLOOKUP(A128,'PUR-PARTY MASTER'!$B$6:$J$250,6,FALSE)</f>
        <v>0</v>
      </c>
      <c r="J128" s="201">
        <v>28</v>
      </c>
      <c r="K128" s="400">
        <v>12451.44</v>
      </c>
      <c r="L128" s="202">
        <f t="shared" si="14"/>
        <v>3486.4032000000002</v>
      </c>
      <c r="M128" s="202">
        <f t="shared" si="15"/>
        <v>0</v>
      </c>
      <c r="N128" s="202">
        <f t="shared" si="16"/>
        <v>0</v>
      </c>
      <c r="O128" s="8">
        <v>0</v>
      </c>
      <c r="P128" s="341" t="s">
        <v>177</v>
      </c>
      <c r="Q128" s="329">
        <f t="shared" si="17"/>
        <v>3486.4032000000002</v>
      </c>
      <c r="R128" s="329">
        <f t="shared" si="18"/>
        <v>0</v>
      </c>
      <c r="S128" s="329">
        <f t="shared" si="19"/>
        <v>0</v>
      </c>
      <c r="T128" s="8">
        <f t="shared" si="20"/>
        <v>0</v>
      </c>
      <c r="U128" s="199">
        <f>VLOOKUP(A128,'PUR-PARTY MASTER'!$B$6:$J$250,7,FALSE)</f>
        <v>2</v>
      </c>
      <c r="V128" s="199" t="str">
        <f>VLOOKUP(A128,'PUR-PARTY MASTER'!$B$6:$J$250,8,FALSE)</f>
        <v>Oms Pur</v>
      </c>
      <c r="W128" s="199" t="s">
        <v>903</v>
      </c>
      <c r="X128" s="404">
        <v>87081090</v>
      </c>
      <c r="Y128" s="201" t="str">
        <f>VLOOKUP(X128,'PUR-HSN MASTER'!$A$6:$D$247,2,FALSE)</f>
        <v>Parts &amp; Accessories Of Motor Vehicles Other</v>
      </c>
      <c r="Z128" s="201" t="str">
        <f>VLOOKUP(X128,'PUR-HSN MASTER'!$A$6:$D$247,3,FALSE)</f>
        <v>NOS-NUMBERS</v>
      </c>
      <c r="AA128" s="334" t="str">
        <f>VLOOKUP(X128,'PUR-HSN MASTER'!$A$6:$D$247,4,FALSE)</f>
        <v>Goods</v>
      </c>
      <c r="AB128" s="401">
        <v>20</v>
      </c>
    </row>
    <row r="129" spans="1:28" ht="14.4" x14ac:dyDescent="0.3">
      <c r="A129" s="128" t="s">
        <v>23</v>
      </c>
      <c r="B129" s="199" t="str">
        <f>VLOOKUP(A129,'PUR-PARTY MASTER'!$B$6:$J$250,2,FALSE)</f>
        <v>Varroc Polymers Pvt Ltd,</v>
      </c>
      <c r="C129" s="403">
        <v>2041071418</v>
      </c>
      <c r="D129" s="398">
        <v>43144</v>
      </c>
      <c r="E129" s="329">
        <f t="shared" si="13"/>
        <v>12890.111999999999</v>
      </c>
      <c r="F129" s="199" t="str">
        <f>VLOOKUP(A129,'PUR-PARTY MASTER'!$B$6:$J$250,3,FALSE)</f>
        <v>27-Maharashatra</v>
      </c>
      <c r="G129" s="199" t="str">
        <f>VLOOKUP(A129,'PUR-PARTY MASTER'!$B$6:$J$250,4,FALSE)</f>
        <v>N</v>
      </c>
      <c r="H129" s="199" t="str">
        <f>VLOOKUP(A129,'PUR-PARTY MASTER'!$B$6:$J$250,5,FALSE)</f>
        <v>Regular</v>
      </c>
      <c r="I129" s="199">
        <f>VLOOKUP(A129,'PUR-PARTY MASTER'!$B$6:$J$250,6,FALSE)</f>
        <v>0</v>
      </c>
      <c r="J129" s="201">
        <v>28</v>
      </c>
      <c r="K129" s="400">
        <v>10070.4</v>
      </c>
      <c r="L129" s="202">
        <f t="shared" si="14"/>
        <v>0</v>
      </c>
      <c r="M129" s="202">
        <f t="shared" si="15"/>
        <v>1409.856</v>
      </c>
      <c r="N129" s="202">
        <f t="shared" si="16"/>
        <v>1409.856</v>
      </c>
      <c r="O129" s="8">
        <v>0</v>
      </c>
      <c r="P129" s="341" t="s">
        <v>177</v>
      </c>
      <c r="Q129" s="329">
        <f t="shared" si="17"/>
        <v>0</v>
      </c>
      <c r="R129" s="329">
        <f t="shared" si="18"/>
        <v>1409.856</v>
      </c>
      <c r="S129" s="329">
        <f t="shared" si="19"/>
        <v>1409.856</v>
      </c>
      <c r="T129" s="8">
        <f t="shared" si="20"/>
        <v>0</v>
      </c>
      <c r="U129" s="199">
        <f>VLOOKUP(A129,'PUR-PARTY MASTER'!$B$6:$J$250,7,FALSE)</f>
        <v>2</v>
      </c>
      <c r="V129" s="199" t="str">
        <f>VLOOKUP(A129,'PUR-PARTY MASTER'!$B$6:$J$250,8,FALSE)</f>
        <v>Local Pur</v>
      </c>
      <c r="W129" s="199" t="s">
        <v>897</v>
      </c>
      <c r="X129" s="404">
        <v>39199090</v>
      </c>
      <c r="Y129" s="201" t="str">
        <f>VLOOKUP(X129,'PUR-HSN MASTER'!$A$6:$D$247,2,FALSE)</f>
        <v>Parts &amp; Accessories Of Motor Vehicles Other</v>
      </c>
      <c r="Z129" s="201" t="str">
        <f>VLOOKUP(X129,'PUR-HSN MASTER'!$A$6:$D$247,3,FALSE)</f>
        <v>KLR-KILOLITRE</v>
      </c>
      <c r="AA129" s="334" t="str">
        <f>VLOOKUP(X129,'PUR-HSN MASTER'!$A$6:$D$247,4,FALSE)</f>
        <v>Goods</v>
      </c>
      <c r="AB129" s="401">
        <v>240</v>
      </c>
    </row>
    <row r="130" spans="1:28" ht="14.4" x14ac:dyDescent="0.3">
      <c r="A130" s="128" t="s">
        <v>23</v>
      </c>
      <c r="B130" s="199" t="str">
        <f>VLOOKUP(A130,'PUR-PARTY MASTER'!$B$6:$J$250,2,FALSE)</f>
        <v>Varroc Polymers Pvt Ltd,</v>
      </c>
      <c r="C130" s="403">
        <v>2041071417</v>
      </c>
      <c r="D130" s="398">
        <v>43144</v>
      </c>
      <c r="E130" s="329">
        <f t="shared" si="13"/>
        <v>15713.279999999999</v>
      </c>
      <c r="F130" s="199" t="str">
        <f>VLOOKUP(A130,'PUR-PARTY MASTER'!$B$6:$J$250,3,FALSE)</f>
        <v>27-Maharashatra</v>
      </c>
      <c r="G130" s="199" t="str">
        <f>VLOOKUP(A130,'PUR-PARTY MASTER'!$B$6:$J$250,4,FALSE)</f>
        <v>N</v>
      </c>
      <c r="H130" s="199" t="str">
        <f>VLOOKUP(A130,'PUR-PARTY MASTER'!$B$6:$J$250,5,FALSE)</f>
        <v>Regular</v>
      </c>
      <c r="I130" s="199">
        <f>VLOOKUP(A130,'PUR-PARTY MASTER'!$B$6:$J$250,6,FALSE)</f>
        <v>0</v>
      </c>
      <c r="J130" s="201">
        <v>28</v>
      </c>
      <c r="K130" s="400">
        <v>12276</v>
      </c>
      <c r="L130" s="202">
        <f t="shared" si="14"/>
        <v>0</v>
      </c>
      <c r="M130" s="202">
        <f t="shared" si="15"/>
        <v>1718.64</v>
      </c>
      <c r="N130" s="202">
        <f t="shared" si="16"/>
        <v>1718.64</v>
      </c>
      <c r="O130" s="8">
        <v>0</v>
      </c>
      <c r="P130" s="341" t="s">
        <v>177</v>
      </c>
      <c r="Q130" s="329">
        <f t="shared" si="17"/>
        <v>0</v>
      </c>
      <c r="R130" s="329">
        <f t="shared" si="18"/>
        <v>1718.64</v>
      </c>
      <c r="S130" s="329">
        <f t="shared" si="19"/>
        <v>1718.64</v>
      </c>
      <c r="T130" s="8">
        <f t="shared" si="20"/>
        <v>0</v>
      </c>
      <c r="U130" s="199">
        <f>VLOOKUP(A130,'PUR-PARTY MASTER'!$B$6:$J$250,7,FALSE)</f>
        <v>2</v>
      </c>
      <c r="V130" s="199" t="str">
        <f>VLOOKUP(A130,'PUR-PARTY MASTER'!$B$6:$J$250,8,FALSE)</f>
        <v>Local Pur</v>
      </c>
      <c r="W130" s="199" t="s">
        <v>897</v>
      </c>
      <c r="X130" s="404">
        <v>87141090</v>
      </c>
      <c r="Y130" s="201" t="str">
        <f>VLOOKUP(X130,'PUR-HSN MASTER'!$A$6:$D$247,2,FALSE)</f>
        <v>Parts &amp; Accessories Of Motor Vehicles Other</v>
      </c>
      <c r="Z130" s="201" t="str">
        <f>VLOOKUP(X130,'PUR-HSN MASTER'!$A$6:$D$247,3,FALSE)</f>
        <v>NOS-NUMBERS</v>
      </c>
      <c r="AA130" s="334" t="str">
        <f>VLOOKUP(X130,'PUR-HSN MASTER'!$A$6:$D$247,4,FALSE)</f>
        <v>Goods</v>
      </c>
      <c r="AB130" s="401">
        <v>240</v>
      </c>
    </row>
    <row r="131" spans="1:28" ht="14.4" x14ac:dyDescent="0.3">
      <c r="A131" s="128" t="s">
        <v>24</v>
      </c>
      <c r="B131" s="199" t="str">
        <f>VLOOKUP(A131,'PUR-PARTY MASTER'!$B$6:$J$250,2,FALSE)</f>
        <v>Tata Autocomp Systems LTD.(X1)</v>
      </c>
      <c r="C131" s="403" t="s">
        <v>1398</v>
      </c>
      <c r="D131" s="398">
        <v>43145</v>
      </c>
      <c r="E131" s="329">
        <f t="shared" si="13"/>
        <v>15008.256000000001</v>
      </c>
      <c r="F131" s="199" t="str">
        <f>VLOOKUP(A131,'PUR-PARTY MASTER'!$B$6:$J$250,3,FALSE)</f>
        <v>27-Maharashatra</v>
      </c>
      <c r="G131" s="199" t="str">
        <f>VLOOKUP(A131,'PUR-PARTY MASTER'!$B$6:$J$250,4,FALSE)</f>
        <v>N</v>
      </c>
      <c r="H131" s="199" t="str">
        <f>VLOOKUP(A131,'PUR-PARTY MASTER'!$B$6:$J$250,5,FALSE)</f>
        <v>Regular</v>
      </c>
      <c r="I131" s="199">
        <f>VLOOKUP(A131,'PUR-PARTY MASTER'!$B$6:$J$250,6,FALSE)</f>
        <v>0</v>
      </c>
      <c r="J131" s="201">
        <v>28</v>
      </c>
      <c r="K131" s="400">
        <v>11725.2</v>
      </c>
      <c r="L131" s="202">
        <f t="shared" si="14"/>
        <v>0</v>
      </c>
      <c r="M131" s="202">
        <f t="shared" si="15"/>
        <v>1641.5280000000002</v>
      </c>
      <c r="N131" s="202">
        <f t="shared" si="16"/>
        <v>1641.5280000000002</v>
      </c>
      <c r="O131" s="8">
        <v>0</v>
      </c>
      <c r="P131" s="341" t="s">
        <v>177</v>
      </c>
      <c r="Q131" s="329">
        <f t="shared" si="17"/>
        <v>0</v>
      </c>
      <c r="R131" s="329">
        <f t="shared" si="18"/>
        <v>1641.5280000000002</v>
      </c>
      <c r="S131" s="329">
        <f t="shared" si="19"/>
        <v>1641.5280000000002</v>
      </c>
      <c r="T131" s="8">
        <f t="shared" si="20"/>
        <v>0</v>
      </c>
      <c r="U131" s="199">
        <f>VLOOKUP(A131,'PUR-PARTY MASTER'!$B$6:$J$250,7,FALSE)</f>
        <v>2</v>
      </c>
      <c r="V131" s="199" t="str">
        <f>VLOOKUP(A131,'PUR-PARTY MASTER'!$B$6:$J$250,8,FALSE)</f>
        <v>Local Pur</v>
      </c>
      <c r="W131" s="199" t="s">
        <v>897</v>
      </c>
      <c r="X131" s="404">
        <v>87081090</v>
      </c>
      <c r="Y131" s="201" t="str">
        <f>VLOOKUP(X131,'PUR-HSN MASTER'!$A$6:$D$247,2,FALSE)</f>
        <v>Parts &amp; Accessories Of Motor Vehicles Other</v>
      </c>
      <c r="Z131" s="201" t="str">
        <f>VLOOKUP(X131,'PUR-HSN MASTER'!$A$6:$D$247,3,FALSE)</f>
        <v>NOS-NUMBERS</v>
      </c>
      <c r="AA131" s="334" t="str">
        <f>VLOOKUP(X131,'PUR-HSN MASTER'!$A$6:$D$247,4,FALSE)</f>
        <v>Goods</v>
      </c>
      <c r="AB131" s="401">
        <v>90</v>
      </c>
    </row>
    <row r="132" spans="1:28" ht="14.4" x14ac:dyDescent="0.3">
      <c r="A132" s="128" t="s">
        <v>24</v>
      </c>
      <c r="B132" s="199" t="str">
        <f>VLOOKUP(A132,'PUR-PARTY MASTER'!$B$6:$J$250,2,FALSE)</f>
        <v>Tata Autocomp Systems LTD.(X1)</v>
      </c>
      <c r="C132" s="403" t="s">
        <v>1399</v>
      </c>
      <c r="D132" s="398">
        <v>43145</v>
      </c>
      <c r="E132" s="329">
        <f t="shared" si="13"/>
        <v>8003.5839999999998</v>
      </c>
      <c r="F132" s="199" t="str">
        <f>VLOOKUP(A132,'PUR-PARTY MASTER'!$B$6:$J$250,3,FALSE)</f>
        <v>27-Maharashatra</v>
      </c>
      <c r="G132" s="199" t="str">
        <f>VLOOKUP(A132,'PUR-PARTY MASTER'!$B$6:$J$250,4,FALSE)</f>
        <v>N</v>
      </c>
      <c r="H132" s="199" t="str">
        <f>VLOOKUP(A132,'PUR-PARTY MASTER'!$B$6:$J$250,5,FALSE)</f>
        <v>Regular</v>
      </c>
      <c r="I132" s="199">
        <f>VLOOKUP(A132,'PUR-PARTY MASTER'!$B$6:$J$250,6,FALSE)</f>
        <v>0</v>
      </c>
      <c r="J132" s="201">
        <v>28</v>
      </c>
      <c r="K132" s="400">
        <v>6252.8</v>
      </c>
      <c r="L132" s="202">
        <f t="shared" si="14"/>
        <v>0</v>
      </c>
      <c r="M132" s="202">
        <f t="shared" si="15"/>
        <v>875.39200000000005</v>
      </c>
      <c r="N132" s="202">
        <f t="shared" si="16"/>
        <v>875.39200000000005</v>
      </c>
      <c r="O132" s="8">
        <v>0</v>
      </c>
      <c r="P132" s="341" t="s">
        <v>177</v>
      </c>
      <c r="Q132" s="329">
        <f t="shared" si="17"/>
        <v>0</v>
      </c>
      <c r="R132" s="329">
        <f t="shared" si="18"/>
        <v>875.39200000000005</v>
      </c>
      <c r="S132" s="329">
        <f t="shared" si="19"/>
        <v>875.39200000000005</v>
      </c>
      <c r="T132" s="8">
        <f t="shared" si="20"/>
        <v>0</v>
      </c>
      <c r="U132" s="199">
        <f>VLOOKUP(A132,'PUR-PARTY MASTER'!$B$6:$J$250,7,FALSE)</f>
        <v>2</v>
      </c>
      <c r="V132" s="199" t="str">
        <f>VLOOKUP(A132,'PUR-PARTY MASTER'!$B$6:$J$250,8,FALSE)</f>
        <v>Local Pur</v>
      </c>
      <c r="W132" s="199" t="s">
        <v>897</v>
      </c>
      <c r="X132" s="404">
        <v>87082900</v>
      </c>
      <c r="Y132" s="201" t="str">
        <f>VLOOKUP(X132,'PUR-HSN MASTER'!$A$6:$D$247,2,FALSE)</f>
        <v>Parts &amp; Accessories Of Motor Vehicles Other</v>
      </c>
      <c r="Z132" s="201" t="str">
        <f>VLOOKUP(X132,'PUR-HSN MASTER'!$A$6:$D$247,3,FALSE)</f>
        <v>NOS-NUMBERS</v>
      </c>
      <c r="AA132" s="334" t="str">
        <f>VLOOKUP(X132,'PUR-HSN MASTER'!$A$6:$D$247,4,FALSE)</f>
        <v>Goods</v>
      </c>
      <c r="AB132" s="401">
        <v>40</v>
      </c>
    </row>
    <row r="133" spans="1:28" ht="14.4" x14ac:dyDescent="0.3">
      <c r="A133" s="128" t="s">
        <v>335</v>
      </c>
      <c r="B133" s="199" t="str">
        <f>VLOOKUP(A133,'PUR-PARTY MASTER'!$B$6:$J$250,2,FALSE)</f>
        <v>Atharva Polymers Pvt Ltd,</v>
      </c>
      <c r="C133" s="402" t="s">
        <v>1400</v>
      </c>
      <c r="D133" s="398">
        <v>43145</v>
      </c>
      <c r="E133" s="329">
        <f t="shared" si="13"/>
        <v>54502.399999999994</v>
      </c>
      <c r="F133" s="199" t="str">
        <f>VLOOKUP(A133,'PUR-PARTY MASTER'!$B$6:$J$250,3,FALSE)</f>
        <v>27-Maharashatra</v>
      </c>
      <c r="G133" s="199" t="str">
        <f>VLOOKUP(A133,'PUR-PARTY MASTER'!$B$6:$J$250,4,FALSE)</f>
        <v>N</v>
      </c>
      <c r="H133" s="199" t="str">
        <f>VLOOKUP(A133,'PUR-PARTY MASTER'!$B$6:$J$250,5,FALSE)</f>
        <v>Regular</v>
      </c>
      <c r="I133" s="199">
        <f>VLOOKUP(A133,'PUR-PARTY MASTER'!$B$6:$J$250,6,FALSE)</f>
        <v>0</v>
      </c>
      <c r="J133" s="201">
        <v>28</v>
      </c>
      <c r="K133" s="400">
        <f>42475+105</f>
        <v>42580</v>
      </c>
      <c r="L133" s="202">
        <f t="shared" si="14"/>
        <v>0</v>
      </c>
      <c r="M133" s="202">
        <f t="shared" si="15"/>
        <v>5961.2000000000007</v>
      </c>
      <c r="N133" s="202">
        <f t="shared" si="16"/>
        <v>5961.2000000000007</v>
      </c>
      <c r="O133" s="8">
        <v>0</v>
      </c>
      <c r="P133" s="341" t="s">
        <v>177</v>
      </c>
      <c r="Q133" s="329">
        <f t="shared" si="17"/>
        <v>0</v>
      </c>
      <c r="R133" s="329">
        <f t="shared" si="18"/>
        <v>5961.2000000000007</v>
      </c>
      <c r="S133" s="329">
        <f t="shared" si="19"/>
        <v>5961.2000000000007</v>
      </c>
      <c r="T133" s="8">
        <f t="shared" si="20"/>
        <v>0</v>
      </c>
      <c r="U133" s="199">
        <f>VLOOKUP(A133,'PUR-PARTY MASTER'!$B$6:$J$250,7,FALSE)</f>
        <v>2</v>
      </c>
      <c r="V133" s="199" t="str">
        <f>VLOOKUP(A133,'PUR-PARTY MASTER'!$B$6:$J$250,8,FALSE)</f>
        <v>Local Pur</v>
      </c>
      <c r="W133" s="199" t="s">
        <v>897</v>
      </c>
      <c r="X133" s="404">
        <v>87141900</v>
      </c>
      <c r="Y133" s="201" t="str">
        <f>VLOOKUP(X133,'PUR-HSN MASTER'!$A$6:$D$247,2,FALSE)</f>
        <v>Parts &amp; Accessories Of Motor Vehicles Other</v>
      </c>
      <c r="Z133" s="201" t="str">
        <f>VLOOKUP(X133,'PUR-HSN MASTER'!$A$6:$D$247,3,FALSE)</f>
        <v>KLR-KILOLITRE</v>
      </c>
      <c r="AA133" s="334" t="str">
        <f>VLOOKUP(X133,'PUR-HSN MASTER'!$A$6:$D$247,4,FALSE)</f>
        <v>Goods</v>
      </c>
      <c r="AB133" s="401">
        <v>1000</v>
      </c>
    </row>
    <row r="134" spans="1:28" ht="14.4" x14ac:dyDescent="0.3">
      <c r="A134" s="128" t="s">
        <v>335</v>
      </c>
      <c r="B134" s="199" t="str">
        <f>VLOOKUP(A134,'PUR-PARTY MASTER'!$B$6:$J$250,2,FALSE)</f>
        <v>Atharva Polymers Pvt Ltd,</v>
      </c>
      <c r="C134" s="402" t="s">
        <v>1401</v>
      </c>
      <c r="D134" s="398">
        <v>43146</v>
      </c>
      <c r="E134" s="329">
        <f t="shared" si="13"/>
        <v>54502.399999999994</v>
      </c>
      <c r="F134" s="199" t="str">
        <f>VLOOKUP(A134,'PUR-PARTY MASTER'!$B$6:$J$250,3,FALSE)</f>
        <v>27-Maharashatra</v>
      </c>
      <c r="G134" s="199" t="str">
        <f>VLOOKUP(A134,'PUR-PARTY MASTER'!$B$6:$J$250,4,FALSE)</f>
        <v>N</v>
      </c>
      <c r="H134" s="199" t="str">
        <f>VLOOKUP(A134,'PUR-PARTY MASTER'!$B$6:$J$250,5,FALSE)</f>
        <v>Regular</v>
      </c>
      <c r="I134" s="199">
        <f>VLOOKUP(A134,'PUR-PARTY MASTER'!$B$6:$J$250,6,FALSE)</f>
        <v>0</v>
      </c>
      <c r="J134" s="201">
        <v>28</v>
      </c>
      <c r="K134" s="400">
        <f>42475+105</f>
        <v>42580</v>
      </c>
      <c r="L134" s="202">
        <f t="shared" si="14"/>
        <v>0</v>
      </c>
      <c r="M134" s="202">
        <f t="shared" si="15"/>
        <v>5961.2000000000007</v>
      </c>
      <c r="N134" s="202">
        <f t="shared" si="16"/>
        <v>5961.2000000000007</v>
      </c>
      <c r="O134" s="8">
        <v>0</v>
      </c>
      <c r="P134" s="341" t="s">
        <v>177</v>
      </c>
      <c r="Q134" s="329">
        <f t="shared" si="17"/>
        <v>0</v>
      </c>
      <c r="R134" s="329">
        <f t="shared" si="18"/>
        <v>5961.2000000000007</v>
      </c>
      <c r="S134" s="329">
        <f t="shared" si="19"/>
        <v>5961.2000000000007</v>
      </c>
      <c r="T134" s="8">
        <f t="shared" si="20"/>
        <v>0</v>
      </c>
      <c r="U134" s="199">
        <f>VLOOKUP(A134,'PUR-PARTY MASTER'!$B$6:$J$250,7,FALSE)</f>
        <v>2</v>
      </c>
      <c r="V134" s="199" t="str">
        <f>VLOOKUP(A134,'PUR-PARTY MASTER'!$B$6:$J$250,8,FALSE)</f>
        <v>Local Pur</v>
      </c>
      <c r="W134" s="199" t="s">
        <v>897</v>
      </c>
      <c r="X134" s="404">
        <v>87141900</v>
      </c>
      <c r="Y134" s="201" t="str">
        <f>VLOOKUP(X134,'PUR-HSN MASTER'!$A$6:$D$247,2,FALSE)</f>
        <v>Parts &amp; Accessories Of Motor Vehicles Other</v>
      </c>
      <c r="Z134" s="201" t="str">
        <f>VLOOKUP(X134,'PUR-HSN MASTER'!$A$6:$D$247,3,FALSE)</f>
        <v>KLR-KILOLITRE</v>
      </c>
      <c r="AA134" s="334" t="str">
        <f>VLOOKUP(X134,'PUR-HSN MASTER'!$A$6:$D$247,4,FALSE)</f>
        <v>Goods</v>
      </c>
      <c r="AB134" s="401">
        <v>1000</v>
      </c>
    </row>
    <row r="135" spans="1:28" ht="14.4" x14ac:dyDescent="0.3">
      <c r="A135" s="128" t="s">
        <v>363</v>
      </c>
      <c r="B135" s="199" t="str">
        <f>VLOOKUP(A135,'PUR-PARTY MASTER'!$B$6:$J$250,2,FALSE)</f>
        <v>Mrf Corp Limited</v>
      </c>
      <c r="C135" s="403">
        <v>9330001180</v>
      </c>
      <c r="D135" s="398">
        <v>43145</v>
      </c>
      <c r="E135" s="329">
        <f t="shared" si="13"/>
        <v>6362.5599999999995</v>
      </c>
      <c r="F135" s="199" t="str">
        <f>VLOOKUP(A135,'PUR-PARTY MASTER'!$B$6:$J$250,3,FALSE)</f>
        <v>27-Maharashatra</v>
      </c>
      <c r="G135" s="199" t="str">
        <f>VLOOKUP(A135,'PUR-PARTY MASTER'!$B$6:$J$250,4,FALSE)</f>
        <v>N</v>
      </c>
      <c r="H135" s="199" t="str">
        <f>VLOOKUP(A135,'PUR-PARTY MASTER'!$B$6:$J$250,5,FALSE)</f>
        <v>Regular</v>
      </c>
      <c r="I135" s="199">
        <f>VLOOKUP(A135,'PUR-PARTY MASTER'!$B$6:$J$250,6,FALSE)</f>
        <v>0</v>
      </c>
      <c r="J135" s="201">
        <v>18</v>
      </c>
      <c r="K135" s="400">
        <v>5392</v>
      </c>
      <c r="L135" s="202">
        <f t="shared" si="14"/>
        <v>0</v>
      </c>
      <c r="M135" s="202">
        <f t="shared" si="15"/>
        <v>485.28</v>
      </c>
      <c r="N135" s="202">
        <f t="shared" si="16"/>
        <v>485.28</v>
      </c>
      <c r="O135" s="8">
        <v>0</v>
      </c>
      <c r="P135" s="341" t="s">
        <v>177</v>
      </c>
      <c r="Q135" s="329">
        <f t="shared" si="17"/>
        <v>0</v>
      </c>
      <c r="R135" s="329">
        <f t="shared" si="18"/>
        <v>485.28</v>
      </c>
      <c r="S135" s="329">
        <f t="shared" si="19"/>
        <v>485.28</v>
      </c>
      <c r="T135" s="8">
        <f t="shared" si="20"/>
        <v>0</v>
      </c>
      <c r="U135" s="199">
        <f>VLOOKUP(A135,'PUR-PARTY MASTER'!$B$6:$J$250,7,FALSE)</f>
        <v>2</v>
      </c>
      <c r="V135" s="199" t="str">
        <f>VLOOKUP(A135,'PUR-PARTY MASTER'!$B$6:$J$250,8,FALSE)</f>
        <v>Local Pur</v>
      </c>
      <c r="W135" s="199" t="s">
        <v>894</v>
      </c>
      <c r="X135" s="404" t="s">
        <v>549</v>
      </c>
      <c r="Y135" s="201" t="str">
        <f>VLOOKUP(X135,'PUR-HSN MASTER'!$A$6:$D$247,2,FALSE)</f>
        <v>Misc Chemical Products Thinner</v>
      </c>
      <c r="Z135" s="201" t="str">
        <f>VLOOKUP(X135,'PUR-HSN MASTER'!$A$6:$D$247,3,FALSE)</f>
        <v>KLR-KILOLITRE</v>
      </c>
      <c r="AA135" s="334" t="str">
        <f>VLOOKUP(X135,'PUR-HSN MASTER'!$A$6:$D$247,4,FALSE)</f>
        <v>Goods</v>
      </c>
      <c r="AB135" s="401">
        <v>40</v>
      </c>
    </row>
    <row r="136" spans="1:28" ht="14.4" x14ac:dyDescent="0.3">
      <c r="A136" s="128" t="s">
        <v>363</v>
      </c>
      <c r="B136" s="199" t="str">
        <f>VLOOKUP(A136,'PUR-PARTY MASTER'!$B$6:$J$250,2,FALSE)</f>
        <v>Mrf Corp Limited</v>
      </c>
      <c r="C136" s="403">
        <v>9330001181</v>
      </c>
      <c r="D136" s="398">
        <v>43145</v>
      </c>
      <c r="E136" s="329">
        <f t="shared" ref="E136:E199" si="21">+K136+L136+M136+N136+O136</f>
        <v>3245</v>
      </c>
      <c r="F136" s="199" t="str">
        <f>VLOOKUP(A136,'PUR-PARTY MASTER'!$B$6:$J$250,3,FALSE)</f>
        <v>27-Maharashatra</v>
      </c>
      <c r="G136" s="199" t="str">
        <f>VLOOKUP(A136,'PUR-PARTY MASTER'!$B$6:$J$250,4,FALSE)</f>
        <v>N</v>
      </c>
      <c r="H136" s="199" t="str">
        <f>VLOOKUP(A136,'PUR-PARTY MASTER'!$B$6:$J$250,5,FALSE)</f>
        <v>Regular</v>
      </c>
      <c r="I136" s="199">
        <f>VLOOKUP(A136,'PUR-PARTY MASTER'!$B$6:$J$250,6,FALSE)</f>
        <v>0</v>
      </c>
      <c r="J136" s="201">
        <v>18</v>
      </c>
      <c r="K136" s="400">
        <v>2750</v>
      </c>
      <c r="L136" s="202">
        <f t="shared" ref="L136:L199" si="22">+IF(U136=1,0,IF(M136=0,J136*K136/100,0))</f>
        <v>0</v>
      </c>
      <c r="M136" s="202">
        <f t="shared" ref="M136:M199" si="23">+IF(U136=1,0,IF(V136="Local Pur",IF(J136=18,K136*0.09,IF(J136=12,K136*0.06,IF(J136=5,K136*0.025,IF(J136=28,K136*0.14,IF(J136=3,K136*0.015,0))))),0))</f>
        <v>247.5</v>
      </c>
      <c r="N136" s="202">
        <f t="shared" ref="N136:N199" si="24">+IF(O136=1,0,IF(V136="Local Pur",IF(J136=18,K136*0.09,IF(J136=12,K136*0.06,IF(J136=5,K136*0.025,IF(J136=28,K136*0.14,IF(J136=3,K136*0.015,0))))),0))</f>
        <v>247.5</v>
      </c>
      <c r="O136" s="8">
        <v>0</v>
      </c>
      <c r="P136" s="341" t="s">
        <v>177</v>
      </c>
      <c r="Q136" s="329">
        <f t="shared" ref="Q136:Q199" si="25">+L136</f>
        <v>0</v>
      </c>
      <c r="R136" s="329">
        <f t="shared" ref="R136:R199" si="26">+M136</f>
        <v>247.5</v>
      </c>
      <c r="S136" s="329">
        <f t="shared" ref="S136:S199" si="27">+N136</f>
        <v>247.5</v>
      </c>
      <c r="T136" s="8">
        <f t="shared" ref="T136:T199" si="28">+O136</f>
        <v>0</v>
      </c>
      <c r="U136" s="199">
        <f>VLOOKUP(A136,'PUR-PARTY MASTER'!$B$6:$J$250,7,FALSE)</f>
        <v>2</v>
      </c>
      <c r="V136" s="199" t="str">
        <f>VLOOKUP(A136,'PUR-PARTY MASTER'!$B$6:$J$250,8,FALSE)</f>
        <v>Local Pur</v>
      </c>
      <c r="W136" s="199" t="s">
        <v>894</v>
      </c>
      <c r="X136" s="404" t="s">
        <v>549</v>
      </c>
      <c r="Y136" s="201" t="str">
        <f>VLOOKUP(X136,'PUR-HSN MASTER'!$A$6:$D$247,2,FALSE)</f>
        <v>Misc Chemical Products Thinner</v>
      </c>
      <c r="Z136" s="201" t="str">
        <f>VLOOKUP(X136,'PUR-HSN MASTER'!$A$6:$D$247,3,FALSE)</f>
        <v>KLR-KILOLITRE</v>
      </c>
      <c r="AA136" s="334" t="str">
        <f>VLOOKUP(X136,'PUR-HSN MASTER'!$A$6:$D$247,4,FALSE)</f>
        <v>Goods</v>
      </c>
      <c r="AB136" s="401">
        <v>20</v>
      </c>
    </row>
    <row r="137" spans="1:28" ht="14.4" x14ac:dyDescent="0.3">
      <c r="A137" s="128" t="s">
        <v>24</v>
      </c>
      <c r="B137" s="199" t="str">
        <f>VLOOKUP(A137,'PUR-PARTY MASTER'!$B$6:$J$250,2,FALSE)</f>
        <v>Tata Autocomp Systems LTD.(X1)</v>
      </c>
      <c r="C137" s="403" t="s">
        <v>1402</v>
      </c>
      <c r="D137" s="398">
        <v>43146</v>
      </c>
      <c r="E137" s="329">
        <f t="shared" si="21"/>
        <v>21678.592000000004</v>
      </c>
      <c r="F137" s="199" t="str">
        <f>VLOOKUP(A137,'PUR-PARTY MASTER'!$B$6:$J$250,3,FALSE)</f>
        <v>27-Maharashatra</v>
      </c>
      <c r="G137" s="199" t="str">
        <f>VLOOKUP(A137,'PUR-PARTY MASTER'!$B$6:$J$250,4,FALSE)</f>
        <v>N</v>
      </c>
      <c r="H137" s="199" t="str">
        <f>VLOOKUP(A137,'PUR-PARTY MASTER'!$B$6:$J$250,5,FALSE)</f>
        <v>Regular</v>
      </c>
      <c r="I137" s="199">
        <f>VLOOKUP(A137,'PUR-PARTY MASTER'!$B$6:$J$250,6,FALSE)</f>
        <v>0</v>
      </c>
      <c r="J137" s="201">
        <v>28</v>
      </c>
      <c r="K137" s="400">
        <v>16936.400000000001</v>
      </c>
      <c r="L137" s="202">
        <f t="shared" si="22"/>
        <v>0</v>
      </c>
      <c r="M137" s="202">
        <f t="shared" si="23"/>
        <v>2371.0960000000005</v>
      </c>
      <c r="N137" s="202">
        <f t="shared" si="24"/>
        <v>2371.0960000000005</v>
      </c>
      <c r="O137" s="8">
        <v>0</v>
      </c>
      <c r="P137" s="341" t="s">
        <v>177</v>
      </c>
      <c r="Q137" s="329">
        <f t="shared" si="25"/>
        <v>0</v>
      </c>
      <c r="R137" s="329">
        <f t="shared" si="26"/>
        <v>2371.0960000000005</v>
      </c>
      <c r="S137" s="329">
        <f t="shared" si="27"/>
        <v>2371.0960000000005</v>
      </c>
      <c r="T137" s="8">
        <f t="shared" si="28"/>
        <v>0</v>
      </c>
      <c r="U137" s="199">
        <f>VLOOKUP(A137,'PUR-PARTY MASTER'!$B$6:$J$250,7,FALSE)</f>
        <v>2</v>
      </c>
      <c r="V137" s="199" t="str">
        <f>VLOOKUP(A137,'PUR-PARTY MASTER'!$B$6:$J$250,8,FALSE)</f>
        <v>Local Pur</v>
      </c>
      <c r="W137" s="199" t="s">
        <v>897</v>
      </c>
      <c r="X137" s="404">
        <v>87081090</v>
      </c>
      <c r="Y137" s="201" t="str">
        <f>VLOOKUP(X137,'PUR-HSN MASTER'!$A$6:$D$247,2,FALSE)</f>
        <v>Parts &amp; Accessories Of Motor Vehicles Other</v>
      </c>
      <c r="Z137" s="201" t="str">
        <f>VLOOKUP(X137,'PUR-HSN MASTER'!$A$6:$D$247,3,FALSE)</f>
        <v>NOS-NUMBERS</v>
      </c>
      <c r="AA137" s="334" t="str">
        <f>VLOOKUP(X137,'PUR-HSN MASTER'!$A$6:$D$247,4,FALSE)</f>
        <v>Goods</v>
      </c>
      <c r="AB137" s="401">
        <v>130</v>
      </c>
    </row>
    <row r="138" spans="1:28" ht="14.4" x14ac:dyDescent="0.3">
      <c r="A138" s="128" t="s">
        <v>24</v>
      </c>
      <c r="B138" s="199" t="str">
        <f>VLOOKUP(A138,'PUR-PARTY MASTER'!$B$6:$J$250,2,FALSE)</f>
        <v>Tata Autocomp Systems LTD.(X1)</v>
      </c>
      <c r="C138" s="403" t="s">
        <v>1402</v>
      </c>
      <c r="D138" s="398">
        <v>43146</v>
      </c>
      <c r="E138" s="329">
        <f t="shared" si="21"/>
        <v>12005.376</v>
      </c>
      <c r="F138" s="199" t="str">
        <f>VLOOKUP(A138,'PUR-PARTY MASTER'!$B$6:$J$250,3,FALSE)</f>
        <v>27-Maharashatra</v>
      </c>
      <c r="G138" s="199" t="str">
        <f>VLOOKUP(A138,'PUR-PARTY MASTER'!$B$6:$J$250,4,FALSE)</f>
        <v>N</v>
      </c>
      <c r="H138" s="199" t="str">
        <f>VLOOKUP(A138,'PUR-PARTY MASTER'!$B$6:$J$250,5,FALSE)</f>
        <v>Regular</v>
      </c>
      <c r="I138" s="199">
        <f>VLOOKUP(A138,'PUR-PARTY MASTER'!$B$6:$J$250,6,FALSE)</f>
        <v>0</v>
      </c>
      <c r="J138" s="201">
        <v>28</v>
      </c>
      <c r="K138" s="400">
        <v>9379.2000000000007</v>
      </c>
      <c r="L138" s="202">
        <f t="shared" si="22"/>
        <v>0</v>
      </c>
      <c r="M138" s="202">
        <f t="shared" si="23"/>
        <v>1313.0880000000002</v>
      </c>
      <c r="N138" s="202">
        <f t="shared" si="24"/>
        <v>1313.0880000000002</v>
      </c>
      <c r="O138" s="8">
        <v>0</v>
      </c>
      <c r="P138" s="341" t="s">
        <v>177</v>
      </c>
      <c r="Q138" s="329">
        <f t="shared" si="25"/>
        <v>0</v>
      </c>
      <c r="R138" s="329">
        <f t="shared" si="26"/>
        <v>1313.0880000000002</v>
      </c>
      <c r="S138" s="329">
        <f t="shared" si="27"/>
        <v>1313.0880000000002</v>
      </c>
      <c r="T138" s="8">
        <f t="shared" si="28"/>
        <v>0</v>
      </c>
      <c r="U138" s="199">
        <f>VLOOKUP(A138,'PUR-PARTY MASTER'!$B$6:$J$250,7,FALSE)</f>
        <v>2</v>
      </c>
      <c r="V138" s="199" t="str">
        <f>VLOOKUP(A138,'PUR-PARTY MASTER'!$B$6:$J$250,8,FALSE)</f>
        <v>Local Pur</v>
      </c>
      <c r="W138" s="199" t="s">
        <v>897</v>
      </c>
      <c r="X138" s="404">
        <v>87082900</v>
      </c>
      <c r="Y138" s="201" t="str">
        <f>VLOOKUP(X138,'PUR-HSN MASTER'!$A$6:$D$247,2,FALSE)</f>
        <v>Parts &amp; Accessories Of Motor Vehicles Other</v>
      </c>
      <c r="Z138" s="201" t="str">
        <f>VLOOKUP(X138,'PUR-HSN MASTER'!$A$6:$D$247,3,FALSE)</f>
        <v>NOS-NUMBERS</v>
      </c>
      <c r="AA138" s="334" t="str">
        <f>VLOOKUP(X138,'PUR-HSN MASTER'!$A$6:$D$247,4,FALSE)</f>
        <v>Goods</v>
      </c>
      <c r="AB138" s="401">
        <v>60</v>
      </c>
    </row>
    <row r="139" spans="1:28" ht="14.4" x14ac:dyDescent="0.3">
      <c r="A139" s="128" t="s">
        <v>374</v>
      </c>
      <c r="B139" s="199" t="str">
        <f>VLOOKUP(A139,'PUR-PARTY MASTER'!$B$6:$J$250,2,FALSE)</f>
        <v>Galva Decoparts Pvt.Ltd</v>
      </c>
      <c r="C139" s="403">
        <v>2557</v>
      </c>
      <c r="D139" s="398">
        <v>43146</v>
      </c>
      <c r="E139" s="329">
        <f t="shared" si="21"/>
        <v>46282.752</v>
      </c>
      <c r="F139" s="199" t="str">
        <f>VLOOKUP(A139,'PUR-PARTY MASTER'!$B$6:$J$250,3,FALSE)</f>
        <v>27-Maharashatra</v>
      </c>
      <c r="G139" s="199" t="str">
        <f>VLOOKUP(A139,'PUR-PARTY MASTER'!$B$6:$J$250,4,FALSE)</f>
        <v>N</v>
      </c>
      <c r="H139" s="199" t="str">
        <f>VLOOKUP(A139,'PUR-PARTY MASTER'!$B$6:$J$250,5,FALSE)</f>
        <v>Regular</v>
      </c>
      <c r="I139" s="199">
        <f>VLOOKUP(A139,'PUR-PARTY MASTER'!$B$6:$J$250,6,FALSE)</f>
        <v>0</v>
      </c>
      <c r="J139" s="201">
        <v>28</v>
      </c>
      <c r="K139" s="400">
        <v>36158.400000000001</v>
      </c>
      <c r="L139" s="202">
        <f t="shared" si="22"/>
        <v>0</v>
      </c>
      <c r="M139" s="202">
        <f t="shared" si="23"/>
        <v>5062.1760000000004</v>
      </c>
      <c r="N139" s="202">
        <f t="shared" si="24"/>
        <v>5062.1760000000004</v>
      </c>
      <c r="O139" s="8">
        <v>0</v>
      </c>
      <c r="P139" s="341" t="s">
        <v>177</v>
      </c>
      <c r="Q139" s="329">
        <f t="shared" si="25"/>
        <v>0</v>
      </c>
      <c r="R139" s="329">
        <f t="shared" si="26"/>
        <v>5062.1760000000004</v>
      </c>
      <c r="S139" s="329">
        <f t="shared" si="27"/>
        <v>5062.1760000000004</v>
      </c>
      <c r="T139" s="8">
        <f t="shared" si="28"/>
        <v>0</v>
      </c>
      <c r="U139" s="199">
        <f>VLOOKUP(A139,'PUR-PARTY MASTER'!$B$6:$J$250,7,FALSE)</f>
        <v>2</v>
      </c>
      <c r="V139" s="199" t="str">
        <f>VLOOKUP(A139,'PUR-PARTY MASTER'!$B$6:$J$250,8,FALSE)</f>
        <v>Local Pur</v>
      </c>
      <c r="W139" s="199" t="s">
        <v>897</v>
      </c>
      <c r="X139" s="404">
        <v>87089900</v>
      </c>
      <c r="Y139" s="201" t="str">
        <f>VLOOKUP(X139,'PUR-HSN MASTER'!$A$6:$D$247,2,FALSE)</f>
        <v>Parts &amp; Accessories Of Motor Vehicles Other</v>
      </c>
      <c r="Z139" s="201" t="str">
        <f>VLOOKUP(X139,'PUR-HSN MASTER'!$A$6:$D$247,3,FALSE)</f>
        <v>NOS-NUMBERS</v>
      </c>
      <c r="AA139" s="334" t="str">
        <f>VLOOKUP(X139,'PUR-HSN MASTER'!$A$6:$D$247,4,FALSE)</f>
        <v>Goods</v>
      </c>
      <c r="AB139" s="401">
        <v>1620</v>
      </c>
    </row>
    <row r="140" spans="1:28" ht="14.4" x14ac:dyDescent="0.3">
      <c r="A140" s="128" t="s">
        <v>963</v>
      </c>
      <c r="B140" s="199" t="str">
        <f>VLOOKUP(A140,'PUR-PARTY MASTER'!$B$6:$J$250,2,FALSE)</f>
        <v>Ganpati ply Laminate And Hardware</v>
      </c>
      <c r="C140" s="403">
        <v>9</v>
      </c>
      <c r="D140" s="398">
        <v>43132</v>
      </c>
      <c r="E140" s="329">
        <f t="shared" si="21"/>
        <v>137446.39999999999</v>
      </c>
      <c r="F140" s="199" t="str">
        <f>VLOOKUP(A140,'PUR-PARTY MASTER'!$B$6:$J$250,3,FALSE)</f>
        <v>27-Maharashatra</v>
      </c>
      <c r="G140" s="199" t="str">
        <f>VLOOKUP(A140,'PUR-PARTY MASTER'!$B$6:$J$250,4,FALSE)</f>
        <v>N</v>
      </c>
      <c r="H140" s="199" t="str">
        <f>VLOOKUP(A140,'PUR-PARTY MASTER'!$B$6:$J$250,5,FALSE)</f>
        <v>Regular</v>
      </c>
      <c r="I140" s="199">
        <f>VLOOKUP(A140,'PUR-PARTY MASTER'!$B$6:$J$250,6,FALSE)</f>
        <v>0</v>
      </c>
      <c r="J140" s="201">
        <v>18</v>
      </c>
      <c r="K140" s="400">
        <v>116480</v>
      </c>
      <c r="L140" s="202">
        <f t="shared" si="22"/>
        <v>0</v>
      </c>
      <c r="M140" s="202">
        <f t="shared" si="23"/>
        <v>10483.199999999999</v>
      </c>
      <c r="N140" s="202">
        <f t="shared" si="24"/>
        <v>10483.199999999999</v>
      </c>
      <c r="O140" s="8">
        <v>0</v>
      </c>
      <c r="P140" s="341" t="s">
        <v>177</v>
      </c>
      <c r="Q140" s="329">
        <f t="shared" si="25"/>
        <v>0</v>
      </c>
      <c r="R140" s="329">
        <f t="shared" si="26"/>
        <v>10483.199999999999</v>
      </c>
      <c r="S140" s="329">
        <f t="shared" si="27"/>
        <v>10483.199999999999</v>
      </c>
      <c r="T140" s="8">
        <f t="shared" si="28"/>
        <v>0</v>
      </c>
      <c r="U140" s="199">
        <f>VLOOKUP(A140,'PUR-PARTY MASTER'!$B$6:$J$250,7,FALSE)</f>
        <v>2</v>
      </c>
      <c r="V140" s="199" t="str">
        <f>VLOOKUP(A140,'PUR-PARTY MASTER'!$B$6:$J$250,8,FALSE)</f>
        <v>Local Pur</v>
      </c>
      <c r="W140" s="199" t="s">
        <v>894</v>
      </c>
      <c r="X140" s="404" t="s">
        <v>913</v>
      </c>
      <c r="Y140" s="201" t="str">
        <f>VLOOKUP(X140,'PUR-HSN MASTER'!$A$6:$D$247,2,FALSE)</f>
        <v>Plywood, veneered panels</v>
      </c>
      <c r="Z140" s="201" t="str">
        <f>VLOOKUP(X140,'PUR-HSN MASTER'!$A$6:$D$247,3,FALSE)</f>
        <v>NOS-NUMBERS</v>
      </c>
      <c r="AA140" s="334" t="str">
        <f>VLOOKUP(X140,'PUR-HSN MASTER'!$A$6:$D$247,4,FALSE)</f>
        <v>Goods</v>
      </c>
      <c r="AB140" s="401">
        <v>80</v>
      </c>
    </row>
    <row r="141" spans="1:28" ht="14.4" x14ac:dyDescent="0.3">
      <c r="A141" s="128" t="s">
        <v>963</v>
      </c>
      <c r="B141" s="199" t="str">
        <f>VLOOKUP(A141,'PUR-PARTY MASTER'!$B$6:$J$250,2,FALSE)</f>
        <v>Ganpati ply Laminate And Hardware</v>
      </c>
      <c r="C141" s="403">
        <v>9</v>
      </c>
      <c r="D141" s="398">
        <v>43132</v>
      </c>
      <c r="E141" s="329">
        <f t="shared" si="21"/>
        <v>16992</v>
      </c>
      <c r="F141" s="199" t="str">
        <f>VLOOKUP(A141,'PUR-PARTY MASTER'!$B$6:$J$250,3,FALSE)</f>
        <v>27-Maharashatra</v>
      </c>
      <c r="G141" s="199" t="str">
        <f>VLOOKUP(A141,'PUR-PARTY MASTER'!$B$6:$J$250,4,FALSE)</f>
        <v>N</v>
      </c>
      <c r="H141" s="199" t="str">
        <f>VLOOKUP(A141,'PUR-PARTY MASTER'!$B$6:$J$250,5,FALSE)</f>
        <v>Regular</v>
      </c>
      <c r="I141" s="199">
        <f>VLOOKUP(A141,'PUR-PARTY MASTER'!$B$6:$J$250,6,FALSE)</f>
        <v>0</v>
      </c>
      <c r="J141" s="201">
        <v>18</v>
      </c>
      <c r="K141" s="400">
        <v>14400</v>
      </c>
      <c r="L141" s="202">
        <f t="shared" si="22"/>
        <v>0</v>
      </c>
      <c r="M141" s="202">
        <f t="shared" si="23"/>
        <v>1296</v>
      </c>
      <c r="N141" s="202">
        <f t="shared" si="24"/>
        <v>1296</v>
      </c>
      <c r="O141" s="8">
        <v>0</v>
      </c>
      <c r="P141" s="341" t="s">
        <v>177</v>
      </c>
      <c r="Q141" s="329">
        <f t="shared" si="25"/>
        <v>0</v>
      </c>
      <c r="R141" s="329">
        <f t="shared" si="26"/>
        <v>1296</v>
      </c>
      <c r="S141" s="329">
        <f t="shared" si="27"/>
        <v>1296</v>
      </c>
      <c r="T141" s="8">
        <f t="shared" si="28"/>
        <v>0</v>
      </c>
      <c r="U141" s="199">
        <f>VLOOKUP(A141,'PUR-PARTY MASTER'!$B$6:$J$250,7,FALSE)</f>
        <v>2</v>
      </c>
      <c r="V141" s="199" t="str">
        <f>VLOOKUP(A141,'PUR-PARTY MASTER'!$B$6:$J$250,8,FALSE)</f>
        <v>Local Pur</v>
      </c>
      <c r="W141" s="199" t="s">
        <v>894</v>
      </c>
      <c r="X141" s="404" t="s">
        <v>914</v>
      </c>
      <c r="Y141" s="201" t="str">
        <f>VLOOKUP(X141,'PUR-HSN MASTER'!$A$6:$D$247,2,FALSE)</f>
        <v>Braille paper, kites, Paper mache articles</v>
      </c>
      <c r="Z141" s="201" t="str">
        <f>VLOOKUP(X141,'PUR-HSN MASTER'!$A$6:$D$247,3,FALSE)</f>
        <v>NOS-NUMBERS</v>
      </c>
      <c r="AA141" s="334" t="str">
        <f>VLOOKUP(X141,'PUR-HSN MASTER'!$A$6:$D$247,4,FALSE)</f>
        <v>Goods</v>
      </c>
      <c r="AB141" s="401">
        <v>30</v>
      </c>
    </row>
    <row r="142" spans="1:28" ht="14.4" x14ac:dyDescent="0.3">
      <c r="A142" s="128" t="s">
        <v>963</v>
      </c>
      <c r="B142" s="199" t="str">
        <f>VLOOKUP(A142,'PUR-PARTY MASTER'!$B$6:$J$250,2,FALSE)</f>
        <v>Ganpati ply Laminate And Hardware</v>
      </c>
      <c r="C142" s="403">
        <v>9</v>
      </c>
      <c r="D142" s="398">
        <v>43132</v>
      </c>
      <c r="E142" s="329">
        <f t="shared" si="21"/>
        <v>12685</v>
      </c>
      <c r="F142" s="199" t="str">
        <f>VLOOKUP(A142,'PUR-PARTY MASTER'!$B$6:$J$250,3,FALSE)</f>
        <v>27-Maharashatra</v>
      </c>
      <c r="G142" s="199" t="str">
        <f>VLOOKUP(A142,'PUR-PARTY MASTER'!$B$6:$J$250,4,FALSE)</f>
        <v>N</v>
      </c>
      <c r="H142" s="199" t="str">
        <f>VLOOKUP(A142,'PUR-PARTY MASTER'!$B$6:$J$250,5,FALSE)</f>
        <v>Regular</v>
      </c>
      <c r="I142" s="199">
        <f>VLOOKUP(A142,'PUR-PARTY MASTER'!$B$6:$J$250,6,FALSE)</f>
        <v>0</v>
      </c>
      <c r="J142" s="201">
        <v>18</v>
      </c>
      <c r="K142" s="400">
        <v>10750</v>
      </c>
      <c r="L142" s="202">
        <f t="shared" si="22"/>
        <v>0</v>
      </c>
      <c r="M142" s="202">
        <f t="shared" si="23"/>
        <v>967.5</v>
      </c>
      <c r="N142" s="202">
        <f t="shared" si="24"/>
        <v>967.5</v>
      </c>
      <c r="O142" s="8">
        <v>0</v>
      </c>
      <c r="P142" s="341" t="s">
        <v>177</v>
      </c>
      <c r="Q142" s="329">
        <f t="shared" si="25"/>
        <v>0</v>
      </c>
      <c r="R142" s="329">
        <f t="shared" si="26"/>
        <v>967.5</v>
      </c>
      <c r="S142" s="329">
        <f t="shared" si="27"/>
        <v>967.5</v>
      </c>
      <c r="T142" s="8">
        <f t="shared" si="28"/>
        <v>0</v>
      </c>
      <c r="U142" s="199">
        <f>VLOOKUP(A142,'PUR-PARTY MASTER'!$B$6:$J$250,7,FALSE)</f>
        <v>2</v>
      </c>
      <c r="V142" s="199" t="str">
        <f>VLOOKUP(A142,'PUR-PARTY MASTER'!$B$6:$J$250,8,FALSE)</f>
        <v>Local Pur</v>
      </c>
      <c r="W142" s="199" t="s">
        <v>894</v>
      </c>
      <c r="X142" s="404">
        <v>3506</v>
      </c>
      <c r="Y142" s="201" t="str">
        <f>VLOOKUP(X142,'PUR-HSN MASTER'!$A$6:$D$247,2,FALSE)</f>
        <v>Casein, Albumin, Gelatin, Enzymes</v>
      </c>
      <c r="Z142" s="201" t="str">
        <f>VLOOKUP(X142,'PUR-HSN MASTER'!$A$6:$D$247,3,FALSE)</f>
        <v>NOS-NUMBERS</v>
      </c>
      <c r="AA142" s="334" t="str">
        <f>VLOOKUP(X142,'PUR-HSN MASTER'!$A$6:$D$247,4,FALSE)</f>
        <v>Goods</v>
      </c>
      <c r="AB142" s="401">
        <v>50</v>
      </c>
    </row>
    <row r="143" spans="1:28" ht="14.4" x14ac:dyDescent="0.3">
      <c r="A143" s="128" t="s">
        <v>963</v>
      </c>
      <c r="B143" s="199" t="str">
        <f>VLOOKUP(A143,'PUR-PARTY MASTER'!$B$6:$J$250,2,FALSE)</f>
        <v>Ganpati ply Laminate And Hardware</v>
      </c>
      <c r="C143" s="403">
        <v>14</v>
      </c>
      <c r="D143" s="398">
        <v>43143</v>
      </c>
      <c r="E143" s="329">
        <f t="shared" si="21"/>
        <v>1416</v>
      </c>
      <c r="F143" s="199" t="str">
        <f>VLOOKUP(A143,'PUR-PARTY MASTER'!$B$6:$J$250,3,FALSE)</f>
        <v>27-Maharashatra</v>
      </c>
      <c r="G143" s="199" t="str">
        <f>VLOOKUP(A143,'PUR-PARTY MASTER'!$B$6:$J$250,4,FALSE)</f>
        <v>N</v>
      </c>
      <c r="H143" s="199" t="str">
        <f>VLOOKUP(A143,'PUR-PARTY MASTER'!$B$6:$J$250,5,FALSE)</f>
        <v>Regular</v>
      </c>
      <c r="I143" s="199">
        <f>VLOOKUP(A143,'PUR-PARTY MASTER'!$B$6:$J$250,6,FALSE)</f>
        <v>0</v>
      </c>
      <c r="J143" s="201">
        <v>18</v>
      </c>
      <c r="K143" s="400">
        <v>1200</v>
      </c>
      <c r="L143" s="202">
        <f t="shared" si="22"/>
        <v>0</v>
      </c>
      <c r="M143" s="202">
        <f t="shared" si="23"/>
        <v>108</v>
      </c>
      <c r="N143" s="202">
        <f t="shared" si="24"/>
        <v>108</v>
      </c>
      <c r="O143" s="8">
        <v>0</v>
      </c>
      <c r="P143" s="341" t="s">
        <v>177</v>
      </c>
      <c r="Q143" s="329">
        <f t="shared" si="25"/>
        <v>0</v>
      </c>
      <c r="R143" s="329">
        <f t="shared" si="26"/>
        <v>108</v>
      </c>
      <c r="S143" s="329">
        <f t="shared" si="27"/>
        <v>108</v>
      </c>
      <c r="T143" s="8">
        <f t="shared" si="28"/>
        <v>0</v>
      </c>
      <c r="U143" s="199">
        <f>VLOOKUP(A143,'PUR-PARTY MASTER'!$B$6:$J$250,7,FALSE)</f>
        <v>2</v>
      </c>
      <c r="V143" s="199" t="str">
        <f>VLOOKUP(A143,'PUR-PARTY MASTER'!$B$6:$J$250,8,FALSE)</f>
        <v>Local Pur</v>
      </c>
      <c r="W143" s="199" t="s">
        <v>894</v>
      </c>
      <c r="X143" s="404" t="s">
        <v>917</v>
      </c>
      <c r="Y143" s="201" t="str">
        <f>VLOOKUP(X143,'PUR-HSN MASTER'!$A$6:$D$247,2,FALSE)</f>
        <v>Nails, tacks, drawing pins, corrugated nails, staples</v>
      </c>
      <c r="Z143" s="201" t="str">
        <f>VLOOKUP(X143,'PUR-HSN MASTER'!$A$6:$D$247,3,FALSE)</f>
        <v>NOS-NUMBERS</v>
      </c>
      <c r="AA143" s="334" t="str">
        <f>VLOOKUP(X143,'PUR-HSN MASTER'!$A$6:$D$247,4,FALSE)</f>
        <v>Goods</v>
      </c>
      <c r="AB143" s="401">
        <v>4</v>
      </c>
    </row>
    <row r="144" spans="1:28" ht="14.4" x14ac:dyDescent="0.3">
      <c r="A144" s="128" t="s">
        <v>963</v>
      </c>
      <c r="B144" s="199" t="str">
        <f>VLOOKUP(A144,'PUR-PARTY MASTER'!$B$6:$J$250,2,FALSE)</f>
        <v>Ganpati ply Laminate And Hardware</v>
      </c>
      <c r="C144" s="403">
        <v>14</v>
      </c>
      <c r="D144" s="398">
        <v>43143</v>
      </c>
      <c r="E144" s="329">
        <f t="shared" si="21"/>
        <v>71215.359999999986</v>
      </c>
      <c r="F144" s="199" t="str">
        <f>VLOOKUP(A144,'PUR-PARTY MASTER'!$B$6:$J$250,3,FALSE)</f>
        <v>27-Maharashatra</v>
      </c>
      <c r="G144" s="199" t="str">
        <f>VLOOKUP(A144,'PUR-PARTY MASTER'!$B$6:$J$250,4,FALSE)</f>
        <v>N</v>
      </c>
      <c r="H144" s="199" t="str">
        <f>VLOOKUP(A144,'PUR-PARTY MASTER'!$B$6:$J$250,5,FALSE)</f>
        <v>Regular</v>
      </c>
      <c r="I144" s="199">
        <f>VLOOKUP(A144,'PUR-PARTY MASTER'!$B$6:$J$250,6,FALSE)</f>
        <v>0</v>
      </c>
      <c r="J144" s="201">
        <v>18</v>
      </c>
      <c r="K144" s="400">
        <v>60352</v>
      </c>
      <c r="L144" s="202">
        <f t="shared" si="22"/>
        <v>0</v>
      </c>
      <c r="M144" s="202">
        <f t="shared" si="23"/>
        <v>5431.6799999999994</v>
      </c>
      <c r="N144" s="202">
        <f t="shared" si="24"/>
        <v>5431.6799999999994</v>
      </c>
      <c r="O144" s="8">
        <v>0</v>
      </c>
      <c r="P144" s="341" t="s">
        <v>177</v>
      </c>
      <c r="Q144" s="329">
        <f t="shared" si="25"/>
        <v>0</v>
      </c>
      <c r="R144" s="329">
        <f t="shared" si="26"/>
        <v>5431.6799999999994</v>
      </c>
      <c r="S144" s="329">
        <f t="shared" si="27"/>
        <v>5431.6799999999994</v>
      </c>
      <c r="T144" s="8">
        <f t="shared" si="28"/>
        <v>0</v>
      </c>
      <c r="U144" s="199">
        <f>VLOOKUP(A144,'PUR-PARTY MASTER'!$B$6:$J$250,7,FALSE)</f>
        <v>2</v>
      </c>
      <c r="V144" s="199" t="str">
        <f>VLOOKUP(A144,'PUR-PARTY MASTER'!$B$6:$J$250,8,FALSE)</f>
        <v>Local Pur</v>
      </c>
      <c r="W144" s="199" t="s">
        <v>894</v>
      </c>
      <c r="X144" s="404" t="s">
        <v>913</v>
      </c>
      <c r="Y144" s="201" t="str">
        <f>VLOOKUP(X144,'PUR-HSN MASTER'!$A$6:$D$247,2,FALSE)</f>
        <v>Plywood, veneered panels</v>
      </c>
      <c r="Z144" s="201" t="str">
        <f>VLOOKUP(X144,'PUR-HSN MASTER'!$A$6:$D$247,3,FALSE)</f>
        <v>NOS-NUMBERS</v>
      </c>
      <c r="AA144" s="334" t="str">
        <f>VLOOKUP(X144,'PUR-HSN MASTER'!$A$6:$D$247,4,FALSE)</f>
        <v>Goods</v>
      </c>
      <c r="AB144" s="401">
        <v>38</v>
      </c>
    </row>
    <row r="145" spans="1:28" ht="14.4" x14ac:dyDescent="0.3">
      <c r="A145" s="128" t="s">
        <v>963</v>
      </c>
      <c r="B145" s="199" t="str">
        <f>VLOOKUP(A145,'PUR-PARTY MASTER'!$B$6:$J$250,2,FALSE)</f>
        <v>Ganpati ply Laminate And Hardware</v>
      </c>
      <c r="C145" s="403">
        <v>14</v>
      </c>
      <c r="D145" s="398">
        <v>43143</v>
      </c>
      <c r="E145" s="329">
        <f t="shared" si="21"/>
        <v>11328</v>
      </c>
      <c r="F145" s="199" t="str">
        <f>VLOOKUP(A145,'PUR-PARTY MASTER'!$B$6:$J$250,3,FALSE)</f>
        <v>27-Maharashatra</v>
      </c>
      <c r="G145" s="199" t="str">
        <f>VLOOKUP(A145,'PUR-PARTY MASTER'!$B$6:$J$250,4,FALSE)</f>
        <v>N</v>
      </c>
      <c r="H145" s="199" t="str">
        <f>VLOOKUP(A145,'PUR-PARTY MASTER'!$B$6:$J$250,5,FALSE)</f>
        <v>Regular</v>
      </c>
      <c r="I145" s="199">
        <f>VLOOKUP(A145,'PUR-PARTY MASTER'!$B$6:$J$250,6,FALSE)</f>
        <v>0</v>
      </c>
      <c r="J145" s="201">
        <v>18</v>
      </c>
      <c r="K145" s="400">
        <v>9600</v>
      </c>
      <c r="L145" s="202">
        <f t="shared" si="22"/>
        <v>0</v>
      </c>
      <c r="M145" s="202">
        <f t="shared" si="23"/>
        <v>864</v>
      </c>
      <c r="N145" s="202">
        <f t="shared" si="24"/>
        <v>864</v>
      </c>
      <c r="O145" s="8">
        <v>0</v>
      </c>
      <c r="P145" s="341" t="s">
        <v>177</v>
      </c>
      <c r="Q145" s="329">
        <f t="shared" si="25"/>
        <v>0</v>
      </c>
      <c r="R145" s="329">
        <f t="shared" si="26"/>
        <v>864</v>
      </c>
      <c r="S145" s="329">
        <f t="shared" si="27"/>
        <v>864</v>
      </c>
      <c r="T145" s="8">
        <f t="shared" si="28"/>
        <v>0</v>
      </c>
      <c r="U145" s="199">
        <f>VLOOKUP(A145,'PUR-PARTY MASTER'!$B$6:$J$250,7,FALSE)</f>
        <v>2</v>
      </c>
      <c r="V145" s="199" t="str">
        <f>VLOOKUP(A145,'PUR-PARTY MASTER'!$B$6:$J$250,8,FALSE)</f>
        <v>Local Pur</v>
      </c>
      <c r="W145" s="199" t="s">
        <v>894</v>
      </c>
      <c r="X145" s="404" t="s">
        <v>914</v>
      </c>
      <c r="Y145" s="201" t="str">
        <f>VLOOKUP(X145,'PUR-HSN MASTER'!$A$6:$D$247,2,FALSE)</f>
        <v>Braille paper, kites, Paper mache articles</v>
      </c>
      <c r="Z145" s="201" t="str">
        <f>VLOOKUP(X145,'PUR-HSN MASTER'!$A$6:$D$247,3,FALSE)</f>
        <v>NOS-NUMBERS</v>
      </c>
      <c r="AA145" s="334" t="str">
        <f>VLOOKUP(X145,'PUR-HSN MASTER'!$A$6:$D$247,4,FALSE)</f>
        <v>Goods</v>
      </c>
      <c r="AB145" s="401">
        <v>20</v>
      </c>
    </row>
    <row r="146" spans="1:28" ht="14.4" x14ac:dyDescent="0.3">
      <c r="A146" s="128" t="s">
        <v>878</v>
      </c>
      <c r="B146" s="199" t="str">
        <f>VLOOKUP(A146,'PUR-PARTY MASTER'!$B$6:$J$250,2,FALSE)</f>
        <v>Swan Electricals</v>
      </c>
      <c r="C146" s="403">
        <v>284</v>
      </c>
      <c r="D146" s="398">
        <v>43146</v>
      </c>
      <c r="E146" s="329">
        <f t="shared" si="21"/>
        <v>9592.7999999999993</v>
      </c>
      <c r="F146" s="199" t="str">
        <f>VLOOKUP(A146,'PUR-PARTY MASTER'!$B$6:$J$250,3,FALSE)</f>
        <v>27-Maharashatra</v>
      </c>
      <c r="G146" s="199" t="str">
        <f>VLOOKUP(A146,'PUR-PARTY MASTER'!$B$6:$J$250,4,FALSE)</f>
        <v>N</v>
      </c>
      <c r="H146" s="199" t="str">
        <f>VLOOKUP(A146,'PUR-PARTY MASTER'!$B$6:$J$250,5,FALSE)</f>
        <v>Regular</v>
      </c>
      <c r="I146" s="199">
        <f>VLOOKUP(A146,'PUR-PARTY MASTER'!$B$6:$J$250,6,FALSE)</f>
        <v>0</v>
      </c>
      <c r="J146" s="201">
        <v>12</v>
      </c>
      <c r="K146" s="400">
        <v>8565</v>
      </c>
      <c r="L146" s="202">
        <f t="shared" si="22"/>
        <v>0</v>
      </c>
      <c r="M146" s="202">
        <f t="shared" si="23"/>
        <v>513.9</v>
      </c>
      <c r="N146" s="202">
        <f t="shared" si="24"/>
        <v>513.9</v>
      </c>
      <c r="O146" s="8">
        <v>0</v>
      </c>
      <c r="P146" s="341" t="s">
        <v>177</v>
      </c>
      <c r="Q146" s="329">
        <f t="shared" si="25"/>
        <v>0</v>
      </c>
      <c r="R146" s="329">
        <f t="shared" si="26"/>
        <v>513.9</v>
      </c>
      <c r="S146" s="329">
        <f t="shared" si="27"/>
        <v>513.9</v>
      </c>
      <c r="T146" s="8">
        <f t="shared" si="28"/>
        <v>0</v>
      </c>
      <c r="U146" s="199">
        <f>VLOOKUP(A146,'PUR-PARTY MASTER'!$B$6:$J$250,7,FALSE)</f>
        <v>2</v>
      </c>
      <c r="V146" s="199" t="str">
        <f>VLOOKUP(A146,'PUR-PARTY MASTER'!$B$6:$J$250,8,FALSE)</f>
        <v>Local Pur</v>
      </c>
      <c r="W146" s="199" t="s">
        <v>902</v>
      </c>
      <c r="X146" s="404" t="s">
        <v>887</v>
      </c>
      <c r="Y146" s="201" t="str">
        <f>VLOOKUP(X146,'PUR-HSN MASTER'!$A$6:$D$247,2,FALSE)</f>
        <v>Led Lights</v>
      </c>
      <c r="Z146" s="201" t="str">
        <f>VLOOKUP(X146,'PUR-HSN MASTER'!$A$6:$D$247,3,FALSE)</f>
        <v>NOS-NUMBERS</v>
      </c>
      <c r="AA146" s="334" t="str">
        <f>VLOOKUP(X146,'PUR-HSN MASTER'!$A$6:$D$247,4,FALSE)</f>
        <v>Goods</v>
      </c>
      <c r="AB146" s="401">
        <v>30</v>
      </c>
    </row>
    <row r="147" spans="1:28" ht="14.4" x14ac:dyDescent="0.3">
      <c r="A147" s="128" t="s">
        <v>345</v>
      </c>
      <c r="B147" s="199" t="str">
        <f>VLOOKUP(A147,'PUR-PARTY MASTER'!$B$6:$J$250,2,FALSE)</f>
        <v>Premier Sales Corporation</v>
      </c>
      <c r="C147" s="403" t="s">
        <v>1403</v>
      </c>
      <c r="D147" s="398">
        <v>43132</v>
      </c>
      <c r="E147" s="329">
        <f t="shared" si="21"/>
        <v>467.28</v>
      </c>
      <c r="F147" s="199" t="str">
        <f>VLOOKUP(A147,'PUR-PARTY MASTER'!$B$6:$J$250,3,FALSE)</f>
        <v>27-Maharashatra</v>
      </c>
      <c r="G147" s="199" t="str">
        <f>VLOOKUP(A147,'PUR-PARTY MASTER'!$B$6:$J$250,4,FALSE)</f>
        <v>N</v>
      </c>
      <c r="H147" s="199" t="str">
        <f>VLOOKUP(A147,'PUR-PARTY MASTER'!$B$6:$J$250,5,FALSE)</f>
        <v>Regular</v>
      </c>
      <c r="I147" s="199">
        <f>VLOOKUP(A147,'PUR-PARTY MASTER'!$B$6:$J$250,6,FALSE)</f>
        <v>0</v>
      </c>
      <c r="J147" s="201">
        <v>18</v>
      </c>
      <c r="K147" s="400">
        <v>396</v>
      </c>
      <c r="L147" s="202">
        <f t="shared" si="22"/>
        <v>0</v>
      </c>
      <c r="M147" s="202">
        <f t="shared" si="23"/>
        <v>35.64</v>
      </c>
      <c r="N147" s="202">
        <f t="shared" si="24"/>
        <v>35.64</v>
      </c>
      <c r="O147" s="8">
        <v>0</v>
      </c>
      <c r="P147" s="341" t="s">
        <v>177</v>
      </c>
      <c r="Q147" s="329">
        <f t="shared" si="25"/>
        <v>0</v>
      </c>
      <c r="R147" s="329">
        <f t="shared" si="26"/>
        <v>35.64</v>
      </c>
      <c r="S147" s="329">
        <f t="shared" si="27"/>
        <v>35.64</v>
      </c>
      <c r="T147" s="8">
        <f t="shared" si="28"/>
        <v>0</v>
      </c>
      <c r="U147" s="199">
        <f>VLOOKUP(A147,'PUR-PARTY MASTER'!$B$6:$J$250,7,FALSE)</f>
        <v>2</v>
      </c>
      <c r="V147" s="199" t="str">
        <f>VLOOKUP(A147,'PUR-PARTY MASTER'!$B$6:$J$250,8,FALSE)</f>
        <v>Local Pur</v>
      </c>
      <c r="W147" s="199" t="s">
        <v>894</v>
      </c>
      <c r="X147" s="404">
        <v>84411090</v>
      </c>
      <c r="Y147" s="201" t="str">
        <f>VLOOKUP(X147,'PUR-HSN MASTER'!$A$6:$D$247,2,FALSE)</f>
        <v>Cutter</v>
      </c>
      <c r="Z147" s="201" t="str">
        <f>VLOOKUP(X147,'PUR-HSN MASTER'!$A$6:$D$247,3,FALSE)</f>
        <v>NOS-NUMBERS</v>
      </c>
      <c r="AA147" s="334" t="str">
        <f>VLOOKUP(X147,'PUR-HSN MASTER'!$A$6:$D$247,4,FALSE)</f>
        <v>Goods</v>
      </c>
      <c r="AB147" s="401">
        <v>144</v>
      </c>
    </row>
    <row r="148" spans="1:28" ht="14.4" x14ac:dyDescent="0.3">
      <c r="A148" s="128" t="s">
        <v>345</v>
      </c>
      <c r="B148" s="199" t="str">
        <f>VLOOKUP(A148,'PUR-PARTY MASTER'!$B$6:$J$250,2,FALSE)</f>
        <v>Premier Sales Corporation</v>
      </c>
      <c r="C148" s="403" t="s">
        <v>1403</v>
      </c>
      <c r="D148" s="398">
        <v>43132</v>
      </c>
      <c r="E148" s="329">
        <f t="shared" si="21"/>
        <v>354</v>
      </c>
      <c r="F148" s="199" t="str">
        <f>VLOOKUP(A148,'PUR-PARTY MASTER'!$B$6:$J$250,3,FALSE)</f>
        <v>27-Maharashatra</v>
      </c>
      <c r="G148" s="199" t="str">
        <f>VLOOKUP(A148,'PUR-PARTY MASTER'!$B$6:$J$250,4,FALSE)</f>
        <v>N</v>
      </c>
      <c r="H148" s="199" t="str">
        <f>VLOOKUP(A148,'PUR-PARTY MASTER'!$B$6:$J$250,5,FALSE)</f>
        <v>Regular</v>
      </c>
      <c r="I148" s="199">
        <f>VLOOKUP(A148,'PUR-PARTY MASTER'!$B$6:$J$250,6,FALSE)</f>
        <v>0</v>
      </c>
      <c r="J148" s="201">
        <v>18</v>
      </c>
      <c r="K148" s="400">
        <v>300</v>
      </c>
      <c r="L148" s="202">
        <f t="shared" si="22"/>
        <v>0</v>
      </c>
      <c r="M148" s="202">
        <f t="shared" si="23"/>
        <v>27</v>
      </c>
      <c r="N148" s="202">
        <f t="shared" si="24"/>
        <v>27</v>
      </c>
      <c r="O148" s="8">
        <v>0</v>
      </c>
      <c r="P148" s="341" t="s">
        <v>177</v>
      </c>
      <c r="Q148" s="329">
        <f t="shared" si="25"/>
        <v>0</v>
      </c>
      <c r="R148" s="329">
        <f t="shared" si="26"/>
        <v>27</v>
      </c>
      <c r="S148" s="329">
        <f t="shared" si="27"/>
        <v>27</v>
      </c>
      <c r="T148" s="8">
        <f t="shared" si="28"/>
        <v>0</v>
      </c>
      <c r="U148" s="199">
        <f>VLOOKUP(A148,'PUR-PARTY MASTER'!$B$6:$J$250,7,FALSE)</f>
        <v>2</v>
      </c>
      <c r="V148" s="199" t="str">
        <f>VLOOKUP(A148,'PUR-PARTY MASTER'!$B$6:$J$250,8,FALSE)</f>
        <v>Local Pur</v>
      </c>
      <c r="W148" s="199" t="s">
        <v>894</v>
      </c>
      <c r="X148" s="404">
        <v>4820</v>
      </c>
      <c r="Y148" s="201" t="str">
        <f>VLOOKUP(X148,'PUR-HSN MASTER'!$A$6:$D$247,2,FALSE)</f>
        <v>Box Files</v>
      </c>
      <c r="Z148" s="201" t="str">
        <f>VLOOKUP(X148,'PUR-HSN MASTER'!$A$6:$D$247,3,FALSE)</f>
        <v>NOS-NUMBERS</v>
      </c>
      <c r="AA148" s="334" t="str">
        <f>VLOOKUP(X148,'PUR-HSN MASTER'!$A$6:$D$247,4,FALSE)</f>
        <v>Goods</v>
      </c>
      <c r="AB148" s="401">
        <v>30</v>
      </c>
    </row>
    <row r="149" spans="1:28" ht="14.4" x14ac:dyDescent="0.3">
      <c r="A149" s="128" t="s">
        <v>345</v>
      </c>
      <c r="B149" s="199" t="str">
        <f>VLOOKUP(A149,'PUR-PARTY MASTER'!$B$6:$J$250,2,FALSE)</f>
        <v>Premier Sales Corporation</v>
      </c>
      <c r="C149" s="403" t="s">
        <v>1403</v>
      </c>
      <c r="D149" s="398">
        <v>43132</v>
      </c>
      <c r="E149" s="329">
        <f t="shared" si="21"/>
        <v>226.56</v>
      </c>
      <c r="F149" s="199" t="str">
        <f>VLOOKUP(A149,'PUR-PARTY MASTER'!$B$6:$J$250,3,FALSE)</f>
        <v>27-Maharashatra</v>
      </c>
      <c r="G149" s="199" t="str">
        <f>VLOOKUP(A149,'PUR-PARTY MASTER'!$B$6:$J$250,4,FALSE)</f>
        <v>N</v>
      </c>
      <c r="H149" s="199" t="str">
        <f>VLOOKUP(A149,'PUR-PARTY MASTER'!$B$6:$J$250,5,FALSE)</f>
        <v>Regular</v>
      </c>
      <c r="I149" s="199">
        <f>VLOOKUP(A149,'PUR-PARTY MASTER'!$B$6:$J$250,6,FALSE)</f>
        <v>0</v>
      </c>
      <c r="J149" s="201">
        <v>18</v>
      </c>
      <c r="K149" s="400">
        <v>192</v>
      </c>
      <c r="L149" s="202">
        <f t="shared" si="22"/>
        <v>0</v>
      </c>
      <c r="M149" s="202">
        <f t="shared" si="23"/>
        <v>17.28</v>
      </c>
      <c r="N149" s="202">
        <f t="shared" si="24"/>
        <v>17.28</v>
      </c>
      <c r="O149" s="8">
        <v>0</v>
      </c>
      <c r="P149" s="341" t="s">
        <v>177</v>
      </c>
      <c r="Q149" s="329">
        <f t="shared" si="25"/>
        <v>0</v>
      </c>
      <c r="R149" s="329">
        <f t="shared" si="26"/>
        <v>17.28</v>
      </c>
      <c r="S149" s="329">
        <f t="shared" si="27"/>
        <v>17.28</v>
      </c>
      <c r="T149" s="8">
        <f t="shared" si="28"/>
        <v>0</v>
      </c>
      <c r="U149" s="199">
        <f>VLOOKUP(A149,'PUR-PARTY MASTER'!$B$6:$J$250,7,FALSE)</f>
        <v>2</v>
      </c>
      <c r="V149" s="199" t="str">
        <f>VLOOKUP(A149,'PUR-PARTY MASTER'!$B$6:$J$250,8,FALSE)</f>
        <v>Local Pur</v>
      </c>
      <c r="W149" s="199" t="s">
        <v>894</v>
      </c>
      <c r="X149" s="404" t="s">
        <v>889</v>
      </c>
      <c r="Y149" s="201" t="str">
        <f>VLOOKUP(X149,'PUR-HSN MASTER'!$A$6:$D$247,2,FALSE)</f>
        <v>Register</v>
      </c>
      <c r="Z149" s="201" t="str">
        <f>VLOOKUP(X149,'PUR-HSN MASTER'!$A$6:$D$247,3,FALSE)</f>
        <v>NOS-NUMBERS</v>
      </c>
      <c r="AA149" s="334" t="str">
        <f>VLOOKUP(X149,'PUR-HSN MASTER'!$A$6:$D$247,4,FALSE)</f>
        <v>Goods</v>
      </c>
      <c r="AB149" s="401">
        <v>6</v>
      </c>
    </row>
    <row r="150" spans="1:28" ht="14.4" x14ac:dyDescent="0.3">
      <c r="A150" s="128" t="s">
        <v>345</v>
      </c>
      <c r="B150" s="199" t="str">
        <f>VLOOKUP(A150,'PUR-PARTY MASTER'!$B$6:$J$250,2,FALSE)</f>
        <v>Premier Sales Corporation</v>
      </c>
      <c r="C150" s="403" t="s">
        <v>1404</v>
      </c>
      <c r="D150" s="398">
        <v>43145</v>
      </c>
      <c r="E150" s="329">
        <f t="shared" si="21"/>
        <v>300</v>
      </c>
      <c r="F150" s="199" t="str">
        <f>VLOOKUP(A150,'PUR-PARTY MASTER'!$B$6:$J$250,3,FALSE)</f>
        <v>27-Maharashatra</v>
      </c>
      <c r="G150" s="199" t="str">
        <f>VLOOKUP(A150,'PUR-PARTY MASTER'!$B$6:$J$250,4,FALSE)</f>
        <v>N</v>
      </c>
      <c r="H150" s="199" t="str">
        <f>VLOOKUP(A150,'PUR-PARTY MASTER'!$B$6:$J$250,5,FALSE)</f>
        <v>Regular</v>
      </c>
      <c r="I150" s="199">
        <f>VLOOKUP(A150,'PUR-PARTY MASTER'!$B$6:$J$250,6,FALSE)</f>
        <v>0</v>
      </c>
      <c r="J150" s="201">
        <v>0</v>
      </c>
      <c r="K150" s="400">
        <v>300</v>
      </c>
      <c r="L150" s="202">
        <f t="shared" si="22"/>
        <v>0</v>
      </c>
      <c r="M150" s="202">
        <f t="shared" si="23"/>
        <v>0</v>
      </c>
      <c r="N150" s="202">
        <f t="shared" si="24"/>
        <v>0</v>
      </c>
      <c r="O150" s="8">
        <v>0</v>
      </c>
      <c r="P150" s="341" t="s">
        <v>177</v>
      </c>
      <c r="Q150" s="329">
        <f t="shared" si="25"/>
        <v>0</v>
      </c>
      <c r="R150" s="329">
        <f t="shared" si="26"/>
        <v>0</v>
      </c>
      <c r="S150" s="329">
        <f t="shared" si="27"/>
        <v>0</v>
      </c>
      <c r="T150" s="8">
        <f t="shared" si="28"/>
        <v>0</v>
      </c>
      <c r="U150" s="199">
        <f>VLOOKUP(A150,'PUR-PARTY MASTER'!$B$6:$J$250,7,FALSE)</f>
        <v>2</v>
      </c>
      <c r="V150" s="199" t="str">
        <f>VLOOKUP(A150,'PUR-PARTY MASTER'!$B$6:$J$250,8,FALSE)</f>
        <v>Local Pur</v>
      </c>
      <c r="W150" s="199" t="s">
        <v>901</v>
      </c>
      <c r="X150" s="404">
        <v>96039000</v>
      </c>
      <c r="Y150" s="201" t="str">
        <f>VLOOKUP(X150,'PUR-HSN MASTER'!$A$6:$D$247,2,FALSE)</f>
        <v>Soft Broom</v>
      </c>
      <c r="Z150" s="201" t="str">
        <f>VLOOKUP(X150,'PUR-HSN MASTER'!$A$6:$D$247,3,FALSE)</f>
        <v>NOS-NUMBERS</v>
      </c>
      <c r="AA150" s="334" t="str">
        <f>VLOOKUP(X150,'PUR-HSN MASTER'!$A$6:$D$247,4,FALSE)</f>
        <v>Goods</v>
      </c>
      <c r="AB150" s="401">
        <v>12</v>
      </c>
    </row>
    <row r="151" spans="1:28" ht="14.4" x14ac:dyDescent="0.3">
      <c r="A151" s="128" t="s">
        <v>345</v>
      </c>
      <c r="B151" s="199" t="str">
        <f>VLOOKUP(A151,'PUR-PARTY MASTER'!$B$6:$J$250,2,FALSE)</f>
        <v>Premier Sales Corporation</v>
      </c>
      <c r="C151" s="403" t="s">
        <v>1404</v>
      </c>
      <c r="D151" s="398">
        <v>43145</v>
      </c>
      <c r="E151" s="329">
        <f t="shared" si="21"/>
        <v>180</v>
      </c>
      <c r="F151" s="199" t="str">
        <f>VLOOKUP(A151,'PUR-PARTY MASTER'!$B$6:$J$250,3,FALSE)</f>
        <v>27-Maharashatra</v>
      </c>
      <c r="G151" s="199" t="str">
        <f>VLOOKUP(A151,'PUR-PARTY MASTER'!$B$6:$J$250,4,FALSE)</f>
        <v>N</v>
      </c>
      <c r="H151" s="199" t="str">
        <f>VLOOKUP(A151,'PUR-PARTY MASTER'!$B$6:$J$250,5,FALSE)</f>
        <v>Regular</v>
      </c>
      <c r="I151" s="199">
        <f>VLOOKUP(A151,'PUR-PARTY MASTER'!$B$6:$J$250,6,FALSE)</f>
        <v>0</v>
      </c>
      <c r="J151" s="201">
        <v>0</v>
      </c>
      <c r="K151" s="400">
        <v>180</v>
      </c>
      <c r="L151" s="202">
        <f t="shared" si="22"/>
        <v>0</v>
      </c>
      <c r="M151" s="202">
        <f t="shared" si="23"/>
        <v>0</v>
      </c>
      <c r="N151" s="202">
        <f t="shared" si="24"/>
        <v>0</v>
      </c>
      <c r="O151" s="8">
        <v>0</v>
      </c>
      <c r="P151" s="341" t="s">
        <v>177</v>
      </c>
      <c r="Q151" s="329">
        <f t="shared" si="25"/>
        <v>0</v>
      </c>
      <c r="R151" s="329">
        <f t="shared" si="26"/>
        <v>0</v>
      </c>
      <c r="S151" s="329">
        <f t="shared" si="27"/>
        <v>0</v>
      </c>
      <c r="T151" s="8">
        <f t="shared" si="28"/>
        <v>0</v>
      </c>
      <c r="U151" s="199">
        <f>VLOOKUP(A151,'PUR-PARTY MASTER'!$B$6:$J$250,7,FALSE)</f>
        <v>2</v>
      </c>
      <c r="V151" s="199" t="str">
        <f>VLOOKUP(A151,'PUR-PARTY MASTER'!$B$6:$J$250,8,FALSE)</f>
        <v>Local Pur</v>
      </c>
      <c r="W151" s="199" t="s">
        <v>901</v>
      </c>
      <c r="X151" s="404">
        <v>96031000</v>
      </c>
      <c r="Y151" s="201" t="str">
        <f>VLOOKUP(X151,'PUR-HSN MASTER'!$A$6:$D$247,2,FALSE)</f>
        <v>Broom</v>
      </c>
      <c r="Z151" s="201" t="str">
        <f>VLOOKUP(X151,'PUR-HSN MASTER'!$A$6:$D$247,3,FALSE)</f>
        <v>NOS-NUMBERS</v>
      </c>
      <c r="AA151" s="334" t="str">
        <f>VLOOKUP(X151,'PUR-HSN MASTER'!$A$6:$D$247,4,FALSE)</f>
        <v>Goods</v>
      </c>
      <c r="AB151" s="401">
        <v>12</v>
      </c>
    </row>
    <row r="152" spans="1:28" ht="14.4" x14ac:dyDescent="0.3">
      <c r="A152" s="128" t="s">
        <v>345</v>
      </c>
      <c r="B152" s="199" t="str">
        <f>VLOOKUP(A152,'PUR-PARTY MASTER'!$B$6:$J$250,2,FALSE)</f>
        <v>Premier Sales Corporation</v>
      </c>
      <c r="C152" s="403" t="s">
        <v>1405</v>
      </c>
      <c r="D152" s="398">
        <v>43147</v>
      </c>
      <c r="E152" s="329">
        <f t="shared" si="21"/>
        <v>1260</v>
      </c>
      <c r="F152" s="199" t="str">
        <f>VLOOKUP(A152,'PUR-PARTY MASTER'!$B$6:$J$250,3,FALSE)</f>
        <v>27-Maharashatra</v>
      </c>
      <c r="G152" s="199" t="str">
        <f>VLOOKUP(A152,'PUR-PARTY MASTER'!$B$6:$J$250,4,FALSE)</f>
        <v>N</v>
      </c>
      <c r="H152" s="199" t="str">
        <f>VLOOKUP(A152,'PUR-PARTY MASTER'!$B$6:$J$250,5,FALSE)</f>
        <v>Regular</v>
      </c>
      <c r="I152" s="199">
        <f>VLOOKUP(A152,'PUR-PARTY MASTER'!$B$6:$J$250,6,FALSE)</f>
        <v>0</v>
      </c>
      <c r="J152" s="201">
        <v>5</v>
      </c>
      <c r="K152" s="400">
        <v>1200</v>
      </c>
      <c r="L152" s="202">
        <f t="shared" si="22"/>
        <v>0</v>
      </c>
      <c r="M152" s="202">
        <f t="shared" si="23"/>
        <v>30</v>
      </c>
      <c r="N152" s="202">
        <f t="shared" si="24"/>
        <v>30</v>
      </c>
      <c r="O152" s="8">
        <v>0</v>
      </c>
      <c r="P152" s="341" t="s">
        <v>177</v>
      </c>
      <c r="Q152" s="329">
        <f t="shared" si="25"/>
        <v>0</v>
      </c>
      <c r="R152" s="329">
        <f t="shared" si="26"/>
        <v>30</v>
      </c>
      <c r="S152" s="329">
        <f t="shared" si="27"/>
        <v>30</v>
      </c>
      <c r="T152" s="8">
        <f t="shared" si="28"/>
        <v>0</v>
      </c>
      <c r="U152" s="199">
        <f>VLOOKUP(A152,'PUR-PARTY MASTER'!$B$6:$J$250,7,FALSE)</f>
        <v>2</v>
      </c>
      <c r="V152" s="199" t="str">
        <f>VLOOKUP(A152,'PUR-PARTY MASTER'!$B$6:$J$250,8,FALSE)</f>
        <v>Local Pur</v>
      </c>
      <c r="W152" s="199" t="s">
        <v>898</v>
      </c>
      <c r="X152" s="404">
        <v>61169200</v>
      </c>
      <c r="Y152" s="201" t="str">
        <f>VLOOKUP(X152,'PUR-HSN MASTER'!$A$6:$D$247,2,FALSE)</f>
        <v>Cotton Gloves</v>
      </c>
      <c r="Z152" s="201" t="str">
        <f>VLOOKUP(X152,'PUR-HSN MASTER'!$A$6:$D$247,3,FALSE)</f>
        <v>NOS-NUMBERS</v>
      </c>
      <c r="AA152" s="334" t="str">
        <f>VLOOKUP(X152,'PUR-HSN MASTER'!$A$6:$D$247,4,FALSE)</f>
        <v>Goods</v>
      </c>
      <c r="AB152" s="401">
        <v>100</v>
      </c>
    </row>
    <row r="153" spans="1:28" ht="14.4" x14ac:dyDescent="0.3">
      <c r="A153" s="128" t="s">
        <v>345</v>
      </c>
      <c r="B153" s="199" t="str">
        <f>VLOOKUP(A153,'PUR-PARTY MASTER'!$B$6:$J$250,2,FALSE)</f>
        <v>Premier Sales Corporation</v>
      </c>
      <c r="C153" s="403" t="s">
        <v>1405</v>
      </c>
      <c r="D153" s="398">
        <v>43147</v>
      </c>
      <c r="E153" s="329">
        <f t="shared" si="21"/>
        <v>866.25</v>
      </c>
      <c r="F153" s="199" t="str">
        <f>VLOOKUP(A153,'PUR-PARTY MASTER'!$B$6:$J$250,3,FALSE)</f>
        <v>27-Maharashatra</v>
      </c>
      <c r="G153" s="199" t="str">
        <f>VLOOKUP(A153,'PUR-PARTY MASTER'!$B$6:$J$250,4,FALSE)</f>
        <v>N</v>
      </c>
      <c r="H153" s="199" t="str">
        <f>VLOOKUP(A153,'PUR-PARTY MASTER'!$B$6:$J$250,5,FALSE)</f>
        <v>Regular</v>
      </c>
      <c r="I153" s="199">
        <f>VLOOKUP(A153,'PUR-PARTY MASTER'!$B$6:$J$250,6,FALSE)</f>
        <v>0</v>
      </c>
      <c r="J153" s="201">
        <v>5</v>
      </c>
      <c r="K153" s="400">
        <v>825</v>
      </c>
      <c r="L153" s="202">
        <f t="shared" si="22"/>
        <v>0</v>
      </c>
      <c r="M153" s="202">
        <f t="shared" si="23"/>
        <v>20.625</v>
      </c>
      <c r="N153" s="202">
        <f t="shared" si="24"/>
        <v>20.625</v>
      </c>
      <c r="O153" s="8">
        <v>0</v>
      </c>
      <c r="P153" s="341" t="s">
        <v>177</v>
      </c>
      <c r="Q153" s="329">
        <f t="shared" si="25"/>
        <v>0</v>
      </c>
      <c r="R153" s="329">
        <f t="shared" si="26"/>
        <v>20.625</v>
      </c>
      <c r="S153" s="329">
        <f t="shared" si="27"/>
        <v>20.625</v>
      </c>
      <c r="T153" s="8">
        <f t="shared" si="28"/>
        <v>0</v>
      </c>
      <c r="U153" s="199">
        <f>VLOOKUP(A153,'PUR-PARTY MASTER'!$B$6:$J$250,7,FALSE)</f>
        <v>2</v>
      </c>
      <c r="V153" s="199" t="str">
        <f>VLOOKUP(A153,'PUR-PARTY MASTER'!$B$6:$J$250,8,FALSE)</f>
        <v>Local Pur</v>
      </c>
      <c r="W153" s="199" t="s">
        <v>898</v>
      </c>
      <c r="X153" s="404">
        <v>60060000</v>
      </c>
      <c r="Y153" s="201" t="str">
        <f>VLOOKUP(X153,'PUR-HSN MASTER'!$A$6:$D$247,2,FALSE)</f>
        <v>Cloth Lint</v>
      </c>
      <c r="Z153" s="201" t="str">
        <f>VLOOKUP(X153,'PUR-HSN MASTER'!$A$6:$D$247,3,FALSE)</f>
        <v>NOS-NUMBERS</v>
      </c>
      <c r="AA153" s="334" t="str">
        <f>VLOOKUP(X153,'PUR-HSN MASTER'!$A$6:$D$247,4,FALSE)</f>
        <v>Goods</v>
      </c>
      <c r="AB153" s="401">
        <v>25</v>
      </c>
    </row>
    <row r="154" spans="1:28" ht="14.4" x14ac:dyDescent="0.3">
      <c r="A154" s="128" t="s">
        <v>345</v>
      </c>
      <c r="B154" s="199" t="str">
        <f>VLOOKUP(A154,'PUR-PARTY MASTER'!$B$6:$J$250,2,FALSE)</f>
        <v>Premier Sales Corporation</v>
      </c>
      <c r="C154" s="403" t="s">
        <v>1406</v>
      </c>
      <c r="D154" s="398">
        <v>43147</v>
      </c>
      <c r="E154" s="329">
        <f t="shared" si="21"/>
        <v>42</v>
      </c>
      <c r="F154" s="199" t="str">
        <f>VLOOKUP(A154,'PUR-PARTY MASTER'!$B$6:$J$250,3,FALSE)</f>
        <v>27-Maharashatra</v>
      </c>
      <c r="G154" s="199" t="str">
        <f>VLOOKUP(A154,'PUR-PARTY MASTER'!$B$6:$J$250,4,FALSE)</f>
        <v>N</v>
      </c>
      <c r="H154" s="199" t="str">
        <f>VLOOKUP(A154,'PUR-PARTY MASTER'!$B$6:$J$250,5,FALSE)</f>
        <v>Regular</v>
      </c>
      <c r="I154" s="199">
        <f>VLOOKUP(A154,'PUR-PARTY MASTER'!$B$6:$J$250,6,FALSE)</f>
        <v>0</v>
      </c>
      <c r="J154" s="201">
        <v>12</v>
      </c>
      <c r="K154" s="400">
        <v>37.5</v>
      </c>
      <c r="L154" s="202">
        <f t="shared" si="22"/>
        <v>0</v>
      </c>
      <c r="M154" s="202">
        <f t="shared" si="23"/>
        <v>2.25</v>
      </c>
      <c r="N154" s="202">
        <f t="shared" si="24"/>
        <v>2.25</v>
      </c>
      <c r="O154" s="8">
        <v>0</v>
      </c>
      <c r="P154" s="341" t="s">
        <v>177</v>
      </c>
      <c r="Q154" s="329">
        <f t="shared" si="25"/>
        <v>0</v>
      </c>
      <c r="R154" s="329">
        <f t="shared" si="26"/>
        <v>2.25</v>
      </c>
      <c r="S154" s="329">
        <f t="shared" si="27"/>
        <v>2.25</v>
      </c>
      <c r="T154" s="8">
        <f t="shared" si="28"/>
        <v>0</v>
      </c>
      <c r="U154" s="199">
        <f>VLOOKUP(A154,'PUR-PARTY MASTER'!$B$6:$J$250,7,FALSE)</f>
        <v>2</v>
      </c>
      <c r="V154" s="199" t="str">
        <f>VLOOKUP(A154,'PUR-PARTY MASTER'!$B$6:$J$250,8,FALSE)</f>
        <v>Local Pur</v>
      </c>
      <c r="W154" s="199" t="s">
        <v>902</v>
      </c>
      <c r="X154" s="404">
        <v>96082000</v>
      </c>
      <c r="Y154" s="201" t="str">
        <f>VLOOKUP(X154,'PUR-HSN MASTER'!$A$6:$D$247,2,FALSE)</f>
        <v>Pencil</v>
      </c>
      <c r="Z154" s="201" t="str">
        <f>VLOOKUP(X154,'PUR-HSN MASTER'!$A$6:$D$247,3,FALSE)</f>
        <v>MTR-METERS</v>
      </c>
      <c r="AA154" s="334" t="str">
        <f>VLOOKUP(X154,'PUR-HSN MASTER'!$A$6:$D$247,4,FALSE)</f>
        <v>Goods</v>
      </c>
      <c r="AB154" s="401">
        <v>10</v>
      </c>
    </row>
    <row r="155" spans="1:28" ht="14.4" x14ac:dyDescent="0.3">
      <c r="A155" s="128" t="s">
        <v>345</v>
      </c>
      <c r="B155" s="199" t="str">
        <f>VLOOKUP(A155,'PUR-PARTY MASTER'!$B$6:$J$250,2,FALSE)</f>
        <v>Premier Sales Corporation</v>
      </c>
      <c r="C155" s="403" t="s">
        <v>1407</v>
      </c>
      <c r="D155" s="398">
        <v>43147</v>
      </c>
      <c r="E155" s="329">
        <f t="shared" si="21"/>
        <v>764.6400000000001</v>
      </c>
      <c r="F155" s="199" t="str">
        <f>VLOOKUP(A155,'PUR-PARTY MASTER'!$B$6:$J$250,3,FALSE)</f>
        <v>27-Maharashatra</v>
      </c>
      <c r="G155" s="199" t="str">
        <f>VLOOKUP(A155,'PUR-PARTY MASTER'!$B$6:$J$250,4,FALSE)</f>
        <v>N</v>
      </c>
      <c r="H155" s="199" t="str">
        <f>VLOOKUP(A155,'PUR-PARTY MASTER'!$B$6:$J$250,5,FALSE)</f>
        <v>Regular</v>
      </c>
      <c r="I155" s="199">
        <f>VLOOKUP(A155,'PUR-PARTY MASTER'!$B$6:$J$250,6,FALSE)</f>
        <v>0</v>
      </c>
      <c r="J155" s="201">
        <v>18</v>
      </c>
      <c r="K155" s="400">
        <v>648</v>
      </c>
      <c r="L155" s="202">
        <f t="shared" si="22"/>
        <v>0</v>
      </c>
      <c r="M155" s="202">
        <f t="shared" si="23"/>
        <v>58.32</v>
      </c>
      <c r="N155" s="202">
        <f t="shared" si="24"/>
        <v>58.32</v>
      </c>
      <c r="O155" s="8">
        <v>0</v>
      </c>
      <c r="P155" s="341" t="s">
        <v>177</v>
      </c>
      <c r="Q155" s="329">
        <f t="shared" si="25"/>
        <v>0</v>
      </c>
      <c r="R155" s="329">
        <f t="shared" si="26"/>
        <v>58.32</v>
      </c>
      <c r="S155" s="329">
        <f t="shared" si="27"/>
        <v>58.32</v>
      </c>
      <c r="T155" s="8">
        <f t="shared" si="28"/>
        <v>0</v>
      </c>
      <c r="U155" s="199">
        <f>VLOOKUP(A155,'PUR-PARTY MASTER'!$B$6:$J$250,7,FALSE)</f>
        <v>2</v>
      </c>
      <c r="V155" s="199" t="str">
        <f>VLOOKUP(A155,'PUR-PARTY MASTER'!$B$6:$J$250,8,FALSE)</f>
        <v>Local Pur</v>
      </c>
      <c r="W155" s="199" t="s">
        <v>894</v>
      </c>
      <c r="X155" s="404">
        <v>38089191</v>
      </c>
      <c r="Y155" s="201" t="str">
        <f>VLOOKUP(X155,'PUR-HSN MASTER'!$A$6:$D$247,2,FALSE)</f>
        <v>Good Knight</v>
      </c>
      <c r="Z155" s="201" t="str">
        <f>VLOOKUP(X155,'PUR-HSN MASTER'!$A$6:$D$247,3,FALSE)</f>
        <v>NOS-NUMBERS</v>
      </c>
      <c r="AA155" s="334" t="str">
        <f>VLOOKUP(X155,'PUR-HSN MASTER'!$A$6:$D$247,4,FALSE)</f>
        <v>Goods</v>
      </c>
      <c r="AB155" s="401">
        <v>12</v>
      </c>
    </row>
    <row r="156" spans="1:28" ht="14.4" x14ac:dyDescent="0.3">
      <c r="A156" s="128" t="s">
        <v>24</v>
      </c>
      <c r="B156" s="199" t="str">
        <f>VLOOKUP(A156,'PUR-PARTY MASTER'!$B$6:$J$250,2,FALSE)</f>
        <v>Tata Autocomp Systems LTD.(X1)</v>
      </c>
      <c r="C156" s="403" t="s">
        <v>1408</v>
      </c>
      <c r="D156" s="398">
        <v>43147</v>
      </c>
      <c r="E156" s="329">
        <f t="shared" si="21"/>
        <v>6803.0464000000002</v>
      </c>
      <c r="F156" s="199" t="str">
        <f>VLOOKUP(A156,'PUR-PARTY MASTER'!$B$6:$J$250,3,FALSE)</f>
        <v>27-Maharashatra</v>
      </c>
      <c r="G156" s="199" t="str">
        <f>VLOOKUP(A156,'PUR-PARTY MASTER'!$B$6:$J$250,4,FALSE)</f>
        <v>N</v>
      </c>
      <c r="H156" s="199" t="str">
        <f>VLOOKUP(A156,'PUR-PARTY MASTER'!$B$6:$J$250,5,FALSE)</f>
        <v>Regular</v>
      </c>
      <c r="I156" s="199">
        <f>VLOOKUP(A156,'PUR-PARTY MASTER'!$B$6:$J$250,6,FALSE)</f>
        <v>0</v>
      </c>
      <c r="J156" s="201">
        <v>28</v>
      </c>
      <c r="K156" s="400">
        <v>5314.88</v>
      </c>
      <c r="L156" s="202">
        <f t="shared" si="22"/>
        <v>0</v>
      </c>
      <c r="M156" s="202">
        <f t="shared" si="23"/>
        <v>744.08320000000003</v>
      </c>
      <c r="N156" s="202">
        <f t="shared" si="24"/>
        <v>744.08320000000003</v>
      </c>
      <c r="O156" s="8">
        <v>0</v>
      </c>
      <c r="P156" s="341" t="s">
        <v>177</v>
      </c>
      <c r="Q156" s="329">
        <f t="shared" si="25"/>
        <v>0</v>
      </c>
      <c r="R156" s="329">
        <f t="shared" si="26"/>
        <v>744.08320000000003</v>
      </c>
      <c r="S156" s="329">
        <f t="shared" si="27"/>
        <v>744.08320000000003</v>
      </c>
      <c r="T156" s="8">
        <f t="shared" si="28"/>
        <v>0</v>
      </c>
      <c r="U156" s="199">
        <f>VLOOKUP(A156,'PUR-PARTY MASTER'!$B$6:$J$250,7,FALSE)</f>
        <v>2</v>
      </c>
      <c r="V156" s="199" t="str">
        <f>VLOOKUP(A156,'PUR-PARTY MASTER'!$B$6:$J$250,8,FALSE)</f>
        <v>Local Pur</v>
      </c>
      <c r="W156" s="199" t="s">
        <v>897</v>
      </c>
      <c r="X156" s="404">
        <v>87082900</v>
      </c>
      <c r="Y156" s="201" t="str">
        <f>VLOOKUP(X156,'PUR-HSN MASTER'!$A$6:$D$247,2,FALSE)</f>
        <v>Parts &amp; Accessories Of Motor Vehicles Other</v>
      </c>
      <c r="Z156" s="201" t="str">
        <f>VLOOKUP(X156,'PUR-HSN MASTER'!$A$6:$D$247,3,FALSE)</f>
        <v>NOS-NUMBERS</v>
      </c>
      <c r="AA156" s="334" t="str">
        <f>VLOOKUP(X156,'PUR-HSN MASTER'!$A$6:$D$247,4,FALSE)</f>
        <v>Goods</v>
      </c>
      <c r="AB156" s="401">
        <v>34</v>
      </c>
    </row>
    <row r="157" spans="1:28" ht="14.4" x14ac:dyDescent="0.3">
      <c r="A157" s="128" t="s">
        <v>23</v>
      </c>
      <c r="B157" s="199" t="str">
        <f>VLOOKUP(A157,'PUR-PARTY MASTER'!$B$6:$J$250,2,FALSE)</f>
        <v>Varroc Polymers Pvt Ltd,</v>
      </c>
      <c r="C157" s="403">
        <v>2041072755</v>
      </c>
      <c r="D157" s="398">
        <v>43147</v>
      </c>
      <c r="E157" s="329">
        <f t="shared" si="21"/>
        <v>7941.1200000000008</v>
      </c>
      <c r="F157" s="199" t="str">
        <f>VLOOKUP(A157,'PUR-PARTY MASTER'!$B$6:$J$250,3,FALSE)</f>
        <v>27-Maharashatra</v>
      </c>
      <c r="G157" s="199" t="str">
        <f>VLOOKUP(A157,'PUR-PARTY MASTER'!$B$6:$J$250,4,FALSE)</f>
        <v>N</v>
      </c>
      <c r="H157" s="199" t="str">
        <f>VLOOKUP(A157,'PUR-PARTY MASTER'!$B$6:$J$250,5,FALSE)</f>
        <v>Regular</v>
      </c>
      <c r="I157" s="199">
        <f>VLOOKUP(A157,'PUR-PARTY MASTER'!$B$6:$J$250,6,FALSE)</f>
        <v>0</v>
      </c>
      <c r="J157" s="201">
        <v>28</v>
      </c>
      <c r="K157" s="400">
        <v>6204</v>
      </c>
      <c r="L157" s="202">
        <f t="shared" si="22"/>
        <v>0</v>
      </c>
      <c r="M157" s="202">
        <f t="shared" si="23"/>
        <v>868.56000000000006</v>
      </c>
      <c r="N157" s="202">
        <f t="shared" si="24"/>
        <v>868.56000000000006</v>
      </c>
      <c r="O157" s="8">
        <v>0</v>
      </c>
      <c r="P157" s="341" t="s">
        <v>177</v>
      </c>
      <c r="Q157" s="329">
        <f t="shared" si="25"/>
        <v>0</v>
      </c>
      <c r="R157" s="329">
        <f t="shared" si="26"/>
        <v>868.56000000000006</v>
      </c>
      <c r="S157" s="329">
        <f t="shared" si="27"/>
        <v>868.56000000000006</v>
      </c>
      <c r="T157" s="8">
        <f t="shared" si="28"/>
        <v>0</v>
      </c>
      <c r="U157" s="199">
        <f>VLOOKUP(A157,'PUR-PARTY MASTER'!$B$6:$J$250,7,FALSE)</f>
        <v>2</v>
      </c>
      <c r="V157" s="199" t="str">
        <f>VLOOKUP(A157,'PUR-PARTY MASTER'!$B$6:$J$250,8,FALSE)</f>
        <v>Local Pur</v>
      </c>
      <c r="W157" s="199" t="s">
        <v>897</v>
      </c>
      <c r="X157" s="404">
        <v>87141090</v>
      </c>
      <c r="Y157" s="201" t="str">
        <f>VLOOKUP(X157,'PUR-HSN MASTER'!$A$6:$D$247,2,FALSE)</f>
        <v>Parts &amp; Accessories Of Motor Vehicles Other</v>
      </c>
      <c r="Z157" s="201" t="str">
        <f>VLOOKUP(X157,'PUR-HSN MASTER'!$A$6:$D$247,3,FALSE)</f>
        <v>NOS-NUMBERS</v>
      </c>
      <c r="AA157" s="334" t="str">
        <f>VLOOKUP(X157,'PUR-HSN MASTER'!$A$6:$D$247,4,FALSE)</f>
        <v>Goods</v>
      </c>
      <c r="AB157" s="401">
        <v>300</v>
      </c>
    </row>
    <row r="158" spans="1:28" ht="14.4" x14ac:dyDescent="0.3">
      <c r="A158" s="128" t="s">
        <v>23</v>
      </c>
      <c r="B158" s="199" t="str">
        <f>VLOOKUP(A158,'PUR-PARTY MASTER'!$B$6:$J$250,2,FALSE)</f>
        <v>Varroc Polymers Pvt Ltd,</v>
      </c>
      <c r="C158" s="403">
        <v>2041072756</v>
      </c>
      <c r="D158" s="398">
        <v>43147</v>
      </c>
      <c r="E158" s="329">
        <f t="shared" si="21"/>
        <v>7941.1200000000008</v>
      </c>
      <c r="F158" s="199" t="str">
        <f>VLOOKUP(A158,'PUR-PARTY MASTER'!$B$6:$J$250,3,FALSE)</f>
        <v>27-Maharashatra</v>
      </c>
      <c r="G158" s="199" t="str">
        <f>VLOOKUP(A158,'PUR-PARTY MASTER'!$B$6:$J$250,4,FALSE)</f>
        <v>N</v>
      </c>
      <c r="H158" s="199" t="str">
        <f>VLOOKUP(A158,'PUR-PARTY MASTER'!$B$6:$J$250,5,FALSE)</f>
        <v>Regular</v>
      </c>
      <c r="I158" s="199">
        <f>VLOOKUP(A158,'PUR-PARTY MASTER'!$B$6:$J$250,6,FALSE)</f>
        <v>0</v>
      </c>
      <c r="J158" s="201">
        <v>28</v>
      </c>
      <c r="K158" s="400">
        <v>6204</v>
      </c>
      <c r="L158" s="202">
        <f t="shared" si="22"/>
        <v>0</v>
      </c>
      <c r="M158" s="202">
        <f t="shared" si="23"/>
        <v>868.56000000000006</v>
      </c>
      <c r="N158" s="202">
        <f t="shared" si="24"/>
        <v>868.56000000000006</v>
      </c>
      <c r="O158" s="8">
        <v>0</v>
      </c>
      <c r="P158" s="341" t="s">
        <v>177</v>
      </c>
      <c r="Q158" s="329">
        <f t="shared" si="25"/>
        <v>0</v>
      </c>
      <c r="R158" s="329">
        <f t="shared" si="26"/>
        <v>868.56000000000006</v>
      </c>
      <c r="S158" s="329">
        <f t="shared" si="27"/>
        <v>868.56000000000006</v>
      </c>
      <c r="T158" s="8">
        <f t="shared" si="28"/>
        <v>0</v>
      </c>
      <c r="U158" s="199">
        <f>VLOOKUP(A158,'PUR-PARTY MASTER'!$B$6:$J$250,7,FALSE)</f>
        <v>2</v>
      </c>
      <c r="V158" s="199" t="str">
        <f>VLOOKUP(A158,'PUR-PARTY MASTER'!$B$6:$J$250,8,FALSE)</f>
        <v>Local Pur</v>
      </c>
      <c r="W158" s="199" t="s">
        <v>897</v>
      </c>
      <c r="X158" s="404">
        <v>87141090</v>
      </c>
      <c r="Y158" s="201" t="str">
        <f>VLOOKUP(X158,'PUR-HSN MASTER'!$A$6:$D$247,2,FALSE)</f>
        <v>Parts &amp; Accessories Of Motor Vehicles Other</v>
      </c>
      <c r="Z158" s="201" t="str">
        <f>VLOOKUP(X158,'PUR-HSN MASTER'!$A$6:$D$247,3,FALSE)</f>
        <v>NOS-NUMBERS</v>
      </c>
      <c r="AA158" s="334" t="str">
        <f>VLOOKUP(X158,'PUR-HSN MASTER'!$A$6:$D$247,4,FALSE)</f>
        <v>Goods</v>
      </c>
      <c r="AB158" s="401">
        <v>300</v>
      </c>
    </row>
    <row r="159" spans="1:28" ht="14.4" x14ac:dyDescent="0.3">
      <c r="A159" s="128" t="s">
        <v>23</v>
      </c>
      <c r="B159" s="199" t="str">
        <f>VLOOKUP(A159,'PUR-PARTY MASTER'!$B$6:$J$250,2,FALSE)</f>
        <v>Varroc Polymers Pvt Ltd,</v>
      </c>
      <c r="C159" s="403">
        <v>2041072757</v>
      </c>
      <c r="D159" s="398">
        <v>43147</v>
      </c>
      <c r="E159" s="329">
        <f t="shared" si="21"/>
        <v>34362.777600000001</v>
      </c>
      <c r="F159" s="199" t="str">
        <f>VLOOKUP(A159,'PUR-PARTY MASTER'!$B$6:$J$250,3,FALSE)</f>
        <v>27-Maharashatra</v>
      </c>
      <c r="G159" s="199" t="str">
        <f>VLOOKUP(A159,'PUR-PARTY MASTER'!$B$6:$J$250,4,FALSE)</f>
        <v>N</v>
      </c>
      <c r="H159" s="199" t="str">
        <f>VLOOKUP(A159,'PUR-PARTY MASTER'!$B$6:$J$250,5,FALSE)</f>
        <v>Regular</v>
      </c>
      <c r="I159" s="199">
        <f>VLOOKUP(A159,'PUR-PARTY MASTER'!$B$6:$J$250,6,FALSE)</f>
        <v>0</v>
      </c>
      <c r="J159" s="201">
        <v>28</v>
      </c>
      <c r="K159" s="400">
        <v>26845.919999999998</v>
      </c>
      <c r="L159" s="202">
        <f t="shared" si="22"/>
        <v>0</v>
      </c>
      <c r="M159" s="202">
        <f t="shared" si="23"/>
        <v>3758.4288000000001</v>
      </c>
      <c r="N159" s="202">
        <f t="shared" si="24"/>
        <v>3758.4288000000001</v>
      </c>
      <c r="O159" s="8">
        <v>0</v>
      </c>
      <c r="P159" s="341" t="s">
        <v>177</v>
      </c>
      <c r="Q159" s="329">
        <f t="shared" si="25"/>
        <v>0</v>
      </c>
      <c r="R159" s="329">
        <f t="shared" si="26"/>
        <v>3758.4288000000001</v>
      </c>
      <c r="S159" s="329">
        <f t="shared" si="27"/>
        <v>3758.4288000000001</v>
      </c>
      <c r="T159" s="8">
        <f t="shared" si="28"/>
        <v>0</v>
      </c>
      <c r="U159" s="199">
        <f>VLOOKUP(A159,'PUR-PARTY MASTER'!$B$6:$J$250,7,FALSE)</f>
        <v>2</v>
      </c>
      <c r="V159" s="199" t="str">
        <f>VLOOKUP(A159,'PUR-PARTY MASTER'!$B$6:$J$250,8,FALSE)</f>
        <v>Local Pur</v>
      </c>
      <c r="W159" s="199" t="s">
        <v>897</v>
      </c>
      <c r="X159" s="404">
        <v>87141090</v>
      </c>
      <c r="Y159" s="201" t="str">
        <f>VLOOKUP(X159,'PUR-HSN MASTER'!$A$6:$D$247,2,FALSE)</f>
        <v>Parts &amp; Accessories Of Motor Vehicles Other</v>
      </c>
      <c r="Z159" s="201" t="str">
        <f>VLOOKUP(X159,'PUR-HSN MASTER'!$A$6:$D$247,3,FALSE)</f>
        <v>NOS-NUMBERS</v>
      </c>
      <c r="AA159" s="334" t="str">
        <f>VLOOKUP(X159,'PUR-HSN MASTER'!$A$6:$D$247,4,FALSE)</f>
        <v>Goods</v>
      </c>
      <c r="AB159" s="401">
        <v>724</v>
      </c>
    </row>
    <row r="160" spans="1:28" ht="14.4" x14ac:dyDescent="0.3">
      <c r="A160" s="128" t="s">
        <v>23</v>
      </c>
      <c r="B160" s="199" t="str">
        <f>VLOOKUP(A160,'PUR-PARTY MASTER'!$B$6:$J$250,2,FALSE)</f>
        <v>Varroc Polymers Pvt Ltd,</v>
      </c>
      <c r="C160" s="403">
        <v>2041072758</v>
      </c>
      <c r="D160" s="398">
        <v>43147</v>
      </c>
      <c r="E160" s="329">
        <f t="shared" si="21"/>
        <v>34362.777600000001</v>
      </c>
      <c r="F160" s="199" t="str">
        <f>VLOOKUP(A160,'PUR-PARTY MASTER'!$B$6:$J$250,3,FALSE)</f>
        <v>27-Maharashatra</v>
      </c>
      <c r="G160" s="199" t="str">
        <f>VLOOKUP(A160,'PUR-PARTY MASTER'!$B$6:$J$250,4,FALSE)</f>
        <v>N</v>
      </c>
      <c r="H160" s="199" t="str">
        <f>VLOOKUP(A160,'PUR-PARTY MASTER'!$B$6:$J$250,5,FALSE)</f>
        <v>Regular</v>
      </c>
      <c r="I160" s="199">
        <f>VLOOKUP(A160,'PUR-PARTY MASTER'!$B$6:$J$250,6,FALSE)</f>
        <v>0</v>
      </c>
      <c r="J160" s="201">
        <v>28</v>
      </c>
      <c r="K160" s="400">
        <v>26845.919999999998</v>
      </c>
      <c r="L160" s="202">
        <f t="shared" si="22"/>
        <v>0</v>
      </c>
      <c r="M160" s="202">
        <f t="shared" si="23"/>
        <v>3758.4288000000001</v>
      </c>
      <c r="N160" s="202">
        <f t="shared" si="24"/>
        <v>3758.4288000000001</v>
      </c>
      <c r="O160" s="8">
        <v>0</v>
      </c>
      <c r="P160" s="341" t="s">
        <v>177</v>
      </c>
      <c r="Q160" s="329">
        <f t="shared" si="25"/>
        <v>0</v>
      </c>
      <c r="R160" s="329">
        <f t="shared" si="26"/>
        <v>3758.4288000000001</v>
      </c>
      <c r="S160" s="329">
        <f t="shared" si="27"/>
        <v>3758.4288000000001</v>
      </c>
      <c r="T160" s="8">
        <f t="shared" si="28"/>
        <v>0</v>
      </c>
      <c r="U160" s="199">
        <f>VLOOKUP(A160,'PUR-PARTY MASTER'!$B$6:$J$250,7,FALSE)</f>
        <v>2</v>
      </c>
      <c r="V160" s="199" t="str">
        <f>VLOOKUP(A160,'PUR-PARTY MASTER'!$B$6:$J$250,8,FALSE)</f>
        <v>Local Pur</v>
      </c>
      <c r="W160" s="199" t="s">
        <v>897</v>
      </c>
      <c r="X160" s="404">
        <v>87141090</v>
      </c>
      <c r="Y160" s="201" t="str">
        <f>VLOOKUP(X160,'PUR-HSN MASTER'!$A$6:$D$247,2,FALSE)</f>
        <v>Parts &amp; Accessories Of Motor Vehicles Other</v>
      </c>
      <c r="Z160" s="201" t="str">
        <f>VLOOKUP(X160,'PUR-HSN MASTER'!$A$6:$D$247,3,FALSE)</f>
        <v>NOS-NUMBERS</v>
      </c>
      <c r="AA160" s="334" t="str">
        <f>VLOOKUP(X160,'PUR-HSN MASTER'!$A$6:$D$247,4,FALSE)</f>
        <v>Goods</v>
      </c>
      <c r="AB160" s="401">
        <v>724</v>
      </c>
    </row>
    <row r="161" spans="1:28" ht="14.4" x14ac:dyDescent="0.3">
      <c r="A161" s="128" t="s">
        <v>335</v>
      </c>
      <c r="B161" s="199" t="str">
        <f>VLOOKUP(A161,'PUR-PARTY MASTER'!$B$6:$J$250,2,FALSE)</f>
        <v>Atharva Polymers Pvt Ltd,</v>
      </c>
      <c r="C161" s="403" t="s">
        <v>1409</v>
      </c>
      <c r="D161" s="398">
        <v>43147</v>
      </c>
      <c r="E161" s="329">
        <f t="shared" si="21"/>
        <v>59952.639999999999</v>
      </c>
      <c r="F161" s="199" t="str">
        <f>VLOOKUP(A161,'PUR-PARTY MASTER'!$B$6:$J$250,3,FALSE)</f>
        <v>27-Maharashatra</v>
      </c>
      <c r="G161" s="199" t="str">
        <f>VLOOKUP(A161,'PUR-PARTY MASTER'!$B$6:$J$250,4,FALSE)</f>
        <v>N</v>
      </c>
      <c r="H161" s="199" t="str">
        <f>VLOOKUP(A161,'PUR-PARTY MASTER'!$B$6:$J$250,5,FALSE)</f>
        <v>Regular</v>
      </c>
      <c r="I161" s="199">
        <f>VLOOKUP(A161,'PUR-PARTY MASTER'!$B$6:$J$250,6,FALSE)</f>
        <v>0</v>
      </c>
      <c r="J161" s="201">
        <v>28</v>
      </c>
      <c r="K161" s="400">
        <f>46722.5+115.5</f>
        <v>46838</v>
      </c>
      <c r="L161" s="202">
        <f t="shared" si="22"/>
        <v>0</v>
      </c>
      <c r="M161" s="202">
        <f t="shared" si="23"/>
        <v>6557.3200000000006</v>
      </c>
      <c r="N161" s="202">
        <f t="shared" si="24"/>
        <v>6557.3200000000006</v>
      </c>
      <c r="O161" s="8">
        <v>0</v>
      </c>
      <c r="P161" s="341" t="s">
        <v>177</v>
      </c>
      <c r="Q161" s="329">
        <f t="shared" si="25"/>
        <v>0</v>
      </c>
      <c r="R161" s="329">
        <f t="shared" si="26"/>
        <v>6557.3200000000006</v>
      </c>
      <c r="S161" s="329">
        <f t="shared" si="27"/>
        <v>6557.3200000000006</v>
      </c>
      <c r="T161" s="8">
        <f t="shared" si="28"/>
        <v>0</v>
      </c>
      <c r="U161" s="199">
        <f>VLOOKUP(A161,'PUR-PARTY MASTER'!$B$6:$J$250,7,FALSE)</f>
        <v>2</v>
      </c>
      <c r="V161" s="199" t="str">
        <f>VLOOKUP(A161,'PUR-PARTY MASTER'!$B$6:$J$250,8,FALSE)</f>
        <v>Local Pur</v>
      </c>
      <c r="W161" s="199" t="s">
        <v>897</v>
      </c>
      <c r="X161" s="404">
        <v>87141900</v>
      </c>
      <c r="Y161" s="201" t="str">
        <f>VLOOKUP(X161,'PUR-HSN MASTER'!$A$6:$D$247,2,FALSE)</f>
        <v>Parts &amp; Accessories Of Motor Vehicles Other</v>
      </c>
      <c r="Z161" s="201" t="str">
        <f>VLOOKUP(X161,'PUR-HSN MASTER'!$A$6:$D$247,3,FALSE)</f>
        <v>KLR-KILOLITRE</v>
      </c>
      <c r="AA161" s="334" t="str">
        <f>VLOOKUP(X161,'PUR-HSN MASTER'!$A$6:$D$247,4,FALSE)</f>
        <v>Goods</v>
      </c>
      <c r="AB161" s="401">
        <v>1100</v>
      </c>
    </row>
    <row r="162" spans="1:28" ht="14.4" x14ac:dyDescent="0.3">
      <c r="A162" s="128" t="s">
        <v>335</v>
      </c>
      <c r="B162" s="199" t="str">
        <f>VLOOKUP(A162,'PUR-PARTY MASTER'!$B$6:$J$250,2,FALSE)</f>
        <v>Atharva Polymers Pvt Ltd,</v>
      </c>
      <c r="C162" s="403" t="s">
        <v>1410</v>
      </c>
      <c r="D162" s="398">
        <v>43147</v>
      </c>
      <c r="E162" s="329">
        <f t="shared" si="21"/>
        <v>43601.919999999998</v>
      </c>
      <c r="F162" s="199" t="str">
        <f>VLOOKUP(A162,'PUR-PARTY MASTER'!$B$6:$J$250,3,FALSE)</f>
        <v>27-Maharashatra</v>
      </c>
      <c r="G162" s="199" t="str">
        <f>VLOOKUP(A162,'PUR-PARTY MASTER'!$B$6:$J$250,4,FALSE)</f>
        <v>N</v>
      </c>
      <c r="H162" s="199" t="str">
        <f>VLOOKUP(A162,'PUR-PARTY MASTER'!$B$6:$J$250,5,FALSE)</f>
        <v>Regular</v>
      </c>
      <c r="I162" s="199">
        <f>VLOOKUP(A162,'PUR-PARTY MASTER'!$B$6:$J$250,6,FALSE)</f>
        <v>0</v>
      </c>
      <c r="J162" s="201">
        <v>28</v>
      </c>
      <c r="K162" s="400">
        <f>33980+84</f>
        <v>34064</v>
      </c>
      <c r="L162" s="202">
        <f t="shared" si="22"/>
        <v>0</v>
      </c>
      <c r="M162" s="202">
        <f t="shared" si="23"/>
        <v>4768.96</v>
      </c>
      <c r="N162" s="202">
        <f t="shared" si="24"/>
        <v>4768.96</v>
      </c>
      <c r="O162" s="8">
        <v>0</v>
      </c>
      <c r="P162" s="341" t="s">
        <v>177</v>
      </c>
      <c r="Q162" s="329">
        <f t="shared" si="25"/>
        <v>0</v>
      </c>
      <c r="R162" s="329">
        <f t="shared" si="26"/>
        <v>4768.96</v>
      </c>
      <c r="S162" s="329">
        <f t="shared" si="27"/>
        <v>4768.96</v>
      </c>
      <c r="T162" s="8">
        <f t="shared" si="28"/>
        <v>0</v>
      </c>
      <c r="U162" s="199">
        <f>VLOOKUP(A162,'PUR-PARTY MASTER'!$B$6:$J$250,7,FALSE)</f>
        <v>2</v>
      </c>
      <c r="V162" s="199" t="str">
        <f>VLOOKUP(A162,'PUR-PARTY MASTER'!$B$6:$J$250,8,FALSE)</f>
        <v>Local Pur</v>
      </c>
      <c r="W162" s="199" t="s">
        <v>897</v>
      </c>
      <c r="X162" s="404">
        <v>87141900</v>
      </c>
      <c r="Y162" s="201" t="str">
        <f>VLOOKUP(X162,'PUR-HSN MASTER'!$A$6:$D$247,2,FALSE)</f>
        <v>Parts &amp; Accessories Of Motor Vehicles Other</v>
      </c>
      <c r="Z162" s="201" t="str">
        <f>VLOOKUP(X162,'PUR-HSN MASTER'!$A$6:$D$247,3,FALSE)</f>
        <v>KLR-KILOLITRE</v>
      </c>
      <c r="AA162" s="334" t="str">
        <f>VLOOKUP(X162,'PUR-HSN MASTER'!$A$6:$D$247,4,FALSE)</f>
        <v>Goods</v>
      </c>
      <c r="AB162" s="401">
        <v>800</v>
      </c>
    </row>
    <row r="163" spans="1:28" ht="14.4" x14ac:dyDescent="0.3">
      <c r="A163" s="128" t="s">
        <v>351</v>
      </c>
      <c r="B163" s="199" t="str">
        <f>VLOOKUP(A163,'PUR-PARTY MASTER'!$B$6:$J$250,2,FALSE)</f>
        <v>Premier Seals (India) Pvt Ltd</v>
      </c>
      <c r="C163" s="403" t="s">
        <v>1411</v>
      </c>
      <c r="D163" s="398">
        <v>43147</v>
      </c>
      <c r="E163" s="329">
        <f t="shared" si="21"/>
        <v>14843.699199999999</v>
      </c>
      <c r="F163" s="199" t="str">
        <f>VLOOKUP(A163,'PUR-PARTY MASTER'!$B$6:$J$250,3,FALSE)</f>
        <v>27-Maharashatra</v>
      </c>
      <c r="G163" s="199" t="str">
        <f>VLOOKUP(A163,'PUR-PARTY MASTER'!$B$6:$J$250,4,FALSE)</f>
        <v>N</v>
      </c>
      <c r="H163" s="199" t="str">
        <f>VLOOKUP(A163,'PUR-PARTY MASTER'!$B$6:$J$250,5,FALSE)</f>
        <v>Regular</v>
      </c>
      <c r="I163" s="199">
        <f>VLOOKUP(A163,'PUR-PARTY MASTER'!$B$6:$J$250,6,FALSE)</f>
        <v>0</v>
      </c>
      <c r="J163" s="201">
        <v>28</v>
      </c>
      <c r="K163" s="400">
        <v>11596.64</v>
      </c>
      <c r="L163" s="202">
        <f t="shared" si="22"/>
        <v>0</v>
      </c>
      <c r="M163" s="202">
        <f t="shared" si="23"/>
        <v>1623.5296000000001</v>
      </c>
      <c r="N163" s="202">
        <f t="shared" si="24"/>
        <v>1623.5296000000001</v>
      </c>
      <c r="O163" s="8">
        <v>0</v>
      </c>
      <c r="P163" s="341" t="s">
        <v>177</v>
      </c>
      <c r="Q163" s="329">
        <f t="shared" si="25"/>
        <v>0</v>
      </c>
      <c r="R163" s="329">
        <f t="shared" si="26"/>
        <v>1623.5296000000001</v>
      </c>
      <c r="S163" s="329">
        <f t="shared" si="27"/>
        <v>1623.5296000000001</v>
      </c>
      <c r="T163" s="8">
        <f t="shared" si="28"/>
        <v>0</v>
      </c>
      <c r="U163" s="199">
        <f>VLOOKUP(A163,'PUR-PARTY MASTER'!$B$6:$J$250,7,FALSE)</f>
        <v>2</v>
      </c>
      <c r="V163" s="199" t="str">
        <f>VLOOKUP(A163,'PUR-PARTY MASTER'!$B$6:$J$250,8,FALSE)</f>
        <v>Local Pur</v>
      </c>
      <c r="W163" s="199" t="s">
        <v>897</v>
      </c>
      <c r="X163" s="404">
        <v>87089900</v>
      </c>
      <c r="Y163" s="201" t="str">
        <f>VLOOKUP(X163,'PUR-HSN MASTER'!$A$6:$D$247,2,FALSE)</f>
        <v>Parts &amp; Accessories Of Motor Vehicles Other</v>
      </c>
      <c r="Z163" s="201" t="str">
        <f>VLOOKUP(X163,'PUR-HSN MASTER'!$A$6:$D$247,3,FALSE)</f>
        <v>NOS-NUMBERS</v>
      </c>
      <c r="AA163" s="334" t="str">
        <f>VLOOKUP(X163,'PUR-HSN MASTER'!$A$6:$D$247,4,FALSE)</f>
        <v>Goods</v>
      </c>
      <c r="AB163" s="401">
        <v>484</v>
      </c>
    </row>
    <row r="164" spans="1:28" ht="14.4" x14ac:dyDescent="0.3">
      <c r="A164" s="128" t="s">
        <v>878</v>
      </c>
      <c r="B164" s="199" t="str">
        <f>VLOOKUP(A164,'PUR-PARTY MASTER'!$B$6:$J$250,2,FALSE)</f>
        <v>Swan Electricals</v>
      </c>
      <c r="C164" s="403">
        <v>285</v>
      </c>
      <c r="D164" s="398">
        <v>43146</v>
      </c>
      <c r="E164" s="329">
        <f t="shared" si="21"/>
        <v>1274.4000000000001</v>
      </c>
      <c r="F164" s="199" t="str">
        <f>VLOOKUP(A164,'PUR-PARTY MASTER'!$B$6:$J$250,3,FALSE)</f>
        <v>27-Maharashatra</v>
      </c>
      <c r="G164" s="199" t="str">
        <f>VLOOKUP(A164,'PUR-PARTY MASTER'!$B$6:$J$250,4,FALSE)</f>
        <v>N</v>
      </c>
      <c r="H164" s="199" t="str">
        <f>VLOOKUP(A164,'PUR-PARTY MASTER'!$B$6:$J$250,5,FALSE)</f>
        <v>Regular</v>
      </c>
      <c r="I164" s="199">
        <f>VLOOKUP(A164,'PUR-PARTY MASTER'!$B$6:$J$250,6,FALSE)</f>
        <v>0</v>
      </c>
      <c r="J164" s="201">
        <v>18</v>
      </c>
      <c r="K164" s="400">
        <v>1080</v>
      </c>
      <c r="L164" s="202">
        <f t="shared" si="22"/>
        <v>0</v>
      </c>
      <c r="M164" s="202">
        <f t="shared" si="23"/>
        <v>97.2</v>
      </c>
      <c r="N164" s="202">
        <f t="shared" si="24"/>
        <v>97.2</v>
      </c>
      <c r="O164" s="8">
        <v>0</v>
      </c>
      <c r="P164" s="341" t="s">
        <v>177</v>
      </c>
      <c r="Q164" s="329">
        <f t="shared" si="25"/>
        <v>0</v>
      </c>
      <c r="R164" s="329">
        <f t="shared" si="26"/>
        <v>97.2</v>
      </c>
      <c r="S164" s="329">
        <f t="shared" si="27"/>
        <v>97.2</v>
      </c>
      <c r="T164" s="8">
        <f t="shared" si="28"/>
        <v>0</v>
      </c>
      <c r="U164" s="199">
        <f>VLOOKUP(A164,'PUR-PARTY MASTER'!$B$6:$J$250,7,FALSE)</f>
        <v>2</v>
      </c>
      <c r="V164" s="199" t="str">
        <f>VLOOKUP(A164,'PUR-PARTY MASTER'!$B$6:$J$250,8,FALSE)</f>
        <v>Local Pur</v>
      </c>
      <c r="W164" s="199" t="s">
        <v>894</v>
      </c>
      <c r="X164" s="404">
        <v>8536</v>
      </c>
      <c r="Y164" s="201" t="str">
        <f>VLOOKUP(X164,'PUR-HSN MASTER'!$A$6:$D$247,2,FALSE)</f>
        <v>Solder gun</v>
      </c>
      <c r="Z164" s="201" t="str">
        <f>VLOOKUP(X164,'PUR-HSN MASTER'!$A$6:$D$247,3,FALSE)</f>
        <v>NOS-NUMBERS</v>
      </c>
      <c r="AA164" s="334" t="str">
        <f>VLOOKUP(X164,'PUR-HSN MASTER'!$A$6:$D$247,4,FALSE)</f>
        <v>Goods</v>
      </c>
      <c r="AB164" s="401">
        <v>31</v>
      </c>
    </row>
    <row r="165" spans="1:28" ht="14.4" x14ac:dyDescent="0.3">
      <c r="A165" s="128" t="s">
        <v>878</v>
      </c>
      <c r="B165" s="199" t="str">
        <f>VLOOKUP(A165,'PUR-PARTY MASTER'!$B$6:$J$250,2,FALSE)</f>
        <v>Swan Electricals</v>
      </c>
      <c r="C165" s="403">
        <v>285</v>
      </c>
      <c r="D165" s="398">
        <v>43146</v>
      </c>
      <c r="E165" s="329">
        <f t="shared" si="21"/>
        <v>541.03</v>
      </c>
      <c r="F165" s="199" t="str">
        <f>VLOOKUP(A165,'PUR-PARTY MASTER'!$B$6:$J$250,3,FALSE)</f>
        <v>27-Maharashatra</v>
      </c>
      <c r="G165" s="199" t="str">
        <f>VLOOKUP(A165,'PUR-PARTY MASTER'!$B$6:$J$250,4,FALSE)</f>
        <v>N</v>
      </c>
      <c r="H165" s="199" t="str">
        <f>VLOOKUP(A165,'PUR-PARTY MASTER'!$B$6:$J$250,5,FALSE)</f>
        <v>Regular</v>
      </c>
      <c r="I165" s="199">
        <f>VLOOKUP(A165,'PUR-PARTY MASTER'!$B$6:$J$250,6,FALSE)</f>
        <v>0</v>
      </c>
      <c r="J165" s="201">
        <v>18</v>
      </c>
      <c r="K165" s="400">
        <v>458.5</v>
      </c>
      <c r="L165" s="202">
        <f t="shared" si="22"/>
        <v>0</v>
      </c>
      <c r="M165" s="202">
        <f t="shared" si="23"/>
        <v>41.265000000000001</v>
      </c>
      <c r="N165" s="202">
        <f t="shared" si="24"/>
        <v>41.265000000000001</v>
      </c>
      <c r="O165" s="8">
        <v>0</v>
      </c>
      <c r="P165" s="341" t="s">
        <v>177</v>
      </c>
      <c r="Q165" s="329">
        <f t="shared" si="25"/>
        <v>0</v>
      </c>
      <c r="R165" s="329">
        <f t="shared" si="26"/>
        <v>41.265000000000001</v>
      </c>
      <c r="S165" s="329">
        <f t="shared" si="27"/>
        <v>41.265000000000001</v>
      </c>
      <c r="T165" s="8">
        <f t="shared" si="28"/>
        <v>0</v>
      </c>
      <c r="U165" s="199">
        <f>VLOOKUP(A165,'PUR-PARTY MASTER'!$B$6:$J$250,7,FALSE)</f>
        <v>2</v>
      </c>
      <c r="V165" s="199" t="str">
        <f>VLOOKUP(A165,'PUR-PARTY MASTER'!$B$6:$J$250,8,FALSE)</f>
        <v>Local Pur</v>
      </c>
      <c r="W165" s="199" t="s">
        <v>894</v>
      </c>
      <c r="X165" s="404" t="s">
        <v>888</v>
      </c>
      <c r="Y165" s="201" t="str">
        <f>VLOOKUP(X165,'PUR-HSN MASTER'!$A$6:$D$247,2,FALSE)</f>
        <v>Cable</v>
      </c>
      <c r="Z165" s="201" t="str">
        <f>VLOOKUP(X165,'PUR-HSN MASTER'!$A$6:$D$247,3,FALSE)</f>
        <v>NOS-NUMBERS</v>
      </c>
      <c r="AA165" s="334" t="str">
        <f>VLOOKUP(X165,'PUR-HSN MASTER'!$A$6:$D$247,4,FALSE)</f>
        <v>Goods</v>
      </c>
      <c r="AB165" s="401">
        <v>100</v>
      </c>
    </row>
    <row r="166" spans="1:28" ht="14.4" x14ac:dyDescent="0.3">
      <c r="A166" s="128" t="s">
        <v>341</v>
      </c>
      <c r="B166" s="199" t="str">
        <f>VLOOKUP(A166,'PUR-PARTY MASTER'!$B$6:$J$250,2,FALSE)</f>
        <v>Ppg Asian Paints Pvt Ltd,</v>
      </c>
      <c r="C166" s="403" t="s">
        <v>1412</v>
      </c>
      <c r="D166" s="398">
        <v>43148</v>
      </c>
      <c r="E166" s="329">
        <f t="shared" si="21"/>
        <v>87040</v>
      </c>
      <c r="F166" s="199" t="str">
        <f>VLOOKUP(A166,'PUR-PARTY MASTER'!$B$6:$J$250,3,FALSE)</f>
        <v>27-Maharashatra</v>
      </c>
      <c r="G166" s="199" t="str">
        <f>VLOOKUP(A166,'PUR-PARTY MASTER'!$B$6:$J$250,4,FALSE)</f>
        <v>N</v>
      </c>
      <c r="H166" s="199" t="str">
        <f>VLOOKUP(A166,'PUR-PARTY MASTER'!$B$6:$J$250,5,FALSE)</f>
        <v>Regular</v>
      </c>
      <c r="I166" s="199">
        <f>VLOOKUP(A166,'PUR-PARTY MASTER'!$B$6:$J$250,6,FALSE)</f>
        <v>0</v>
      </c>
      <c r="J166" s="201">
        <v>28</v>
      </c>
      <c r="K166" s="400">
        <v>68000</v>
      </c>
      <c r="L166" s="202">
        <f t="shared" si="22"/>
        <v>0</v>
      </c>
      <c r="M166" s="202">
        <f t="shared" si="23"/>
        <v>9520</v>
      </c>
      <c r="N166" s="202">
        <f t="shared" si="24"/>
        <v>9520</v>
      </c>
      <c r="O166" s="8">
        <v>0</v>
      </c>
      <c r="P166" s="341" t="s">
        <v>177</v>
      </c>
      <c r="Q166" s="329">
        <f t="shared" si="25"/>
        <v>0</v>
      </c>
      <c r="R166" s="329">
        <f t="shared" si="26"/>
        <v>9520</v>
      </c>
      <c r="S166" s="329">
        <f t="shared" si="27"/>
        <v>9520</v>
      </c>
      <c r="T166" s="8">
        <f t="shared" si="28"/>
        <v>0</v>
      </c>
      <c r="U166" s="199">
        <f>VLOOKUP(A166,'PUR-PARTY MASTER'!$B$6:$J$250,7,FALSE)</f>
        <v>2</v>
      </c>
      <c r="V166" s="199" t="str">
        <f>VLOOKUP(A166,'PUR-PARTY MASTER'!$B$6:$J$250,8,FALSE)</f>
        <v>Local Pur</v>
      </c>
      <c r="W166" s="199" t="s">
        <v>897</v>
      </c>
      <c r="X166" s="404">
        <v>3208</v>
      </c>
      <c r="Y166" s="201" t="str">
        <f>VLOOKUP(X166,'PUR-HSN MASTER'!$A$6:$D$247,2,FALSE)</f>
        <v>Misc Chemical Products Thinner</v>
      </c>
      <c r="Z166" s="201" t="str">
        <f>VLOOKUP(X166,'PUR-HSN MASTER'!$A$6:$D$247,3,FALSE)</f>
        <v>NOS-NUMBERS</v>
      </c>
      <c r="AA166" s="334" t="str">
        <f>VLOOKUP(X166,'PUR-HSN MASTER'!$A$6:$D$247,4,FALSE)</f>
        <v>Goods</v>
      </c>
      <c r="AB166" s="401">
        <v>200</v>
      </c>
    </row>
    <row r="167" spans="1:28" ht="14.4" x14ac:dyDescent="0.3">
      <c r="A167" s="128" t="s">
        <v>341</v>
      </c>
      <c r="B167" s="199" t="str">
        <f>VLOOKUP(A167,'PUR-PARTY MASTER'!$B$6:$J$250,2,FALSE)</f>
        <v>Ppg Asian Paints Pvt Ltd,</v>
      </c>
      <c r="C167" s="403" t="s">
        <v>1413</v>
      </c>
      <c r="D167" s="398">
        <v>43148</v>
      </c>
      <c r="E167" s="329">
        <f t="shared" si="21"/>
        <v>43520</v>
      </c>
      <c r="F167" s="199" t="str">
        <f>VLOOKUP(A167,'PUR-PARTY MASTER'!$B$6:$J$250,3,FALSE)</f>
        <v>27-Maharashatra</v>
      </c>
      <c r="G167" s="199" t="str">
        <f>VLOOKUP(A167,'PUR-PARTY MASTER'!$B$6:$J$250,4,FALSE)</f>
        <v>N</v>
      </c>
      <c r="H167" s="199" t="str">
        <f>VLOOKUP(A167,'PUR-PARTY MASTER'!$B$6:$J$250,5,FALSE)</f>
        <v>Regular</v>
      </c>
      <c r="I167" s="199">
        <f>VLOOKUP(A167,'PUR-PARTY MASTER'!$B$6:$J$250,6,FALSE)</f>
        <v>0</v>
      </c>
      <c r="J167" s="201">
        <v>28</v>
      </c>
      <c r="K167" s="400">
        <v>34000</v>
      </c>
      <c r="L167" s="202">
        <f t="shared" si="22"/>
        <v>0</v>
      </c>
      <c r="M167" s="202">
        <f t="shared" si="23"/>
        <v>4760</v>
      </c>
      <c r="N167" s="202">
        <f t="shared" si="24"/>
        <v>4760</v>
      </c>
      <c r="O167" s="8">
        <v>0</v>
      </c>
      <c r="P167" s="341" t="s">
        <v>177</v>
      </c>
      <c r="Q167" s="329">
        <f t="shared" si="25"/>
        <v>0</v>
      </c>
      <c r="R167" s="329">
        <f t="shared" si="26"/>
        <v>4760</v>
      </c>
      <c r="S167" s="329">
        <f t="shared" si="27"/>
        <v>4760</v>
      </c>
      <c r="T167" s="8">
        <f t="shared" si="28"/>
        <v>0</v>
      </c>
      <c r="U167" s="199">
        <f>VLOOKUP(A167,'PUR-PARTY MASTER'!$B$6:$J$250,7,FALSE)</f>
        <v>2</v>
      </c>
      <c r="V167" s="199" t="str">
        <f>VLOOKUP(A167,'PUR-PARTY MASTER'!$B$6:$J$250,8,FALSE)</f>
        <v>Local Pur</v>
      </c>
      <c r="W167" s="199" t="s">
        <v>897</v>
      </c>
      <c r="X167" s="404">
        <v>3208</v>
      </c>
      <c r="Y167" s="201" t="str">
        <f>VLOOKUP(X167,'PUR-HSN MASTER'!$A$6:$D$247,2,FALSE)</f>
        <v>Misc Chemical Products Thinner</v>
      </c>
      <c r="Z167" s="201" t="str">
        <f>VLOOKUP(X167,'PUR-HSN MASTER'!$A$6:$D$247,3,FALSE)</f>
        <v>NOS-NUMBERS</v>
      </c>
      <c r="AA167" s="334" t="str">
        <f>VLOOKUP(X167,'PUR-HSN MASTER'!$A$6:$D$247,4,FALSE)</f>
        <v>Goods</v>
      </c>
      <c r="AB167" s="401">
        <v>100</v>
      </c>
    </row>
    <row r="168" spans="1:28" ht="14.4" x14ac:dyDescent="0.3">
      <c r="A168" s="128" t="s">
        <v>339</v>
      </c>
      <c r="B168" s="199" t="str">
        <f>VLOOKUP(A168,'PUR-PARTY MASTER'!$B$6:$J$250,2,FALSE)</f>
        <v>Axalta Coating Systems India Pvt.Ltd,</v>
      </c>
      <c r="C168" s="403">
        <v>7887682161</v>
      </c>
      <c r="D168" s="398">
        <v>43148</v>
      </c>
      <c r="E168" s="329">
        <f t="shared" si="21"/>
        <v>9204</v>
      </c>
      <c r="F168" s="199" t="str">
        <f>VLOOKUP(A168,'PUR-PARTY MASTER'!$B$6:$J$250,3,FALSE)</f>
        <v>27-Maharashatra</v>
      </c>
      <c r="G168" s="199" t="str">
        <f>VLOOKUP(A168,'PUR-PARTY MASTER'!$B$6:$J$250,4,FALSE)</f>
        <v>N</v>
      </c>
      <c r="H168" s="199" t="str">
        <f>VLOOKUP(A168,'PUR-PARTY MASTER'!$B$6:$J$250,5,FALSE)</f>
        <v>Regular</v>
      </c>
      <c r="I168" s="199">
        <f>VLOOKUP(A168,'PUR-PARTY MASTER'!$B$6:$J$250,6,FALSE)</f>
        <v>0</v>
      </c>
      <c r="J168" s="201">
        <v>18</v>
      </c>
      <c r="K168" s="400">
        <v>7800</v>
      </c>
      <c r="L168" s="202">
        <f t="shared" si="22"/>
        <v>0</v>
      </c>
      <c r="M168" s="202">
        <f t="shared" si="23"/>
        <v>702</v>
      </c>
      <c r="N168" s="202">
        <f t="shared" si="24"/>
        <v>702</v>
      </c>
      <c r="O168" s="8">
        <v>0</v>
      </c>
      <c r="P168" s="341" t="s">
        <v>177</v>
      </c>
      <c r="Q168" s="329">
        <f t="shared" si="25"/>
        <v>0</v>
      </c>
      <c r="R168" s="329">
        <f t="shared" si="26"/>
        <v>702</v>
      </c>
      <c r="S168" s="329">
        <f t="shared" si="27"/>
        <v>702</v>
      </c>
      <c r="T168" s="8">
        <f t="shared" si="28"/>
        <v>0</v>
      </c>
      <c r="U168" s="199">
        <f>VLOOKUP(A168,'PUR-PARTY MASTER'!$B$6:$J$250,7,FALSE)</f>
        <v>2</v>
      </c>
      <c r="V168" s="199" t="str">
        <f>VLOOKUP(A168,'PUR-PARTY MASTER'!$B$6:$J$250,8,FALSE)</f>
        <v>Local Pur</v>
      </c>
      <c r="W168" s="199" t="s">
        <v>894</v>
      </c>
      <c r="X168" s="404">
        <v>38249990</v>
      </c>
      <c r="Y168" s="201" t="str">
        <f>VLOOKUP(X168,'PUR-HSN MASTER'!$A$6:$D$247,2,FALSE)</f>
        <v>Others ( Paint &amp; Varnishes)</v>
      </c>
      <c r="Z168" s="201" t="str">
        <f>VLOOKUP(X168,'PUR-HSN MASTER'!$A$6:$D$247,3,FALSE)</f>
        <v>NOS-NUMBERS</v>
      </c>
      <c r="AA168" s="334" t="str">
        <f>VLOOKUP(X168,'PUR-HSN MASTER'!$A$6:$D$247,4,FALSE)</f>
        <v>Goods</v>
      </c>
      <c r="AB168" s="401">
        <v>12</v>
      </c>
    </row>
    <row r="169" spans="1:28" ht="14.4" x14ac:dyDescent="0.3">
      <c r="A169" s="128" t="s">
        <v>339</v>
      </c>
      <c r="B169" s="199" t="str">
        <f>VLOOKUP(A169,'PUR-PARTY MASTER'!$B$6:$J$250,2,FALSE)</f>
        <v>Axalta Coating Systems India Pvt.Ltd,</v>
      </c>
      <c r="C169" s="403">
        <v>7887682161</v>
      </c>
      <c r="D169" s="398">
        <v>43148</v>
      </c>
      <c r="E169" s="329">
        <f t="shared" si="21"/>
        <v>4885.2000000000007</v>
      </c>
      <c r="F169" s="199" t="str">
        <f>VLOOKUP(A169,'PUR-PARTY MASTER'!$B$6:$J$250,3,FALSE)</f>
        <v>27-Maharashatra</v>
      </c>
      <c r="G169" s="199" t="str">
        <f>VLOOKUP(A169,'PUR-PARTY MASTER'!$B$6:$J$250,4,FALSE)</f>
        <v>N</v>
      </c>
      <c r="H169" s="199" t="str">
        <f>VLOOKUP(A169,'PUR-PARTY MASTER'!$B$6:$J$250,5,FALSE)</f>
        <v>Regular</v>
      </c>
      <c r="I169" s="199">
        <f>VLOOKUP(A169,'PUR-PARTY MASTER'!$B$6:$J$250,6,FALSE)</f>
        <v>0</v>
      </c>
      <c r="J169" s="201">
        <v>18</v>
      </c>
      <c r="K169" s="400">
        <v>4140</v>
      </c>
      <c r="L169" s="202">
        <f t="shared" si="22"/>
        <v>0</v>
      </c>
      <c r="M169" s="202">
        <f t="shared" si="23"/>
        <v>372.59999999999997</v>
      </c>
      <c r="N169" s="202">
        <f t="shared" si="24"/>
        <v>372.59999999999997</v>
      </c>
      <c r="O169" s="8">
        <v>0</v>
      </c>
      <c r="P169" s="341" t="s">
        <v>177</v>
      </c>
      <c r="Q169" s="329">
        <f t="shared" si="25"/>
        <v>0</v>
      </c>
      <c r="R169" s="329">
        <f t="shared" si="26"/>
        <v>372.59999999999997</v>
      </c>
      <c r="S169" s="329">
        <f t="shared" si="27"/>
        <v>372.59999999999997</v>
      </c>
      <c r="T169" s="8">
        <f t="shared" si="28"/>
        <v>0</v>
      </c>
      <c r="U169" s="199">
        <f>VLOOKUP(A169,'PUR-PARTY MASTER'!$B$6:$J$250,7,FALSE)</f>
        <v>2</v>
      </c>
      <c r="V169" s="199" t="str">
        <f>VLOOKUP(A169,'PUR-PARTY MASTER'!$B$6:$J$250,8,FALSE)</f>
        <v>Local Pur</v>
      </c>
      <c r="W169" s="199" t="s">
        <v>894</v>
      </c>
      <c r="X169" s="404">
        <v>39119090</v>
      </c>
      <c r="Y169" s="201" t="str">
        <f>VLOOKUP(X169,'PUR-HSN MASTER'!$A$6:$D$247,2,FALSE)</f>
        <v>Others ( Paint &amp; Varnishes)</v>
      </c>
      <c r="Z169" s="201" t="str">
        <f>VLOOKUP(X169,'PUR-HSN MASTER'!$A$6:$D$247,3,FALSE)</f>
        <v>NOS-NUMBERS</v>
      </c>
      <c r="AA169" s="334" t="str">
        <f>VLOOKUP(X169,'PUR-HSN MASTER'!$A$6:$D$247,4,FALSE)</f>
        <v>Goods</v>
      </c>
      <c r="AB169" s="401">
        <v>6</v>
      </c>
    </row>
    <row r="170" spans="1:28" ht="14.4" x14ac:dyDescent="0.3">
      <c r="A170" s="128" t="s">
        <v>339</v>
      </c>
      <c r="B170" s="199" t="str">
        <f>VLOOKUP(A170,'PUR-PARTY MASTER'!$B$6:$J$250,2,FALSE)</f>
        <v>Axalta Coating Systems India Pvt.Ltd,</v>
      </c>
      <c r="C170" s="403">
        <v>7887682161</v>
      </c>
      <c r="D170" s="398">
        <v>43148</v>
      </c>
      <c r="E170" s="329">
        <f t="shared" si="21"/>
        <v>8968</v>
      </c>
      <c r="F170" s="199" t="str">
        <f>VLOOKUP(A170,'PUR-PARTY MASTER'!$B$6:$J$250,3,FALSE)</f>
        <v>27-Maharashatra</v>
      </c>
      <c r="G170" s="199" t="str">
        <f>VLOOKUP(A170,'PUR-PARTY MASTER'!$B$6:$J$250,4,FALSE)</f>
        <v>N</v>
      </c>
      <c r="H170" s="199" t="str">
        <f>VLOOKUP(A170,'PUR-PARTY MASTER'!$B$6:$J$250,5,FALSE)</f>
        <v>Regular</v>
      </c>
      <c r="I170" s="199">
        <f>VLOOKUP(A170,'PUR-PARTY MASTER'!$B$6:$J$250,6,FALSE)</f>
        <v>0</v>
      </c>
      <c r="J170" s="201">
        <v>18</v>
      </c>
      <c r="K170" s="400">
        <v>7600</v>
      </c>
      <c r="L170" s="202">
        <f t="shared" si="22"/>
        <v>0</v>
      </c>
      <c r="M170" s="202">
        <f t="shared" si="23"/>
        <v>684</v>
      </c>
      <c r="N170" s="202">
        <f t="shared" si="24"/>
        <v>684</v>
      </c>
      <c r="O170" s="8">
        <v>0</v>
      </c>
      <c r="P170" s="341" t="s">
        <v>177</v>
      </c>
      <c r="Q170" s="329">
        <f t="shared" si="25"/>
        <v>0</v>
      </c>
      <c r="R170" s="329">
        <f t="shared" si="26"/>
        <v>684</v>
      </c>
      <c r="S170" s="329">
        <f t="shared" si="27"/>
        <v>684</v>
      </c>
      <c r="T170" s="8">
        <f t="shared" si="28"/>
        <v>0</v>
      </c>
      <c r="U170" s="199">
        <f>VLOOKUP(A170,'PUR-PARTY MASTER'!$B$6:$J$250,7,FALSE)</f>
        <v>2</v>
      </c>
      <c r="V170" s="199" t="str">
        <f>VLOOKUP(A170,'PUR-PARTY MASTER'!$B$6:$J$250,8,FALSE)</f>
        <v>Local Pur</v>
      </c>
      <c r="W170" s="199" t="s">
        <v>894</v>
      </c>
      <c r="X170" s="404">
        <v>38140010</v>
      </c>
      <c r="Y170" s="201" t="str">
        <f>VLOOKUP(X170,'PUR-HSN MASTER'!$A$6:$D$247,2,FALSE)</f>
        <v>Misc Chemical Products Thinner</v>
      </c>
      <c r="Z170" s="201" t="str">
        <f>VLOOKUP(X170,'PUR-HSN MASTER'!$A$6:$D$247,3,FALSE)</f>
        <v>NOS-NUMBERS</v>
      </c>
      <c r="AA170" s="334" t="str">
        <f>VLOOKUP(X170,'PUR-HSN MASTER'!$A$6:$D$247,4,FALSE)</f>
        <v>Goods</v>
      </c>
      <c r="AB170" s="401">
        <v>20</v>
      </c>
    </row>
    <row r="171" spans="1:28" ht="14.4" x14ac:dyDescent="0.3">
      <c r="A171" s="128" t="s">
        <v>339</v>
      </c>
      <c r="B171" s="199" t="str">
        <f>VLOOKUP(A171,'PUR-PARTY MASTER'!$B$6:$J$250,2,FALSE)</f>
        <v>Axalta Coating Systems India Pvt.Ltd,</v>
      </c>
      <c r="C171" s="403">
        <v>7887682162</v>
      </c>
      <c r="D171" s="398">
        <v>43148</v>
      </c>
      <c r="E171" s="329">
        <f t="shared" si="21"/>
        <v>16076.8</v>
      </c>
      <c r="F171" s="199" t="str">
        <f>VLOOKUP(A171,'PUR-PARTY MASTER'!$B$6:$J$250,3,FALSE)</f>
        <v>27-Maharashatra</v>
      </c>
      <c r="G171" s="199" t="str">
        <f>VLOOKUP(A171,'PUR-PARTY MASTER'!$B$6:$J$250,4,FALSE)</f>
        <v>N</v>
      </c>
      <c r="H171" s="199" t="str">
        <f>VLOOKUP(A171,'PUR-PARTY MASTER'!$B$6:$J$250,5,FALSE)</f>
        <v>Regular</v>
      </c>
      <c r="I171" s="199">
        <f>VLOOKUP(A171,'PUR-PARTY MASTER'!$B$6:$J$250,6,FALSE)</f>
        <v>0</v>
      </c>
      <c r="J171" s="201">
        <v>28</v>
      </c>
      <c r="K171" s="400">
        <v>12560</v>
      </c>
      <c r="L171" s="202">
        <f t="shared" si="22"/>
        <v>0</v>
      </c>
      <c r="M171" s="202">
        <f t="shared" si="23"/>
        <v>1758.4</v>
      </c>
      <c r="N171" s="202">
        <f t="shared" si="24"/>
        <v>1758.4</v>
      </c>
      <c r="O171" s="8">
        <v>0</v>
      </c>
      <c r="P171" s="341" t="s">
        <v>177</v>
      </c>
      <c r="Q171" s="329">
        <f t="shared" si="25"/>
        <v>0</v>
      </c>
      <c r="R171" s="329">
        <f t="shared" si="26"/>
        <v>1758.4</v>
      </c>
      <c r="S171" s="329">
        <f t="shared" si="27"/>
        <v>1758.4</v>
      </c>
      <c r="T171" s="8">
        <f t="shared" si="28"/>
        <v>0</v>
      </c>
      <c r="U171" s="199">
        <f>VLOOKUP(A171,'PUR-PARTY MASTER'!$B$6:$J$250,7,FALSE)</f>
        <v>2</v>
      </c>
      <c r="V171" s="199" t="str">
        <f>VLOOKUP(A171,'PUR-PARTY MASTER'!$B$6:$J$250,8,FALSE)</f>
        <v>Local Pur</v>
      </c>
      <c r="W171" s="199" t="s">
        <v>897</v>
      </c>
      <c r="X171" s="404">
        <v>32082090</v>
      </c>
      <c r="Y171" s="201" t="str">
        <f>VLOOKUP(X171,'PUR-HSN MASTER'!$A$6:$D$247,2,FALSE)</f>
        <v>Others ( Paint &amp; Varnishes)</v>
      </c>
      <c r="Z171" s="201" t="str">
        <f>VLOOKUP(X171,'PUR-HSN MASTER'!$A$6:$D$247,3,FALSE)</f>
        <v>KLR-KILOLITRE</v>
      </c>
      <c r="AA171" s="334" t="str">
        <f>VLOOKUP(X171,'PUR-HSN MASTER'!$A$6:$D$247,4,FALSE)</f>
        <v>Goods</v>
      </c>
      <c r="AB171" s="401">
        <v>20</v>
      </c>
    </row>
    <row r="172" spans="1:28" ht="14.4" x14ac:dyDescent="0.3">
      <c r="A172" s="128" t="s">
        <v>339</v>
      </c>
      <c r="B172" s="199" t="str">
        <f>VLOOKUP(A172,'PUR-PARTY MASTER'!$B$6:$J$250,2,FALSE)</f>
        <v>Axalta Coating Systems India Pvt.Ltd,</v>
      </c>
      <c r="C172" s="403">
        <v>7887682162</v>
      </c>
      <c r="D172" s="398">
        <v>43148</v>
      </c>
      <c r="E172" s="329">
        <f t="shared" si="21"/>
        <v>16844.8</v>
      </c>
      <c r="F172" s="199" t="str">
        <f>VLOOKUP(A172,'PUR-PARTY MASTER'!$B$6:$J$250,3,FALSE)</f>
        <v>27-Maharashatra</v>
      </c>
      <c r="G172" s="199" t="str">
        <f>VLOOKUP(A172,'PUR-PARTY MASTER'!$B$6:$J$250,4,FALSE)</f>
        <v>N</v>
      </c>
      <c r="H172" s="199" t="str">
        <f>VLOOKUP(A172,'PUR-PARTY MASTER'!$B$6:$J$250,5,FALSE)</f>
        <v>Regular</v>
      </c>
      <c r="I172" s="199">
        <f>VLOOKUP(A172,'PUR-PARTY MASTER'!$B$6:$J$250,6,FALSE)</f>
        <v>0</v>
      </c>
      <c r="J172" s="201">
        <v>28</v>
      </c>
      <c r="K172" s="400">
        <v>13160</v>
      </c>
      <c r="L172" s="202">
        <f t="shared" si="22"/>
        <v>0</v>
      </c>
      <c r="M172" s="202">
        <f t="shared" si="23"/>
        <v>1842.4</v>
      </c>
      <c r="N172" s="202">
        <f t="shared" si="24"/>
        <v>1842.4</v>
      </c>
      <c r="O172" s="8">
        <v>0</v>
      </c>
      <c r="P172" s="341" t="s">
        <v>177</v>
      </c>
      <c r="Q172" s="329">
        <f t="shared" si="25"/>
        <v>0</v>
      </c>
      <c r="R172" s="329">
        <f t="shared" si="26"/>
        <v>1842.4</v>
      </c>
      <c r="S172" s="329">
        <f t="shared" si="27"/>
        <v>1842.4</v>
      </c>
      <c r="T172" s="8">
        <f t="shared" si="28"/>
        <v>0</v>
      </c>
      <c r="U172" s="199">
        <f>VLOOKUP(A172,'PUR-PARTY MASTER'!$B$6:$J$250,7,FALSE)</f>
        <v>2</v>
      </c>
      <c r="V172" s="199" t="str">
        <f>VLOOKUP(A172,'PUR-PARTY MASTER'!$B$6:$J$250,8,FALSE)</f>
        <v>Local Pur</v>
      </c>
      <c r="W172" s="199" t="s">
        <v>897</v>
      </c>
      <c r="X172" s="404">
        <v>32081090</v>
      </c>
      <c r="Y172" s="201" t="str">
        <f>VLOOKUP(X172,'PUR-HSN MASTER'!$A$6:$D$247,2,FALSE)</f>
        <v>Others ( Paint &amp; Varnishes)</v>
      </c>
      <c r="Z172" s="201" t="str">
        <f>VLOOKUP(X172,'PUR-HSN MASTER'!$A$6:$D$247,3,FALSE)</f>
        <v>NOS-NUMBERS</v>
      </c>
      <c r="AA172" s="334" t="str">
        <f>VLOOKUP(X172,'PUR-HSN MASTER'!$A$6:$D$247,4,FALSE)</f>
        <v>Goods</v>
      </c>
      <c r="AB172" s="401">
        <v>20</v>
      </c>
    </row>
    <row r="173" spans="1:28" ht="14.4" x14ac:dyDescent="0.3">
      <c r="A173" s="128" t="s">
        <v>865</v>
      </c>
      <c r="B173" s="199" t="str">
        <f>VLOOKUP(A173,'PUR-PARTY MASTER'!$B$6:$J$250,2,FALSE)</f>
        <v>Kansai Nerolac Paints Ltd,</v>
      </c>
      <c r="C173" s="403" t="s">
        <v>1414</v>
      </c>
      <c r="D173" s="398">
        <v>43148</v>
      </c>
      <c r="E173" s="329">
        <f t="shared" si="21"/>
        <v>35716.096000000005</v>
      </c>
      <c r="F173" s="199" t="str">
        <f>VLOOKUP(A173,'PUR-PARTY MASTER'!$B$6:$J$250,3,FALSE)</f>
        <v>27-Maharashatra</v>
      </c>
      <c r="G173" s="199" t="str">
        <f>VLOOKUP(A173,'PUR-PARTY MASTER'!$B$6:$J$250,4,FALSE)</f>
        <v>N</v>
      </c>
      <c r="H173" s="199" t="str">
        <f>VLOOKUP(A173,'PUR-PARTY MASTER'!$B$6:$J$250,5,FALSE)</f>
        <v>Regular</v>
      </c>
      <c r="I173" s="199">
        <f>VLOOKUP(A173,'PUR-PARTY MASTER'!$B$6:$J$250,6,FALSE)</f>
        <v>0</v>
      </c>
      <c r="J173" s="201">
        <v>28</v>
      </c>
      <c r="K173" s="400">
        <v>27903.200000000001</v>
      </c>
      <c r="L173" s="202">
        <f t="shared" si="22"/>
        <v>0</v>
      </c>
      <c r="M173" s="202">
        <f t="shared" si="23"/>
        <v>3906.4480000000003</v>
      </c>
      <c r="N173" s="202">
        <f t="shared" si="24"/>
        <v>3906.4480000000003</v>
      </c>
      <c r="O173" s="8">
        <v>0</v>
      </c>
      <c r="P173" s="341" t="s">
        <v>177</v>
      </c>
      <c r="Q173" s="329">
        <f t="shared" si="25"/>
        <v>0</v>
      </c>
      <c r="R173" s="329">
        <f t="shared" si="26"/>
        <v>3906.4480000000003</v>
      </c>
      <c r="S173" s="329">
        <f t="shared" si="27"/>
        <v>3906.4480000000003</v>
      </c>
      <c r="T173" s="8">
        <f t="shared" si="28"/>
        <v>0</v>
      </c>
      <c r="U173" s="199">
        <f>VLOOKUP(A173,'PUR-PARTY MASTER'!$B$6:$J$250,7,FALSE)</f>
        <v>2</v>
      </c>
      <c r="V173" s="199" t="str">
        <f>VLOOKUP(A173,'PUR-PARTY MASTER'!$B$6:$J$250,8,FALSE)</f>
        <v>Local Pur</v>
      </c>
      <c r="W173" s="199" t="s">
        <v>897</v>
      </c>
      <c r="X173" s="404">
        <v>32082090</v>
      </c>
      <c r="Y173" s="201" t="str">
        <f>VLOOKUP(X173,'PUR-HSN MASTER'!$A$6:$D$247,2,FALSE)</f>
        <v>Others ( Paint &amp; Varnishes)</v>
      </c>
      <c r="Z173" s="201" t="str">
        <f>VLOOKUP(X173,'PUR-HSN MASTER'!$A$6:$D$247,3,FALSE)</f>
        <v>KLR-KILOLITRE</v>
      </c>
      <c r="AA173" s="334" t="str">
        <f>VLOOKUP(X173,'PUR-HSN MASTER'!$A$6:$D$247,4,FALSE)</f>
        <v>Goods</v>
      </c>
      <c r="AB173" s="401">
        <v>80</v>
      </c>
    </row>
    <row r="174" spans="1:28" ht="14.4" x14ac:dyDescent="0.3">
      <c r="A174" s="128" t="s">
        <v>865</v>
      </c>
      <c r="B174" s="199" t="str">
        <f>VLOOKUP(A174,'PUR-PARTY MASTER'!$B$6:$J$250,2,FALSE)</f>
        <v>Kansai Nerolac Paints Ltd,</v>
      </c>
      <c r="C174" s="403" t="s">
        <v>1415</v>
      </c>
      <c r="D174" s="398">
        <v>43148</v>
      </c>
      <c r="E174" s="329">
        <f t="shared" si="21"/>
        <v>8857.6</v>
      </c>
      <c r="F174" s="199" t="str">
        <f>VLOOKUP(A174,'PUR-PARTY MASTER'!$B$6:$J$250,3,FALSE)</f>
        <v>27-Maharashatra</v>
      </c>
      <c r="G174" s="199" t="str">
        <f>VLOOKUP(A174,'PUR-PARTY MASTER'!$B$6:$J$250,4,FALSE)</f>
        <v>N</v>
      </c>
      <c r="H174" s="199" t="str">
        <f>VLOOKUP(A174,'PUR-PARTY MASTER'!$B$6:$J$250,5,FALSE)</f>
        <v>Regular</v>
      </c>
      <c r="I174" s="199">
        <f>VLOOKUP(A174,'PUR-PARTY MASTER'!$B$6:$J$250,6,FALSE)</f>
        <v>0</v>
      </c>
      <c r="J174" s="201">
        <v>28</v>
      </c>
      <c r="K174" s="400">
        <v>6920</v>
      </c>
      <c r="L174" s="202">
        <f t="shared" si="22"/>
        <v>0</v>
      </c>
      <c r="M174" s="202">
        <f t="shared" si="23"/>
        <v>968.80000000000007</v>
      </c>
      <c r="N174" s="202">
        <f t="shared" si="24"/>
        <v>968.80000000000007</v>
      </c>
      <c r="O174" s="8">
        <v>0</v>
      </c>
      <c r="P174" s="341" t="s">
        <v>177</v>
      </c>
      <c r="Q174" s="329">
        <f t="shared" si="25"/>
        <v>0</v>
      </c>
      <c r="R174" s="329">
        <f t="shared" si="26"/>
        <v>968.80000000000007</v>
      </c>
      <c r="S174" s="329">
        <f t="shared" si="27"/>
        <v>968.80000000000007</v>
      </c>
      <c r="T174" s="8">
        <f t="shared" si="28"/>
        <v>0</v>
      </c>
      <c r="U174" s="199">
        <f>VLOOKUP(A174,'PUR-PARTY MASTER'!$B$6:$J$250,7,FALSE)</f>
        <v>2</v>
      </c>
      <c r="V174" s="199" t="str">
        <f>VLOOKUP(A174,'PUR-PARTY MASTER'!$B$6:$J$250,8,FALSE)</f>
        <v>Local Pur</v>
      </c>
      <c r="W174" s="199" t="s">
        <v>897</v>
      </c>
      <c r="X174" s="404">
        <v>32082090</v>
      </c>
      <c r="Y174" s="201" t="str">
        <f>VLOOKUP(X174,'PUR-HSN MASTER'!$A$6:$D$247,2,FALSE)</f>
        <v>Others ( Paint &amp; Varnishes)</v>
      </c>
      <c r="Z174" s="201" t="str">
        <f>VLOOKUP(X174,'PUR-HSN MASTER'!$A$6:$D$247,3,FALSE)</f>
        <v>KLR-KILOLITRE</v>
      </c>
      <c r="AA174" s="334" t="str">
        <f>VLOOKUP(X174,'PUR-HSN MASTER'!$A$6:$D$247,4,FALSE)</f>
        <v>Goods</v>
      </c>
      <c r="AB174" s="401">
        <v>20</v>
      </c>
    </row>
    <row r="175" spans="1:28" ht="14.4" x14ac:dyDescent="0.3">
      <c r="A175" s="128" t="s">
        <v>374</v>
      </c>
      <c r="B175" s="199" t="str">
        <f>VLOOKUP(A175,'PUR-PARTY MASTER'!$B$6:$J$250,2,FALSE)</f>
        <v>Galva Decoparts Pvt.Ltd</v>
      </c>
      <c r="C175" s="403">
        <v>2566</v>
      </c>
      <c r="D175" s="398">
        <v>43148</v>
      </c>
      <c r="E175" s="329">
        <f t="shared" si="21"/>
        <v>32997.887999999999</v>
      </c>
      <c r="F175" s="199" t="str">
        <f>VLOOKUP(A175,'PUR-PARTY MASTER'!$B$6:$J$250,3,FALSE)</f>
        <v>27-Maharashatra</v>
      </c>
      <c r="G175" s="199" t="str">
        <f>VLOOKUP(A175,'PUR-PARTY MASTER'!$B$6:$J$250,4,FALSE)</f>
        <v>N</v>
      </c>
      <c r="H175" s="199" t="str">
        <f>VLOOKUP(A175,'PUR-PARTY MASTER'!$B$6:$J$250,5,FALSE)</f>
        <v>Regular</v>
      </c>
      <c r="I175" s="199">
        <f>VLOOKUP(A175,'PUR-PARTY MASTER'!$B$6:$J$250,6,FALSE)</f>
        <v>0</v>
      </c>
      <c r="J175" s="201">
        <v>28</v>
      </c>
      <c r="K175" s="400">
        <v>25779.599999999999</v>
      </c>
      <c r="L175" s="202">
        <f t="shared" si="22"/>
        <v>0</v>
      </c>
      <c r="M175" s="202">
        <f t="shared" si="23"/>
        <v>3609.1440000000002</v>
      </c>
      <c r="N175" s="202">
        <f t="shared" si="24"/>
        <v>3609.1440000000002</v>
      </c>
      <c r="O175" s="8">
        <v>0</v>
      </c>
      <c r="P175" s="341" t="s">
        <v>177</v>
      </c>
      <c r="Q175" s="329">
        <f t="shared" si="25"/>
        <v>0</v>
      </c>
      <c r="R175" s="329">
        <f t="shared" si="26"/>
        <v>3609.1440000000002</v>
      </c>
      <c r="S175" s="329">
        <f t="shared" si="27"/>
        <v>3609.1440000000002</v>
      </c>
      <c r="T175" s="8">
        <f t="shared" si="28"/>
        <v>0</v>
      </c>
      <c r="U175" s="199">
        <f>VLOOKUP(A175,'PUR-PARTY MASTER'!$B$6:$J$250,7,FALSE)</f>
        <v>2</v>
      </c>
      <c r="V175" s="199" t="str">
        <f>VLOOKUP(A175,'PUR-PARTY MASTER'!$B$6:$J$250,8,FALSE)</f>
        <v>Local Pur</v>
      </c>
      <c r="W175" s="199" t="s">
        <v>897</v>
      </c>
      <c r="X175" s="404">
        <v>87089900</v>
      </c>
      <c r="Y175" s="201" t="str">
        <f>VLOOKUP(X175,'PUR-HSN MASTER'!$A$6:$D$247,2,FALSE)</f>
        <v>Parts &amp; Accessories Of Motor Vehicles Other</v>
      </c>
      <c r="Z175" s="201" t="str">
        <f>VLOOKUP(X175,'PUR-HSN MASTER'!$A$6:$D$247,3,FALSE)</f>
        <v>NOS-NUMBERS</v>
      </c>
      <c r="AA175" s="334" t="str">
        <f>VLOOKUP(X175,'PUR-HSN MASTER'!$A$6:$D$247,4,FALSE)</f>
        <v>Goods</v>
      </c>
      <c r="AB175" s="401">
        <v>1155</v>
      </c>
    </row>
    <row r="176" spans="1:28" ht="14.4" x14ac:dyDescent="0.3">
      <c r="A176" s="128" t="s">
        <v>335</v>
      </c>
      <c r="B176" s="199" t="str">
        <f>VLOOKUP(A176,'PUR-PARTY MASTER'!$B$6:$J$250,2,FALSE)</f>
        <v>Atharva Polymers Pvt Ltd,</v>
      </c>
      <c r="C176" s="403" t="s">
        <v>1416</v>
      </c>
      <c r="D176" s="398">
        <v>43148</v>
      </c>
      <c r="E176" s="329">
        <f t="shared" si="21"/>
        <v>50698.880000000005</v>
      </c>
      <c r="F176" s="199" t="str">
        <f>VLOOKUP(A176,'PUR-PARTY MASTER'!$B$6:$J$250,3,FALSE)</f>
        <v>27-Maharashatra</v>
      </c>
      <c r="G176" s="199" t="str">
        <f>VLOOKUP(A176,'PUR-PARTY MASTER'!$B$6:$J$250,4,FALSE)</f>
        <v>N</v>
      </c>
      <c r="H176" s="199" t="str">
        <f>VLOOKUP(A176,'PUR-PARTY MASTER'!$B$6:$J$250,5,FALSE)</f>
        <v>Regular</v>
      </c>
      <c r="I176" s="199">
        <f>VLOOKUP(A176,'PUR-PARTY MASTER'!$B$6:$J$250,6,FALSE)</f>
        <v>0</v>
      </c>
      <c r="J176" s="201">
        <v>28</v>
      </c>
      <c r="K176" s="400">
        <f>39510.5+98</f>
        <v>39608.5</v>
      </c>
      <c r="L176" s="202">
        <f t="shared" si="22"/>
        <v>0</v>
      </c>
      <c r="M176" s="202">
        <f t="shared" si="23"/>
        <v>5545.1900000000005</v>
      </c>
      <c r="N176" s="202">
        <f t="shared" si="24"/>
        <v>5545.1900000000005</v>
      </c>
      <c r="O176" s="8">
        <v>0</v>
      </c>
      <c r="P176" s="341" t="s">
        <v>177</v>
      </c>
      <c r="Q176" s="329">
        <f t="shared" si="25"/>
        <v>0</v>
      </c>
      <c r="R176" s="329">
        <f t="shared" si="26"/>
        <v>5545.1900000000005</v>
      </c>
      <c r="S176" s="329">
        <f t="shared" si="27"/>
        <v>5545.1900000000005</v>
      </c>
      <c r="T176" s="8">
        <f t="shared" si="28"/>
        <v>0</v>
      </c>
      <c r="U176" s="199">
        <f>VLOOKUP(A176,'PUR-PARTY MASTER'!$B$6:$J$250,7,FALSE)</f>
        <v>2</v>
      </c>
      <c r="V176" s="199" t="str">
        <f>VLOOKUP(A176,'PUR-PARTY MASTER'!$B$6:$J$250,8,FALSE)</f>
        <v>Local Pur</v>
      </c>
      <c r="W176" s="199" t="s">
        <v>897</v>
      </c>
      <c r="X176" s="404">
        <v>87141900</v>
      </c>
      <c r="Y176" s="201" t="str">
        <f>VLOOKUP(X176,'PUR-HSN MASTER'!$A$6:$D$247,2,FALSE)</f>
        <v>Parts &amp; Accessories Of Motor Vehicles Other</v>
      </c>
      <c r="Z176" s="201" t="str">
        <f>VLOOKUP(X176,'PUR-HSN MASTER'!$A$6:$D$247,3,FALSE)</f>
        <v>KLR-KILOLITRE</v>
      </c>
      <c r="AA176" s="334" t="str">
        <f>VLOOKUP(X176,'PUR-HSN MASTER'!$A$6:$D$247,4,FALSE)</f>
        <v>Goods</v>
      </c>
      <c r="AB176" s="401">
        <v>930</v>
      </c>
    </row>
    <row r="177" spans="1:28" ht="14.4" x14ac:dyDescent="0.3">
      <c r="A177" s="128" t="s">
        <v>335</v>
      </c>
      <c r="B177" s="199" t="str">
        <f>VLOOKUP(A177,'PUR-PARTY MASTER'!$B$6:$J$250,2,FALSE)</f>
        <v>Atharva Polymers Pvt Ltd,</v>
      </c>
      <c r="C177" s="403" t="s">
        <v>1417</v>
      </c>
      <c r="D177" s="398">
        <v>43148</v>
      </c>
      <c r="E177" s="329">
        <f t="shared" si="21"/>
        <v>54502.399999999994</v>
      </c>
      <c r="F177" s="199" t="str">
        <f>VLOOKUP(A177,'PUR-PARTY MASTER'!$B$6:$J$250,3,FALSE)</f>
        <v>27-Maharashatra</v>
      </c>
      <c r="G177" s="199" t="str">
        <f>VLOOKUP(A177,'PUR-PARTY MASTER'!$B$6:$J$250,4,FALSE)</f>
        <v>N</v>
      </c>
      <c r="H177" s="199" t="str">
        <f>VLOOKUP(A177,'PUR-PARTY MASTER'!$B$6:$J$250,5,FALSE)</f>
        <v>Regular</v>
      </c>
      <c r="I177" s="199">
        <f>VLOOKUP(A177,'PUR-PARTY MASTER'!$B$6:$J$250,6,FALSE)</f>
        <v>0</v>
      </c>
      <c r="J177" s="201">
        <v>28</v>
      </c>
      <c r="K177" s="400">
        <f>42475+105</f>
        <v>42580</v>
      </c>
      <c r="L177" s="202">
        <f t="shared" si="22"/>
        <v>0</v>
      </c>
      <c r="M177" s="202">
        <f t="shared" si="23"/>
        <v>5961.2000000000007</v>
      </c>
      <c r="N177" s="202">
        <f t="shared" si="24"/>
        <v>5961.2000000000007</v>
      </c>
      <c r="O177" s="8">
        <v>0</v>
      </c>
      <c r="P177" s="341" t="s">
        <v>177</v>
      </c>
      <c r="Q177" s="329">
        <f t="shared" si="25"/>
        <v>0</v>
      </c>
      <c r="R177" s="329">
        <f t="shared" si="26"/>
        <v>5961.2000000000007</v>
      </c>
      <c r="S177" s="329">
        <f t="shared" si="27"/>
        <v>5961.2000000000007</v>
      </c>
      <c r="T177" s="8">
        <f t="shared" si="28"/>
        <v>0</v>
      </c>
      <c r="U177" s="199">
        <f>VLOOKUP(A177,'PUR-PARTY MASTER'!$B$6:$J$250,7,FALSE)</f>
        <v>2</v>
      </c>
      <c r="V177" s="199" t="str">
        <f>VLOOKUP(A177,'PUR-PARTY MASTER'!$B$6:$J$250,8,FALSE)</f>
        <v>Local Pur</v>
      </c>
      <c r="W177" s="199" t="s">
        <v>897</v>
      </c>
      <c r="X177" s="404">
        <v>87141900</v>
      </c>
      <c r="Y177" s="201" t="str">
        <f>VLOOKUP(X177,'PUR-HSN MASTER'!$A$6:$D$247,2,FALSE)</f>
        <v>Parts &amp; Accessories Of Motor Vehicles Other</v>
      </c>
      <c r="Z177" s="201" t="str">
        <f>VLOOKUP(X177,'PUR-HSN MASTER'!$A$6:$D$247,3,FALSE)</f>
        <v>KLR-KILOLITRE</v>
      </c>
      <c r="AA177" s="334" t="str">
        <f>VLOOKUP(X177,'PUR-HSN MASTER'!$A$6:$D$247,4,FALSE)</f>
        <v>Goods</v>
      </c>
      <c r="AB177" s="401">
        <v>1000</v>
      </c>
    </row>
    <row r="178" spans="1:28" ht="14.4" x14ac:dyDescent="0.3">
      <c r="A178" s="128" t="s">
        <v>333</v>
      </c>
      <c r="B178" s="199" t="str">
        <f>VLOOKUP(A178,'PUR-PARTY MASTER'!$B$6:$J$250,2,FALSE)</f>
        <v>Aditya Enteprises</v>
      </c>
      <c r="C178" s="403">
        <v>4813</v>
      </c>
      <c r="D178" s="398">
        <v>43148</v>
      </c>
      <c r="E178" s="329">
        <f t="shared" si="21"/>
        <v>59234.135599999994</v>
      </c>
      <c r="F178" s="199" t="str">
        <f>VLOOKUP(A178,'PUR-PARTY MASTER'!$B$6:$J$250,3,FALSE)</f>
        <v>27-Maharashatra</v>
      </c>
      <c r="G178" s="199" t="str">
        <f>VLOOKUP(A178,'PUR-PARTY MASTER'!$B$6:$J$250,4,FALSE)</f>
        <v>N</v>
      </c>
      <c r="H178" s="199" t="str">
        <f>VLOOKUP(A178,'PUR-PARTY MASTER'!$B$6:$J$250,5,FALSE)</f>
        <v>Regular</v>
      </c>
      <c r="I178" s="199">
        <f>VLOOKUP(A178,'PUR-PARTY MASTER'!$B$6:$J$250,6,FALSE)</f>
        <v>0</v>
      </c>
      <c r="J178" s="201">
        <v>18</v>
      </c>
      <c r="K178" s="400">
        <v>50198.42</v>
      </c>
      <c r="L178" s="202">
        <f t="shared" si="22"/>
        <v>0</v>
      </c>
      <c r="M178" s="202">
        <f t="shared" si="23"/>
        <v>4517.8577999999998</v>
      </c>
      <c r="N178" s="202">
        <f t="shared" si="24"/>
        <v>4517.8577999999998</v>
      </c>
      <c r="O178" s="8">
        <v>0</v>
      </c>
      <c r="P178" s="341" t="s">
        <v>177</v>
      </c>
      <c r="Q178" s="329">
        <f t="shared" si="25"/>
        <v>0</v>
      </c>
      <c r="R178" s="329">
        <f t="shared" si="26"/>
        <v>4517.8577999999998</v>
      </c>
      <c r="S178" s="329">
        <f t="shared" si="27"/>
        <v>4517.8577999999998</v>
      </c>
      <c r="T178" s="8">
        <f t="shared" si="28"/>
        <v>0</v>
      </c>
      <c r="U178" s="199">
        <f>VLOOKUP(A178,'PUR-PARTY MASTER'!$B$6:$J$250,7,FALSE)</f>
        <v>2</v>
      </c>
      <c r="V178" s="199" t="str">
        <f>VLOOKUP(A178,'PUR-PARTY MASTER'!$B$6:$J$250,8,FALSE)</f>
        <v>Local Pur</v>
      </c>
      <c r="W178" s="199" t="s">
        <v>894</v>
      </c>
      <c r="X178" s="404">
        <v>85129000</v>
      </c>
      <c r="Y178" s="201" t="str">
        <f>VLOOKUP(X178,'PUR-HSN MASTER'!$A$6:$D$247,2,FALSE)</f>
        <v>Lighting &amp; Fitting</v>
      </c>
      <c r="Z178" s="201" t="str">
        <f>VLOOKUP(X178,'PUR-HSN MASTER'!$A$6:$D$247,3,FALSE)</f>
        <v>NOS-NUMBERS</v>
      </c>
      <c r="AA178" s="334" t="str">
        <f>VLOOKUP(X178,'PUR-HSN MASTER'!$A$6:$D$247,4,FALSE)</f>
        <v>Goods</v>
      </c>
      <c r="AB178" s="401">
        <v>1537</v>
      </c>
    </row>
    <row r="179" spans="1:28" ht="14.4" x14ac:dyDescent="0.3">
      <c r="A179" s="128" t="s">
        <v>363</v>
      </c>
      <c r="B179" s="199" t="str">
        <f>VLOOKUP(A179,'PUR-PARTY MASTER'!$B$6:$J$250,2,FALSE)</f>
        <v>Mrf Corp Limited</v>
      </c>
      <c r="C179" s="403">
        <v>9330001225</v>
      </c>
      <c r="D179" s="398">
        <v>43150</v>
      </c>
      <c r="E179" s="329">
        <f t="shared" si="21"/>
        <v>724.48</v>
      </c>
      <c r="F179" s="199" t="str">
        <f>VLOOKUP(A179,'PUR-PARTY MASTER'!$B$6:$J$250,3,FALSE)</f>
        <v>27-Maharashatra</v>
      </c>
      <c r="G179" s="199" t="str">
        <f>VLOOKUP(A179,'PUR-PARTY MASTER'!$B$6:$J$250,4,FALSE)</f>
        <v>N</v>
      </c>
      <c r="H179" s="199" t="str">
        <f>VLOOKUP(A179,'PUR-PARTY MASTER'!$B$6:$J$250,5,FALSE)</f>
        <v>Regular</v>
      </c>
      <c r="I179" s="199">
        <f>VLOOKUP(A179,'PUR-PARTY MASTER'!$B$6:$J$250,6,FALSE)</f>
        <v>0</v>
      </c>
      <c r="J179" s="201">
        <v>28</v>
      </c>
      <c r="K179" s="400">
        <v>566</v>
      </c>
      <c r="L179" s="202">
        <f t="shared" si="22"/>
        <v>0</v>
      </c>
      <c r="M179" s="202">
        <f t="shared" si="23"/>
        <v>79.240000000000009</v>
      </c>
      <c r="N179" s="202">
        <f t="shared" si="24"/>
        <v>79.240000000000009</v>
      </c>
      <c r="O179" s="8">
        <v>0</v>
      </c>
      <c r="P179" s="341" t="s">
        <v>177</v>
      </c>
      <c r="Q179" s="329">
        <f t="shared" si="25"/>
        <v>0</v>
      </c>
      <c r="R179" s="329">
        <f t="shared" si="26"/>
        <v>79.240000000000009</v>
      </c>
      <c r="S179" s="329">
        <f t="shared" si="27"/>
        <v>79.240000000000009</v>
      </c>
      <c r="T179" s="8">
        <f t="shared" si="28"/>
        <v>0</v>
      </c>
      <c r="U179" s="199">
        <f>VLOOKUP(A179,'PUR-PARTY MASTER'!$B$6:$J$250,7,FALSE)</f>
        <v>2</v>
      </c>
      <c r="V179" s="199" t="str">
        <f>VLOOKUP(A179,'PUR-PARTY MASTER'!$B$6:$J$250,8,FALSE)</f>
        <v>Local Pur</v>
      </c>
      <c r="W179" s="199" t="s">
        <v>897</v>
      </c>
      <c r="X179" s="404">
        <v>32082090</v>
      </c>
      <c r="Y179" s="201" t="str">
        <f>VLOOKUP(X179,'PUR-HSN MASTER'!$A$6:$D$247,2,FALSE)</f>
        <v>Others ( Paint &amp; Varnishes)</v>
      </c>
      <c r="Z179" s="201" t="str">
        <f>VLOOKUP(X179,'PUR-HSN MASTER'!$A$6:$D$247,3,FALSE)</f>
        <v>KLR-KILOLITRE</v>
      </c>
      <c r="AA179" s="334" t="str">
        <f>VLOOKUP(X179,'PUR-HSN MASTER'!$A$6:$D$247,4,FALSE)</f>
        <v>Goods</v>
      </c>
      <c r="AB179" s="401">
        <v>1</v>
      </c>
    </row>
    <row r="180" spans="1:28" ht="14.4" x14ac:dyDescent="0.3">
      <c r="A180" s="128" t="s">
        <v>380</v>
      </c>
      <c r="B180" s="199" t="str">
        <f>VLOOKUP(A180,'PUR-PARTY MASTER'!$B$6:$J$250,2,FALSE)</f>
        <v>Sigma Air Filters</v>
      </c>
      <c r="C180" s="403">
        <v>453</v>
      </c>
      <c r="D180" s="398">
        <v>43150</v>
      </c>
      <c r="E180" s="329">
        <f t="shared" si="21"/>
        <v>16183.7</v>
      </c>
      <c r="F180" s="199" t="str">
        <f>VLOOKUP(A180,'PUR-PARTY MASTER'!$B$6:$J$250,3,FALSE)</f>
        <v>27-Maharashatra</v>
      </c>
      <c r="G180" s="199" t="str">
        <f>VLOOKUP(A180,'PUR-PARTY MASTER'!$B$6:$J$250,4,FALSE)</f>
        <v>N</v>
      </c>
      <c r="H180" s="199" t="str">
        <f>VLOOKUP(A180,'PUR-PARTY MASTER'!$B$6:$J$250,5,FALSE)</f>
        <v>Regular</v>
      </c>
      <c r="I180" s="199">
        <f>VLOOKUP(A180,'PUR-PARTY MASTER'!$B$6:$J$250,6,FALSE)</f>
        <v>0</v>
      </c>
      <c r="J180" s="201">
        <v>18</v>
      </c>
      <c r="K180" s="400">
        <v>13715</v>
      </c>
      <c r="L180" s="202">
        <f t="shared" si="22"/>
        <v>0</v>
      </c>
      <c r="M180" s="202">
        <f t="shared" si="23"/>
        <v>1234.3499999999999</v>
      </c>
      <c r="N180" s="202">
        <f t="shared" si="24"/>
        <v>1234.3499999999999</v>
      </c>
      <c r="O180" s="8">
        <v>0</v>
      </c>
      <c r="P180" s="341" t="s">
        <v>177</v>
      </c>
      <c r="Q180" s="329">
        <f t="shared" si="25"/>
        <v>0</v>
      </c>
      <c r="R180" s="329">
        <f t="shared" si="26"/>
        <v>1234.3499999999999</v>
      </c>
      <c r="S180" s="329">
        <f t="shared" si="27"/>
        <v>1234.3499999999999</v>
      </c>
      <c r="T180" s="8">
        <f t="shared" si="28"/>
        <v>0</v>
      </c>
      <c r="U180" s="199">
        <f>VLOOKUP(A180,'PUR-PARTY MASTER'!$B$6:$J$250,7,FALSE)</f>
        <v>2</v>
      </c>
      <c r="V180" s="199" t="str">
        <f>VLOOKUP(A180,'PUR-PARTY MASTER'!$B$6:$J$250,8,FALSE)</f>
        <v>Local Pur</v>
      </c>
      <c r="W180" s="199" t="s">
        <v>894</v>
      </c>
      <c r="X180" s="404">
        <v>84213920</v>
      </c>
      <c r="Y180" s="201" t="str">
        <f>VLOOKUP(X180,'PUR-HSN MASTER'!$A$6:$D$247,2,FALSE)</f>
        <v>Filters</v>
      </c>
      <c r="Z180" s="201" t="str">
        <f>VLOOKUP(X180,'PUR-HSN MASTER'!$A$6:$D$247,3,FALSE)</f>
        <v>KLR-KILOLITRE</v>
      </c>
      <c r="AA180" s="334" t="str">
        <f>VLOOKUP(X180,'PUR-HSN MASTER'!$A$6:$D$247,4,FALSE)</f>
        <v>Goods</v>
      </c>
      <c r="AB180" s="401">
        <v>14.4</v>
      </c>
    </row>
    <row r="181" spans="1:28" ht="14.4" x14ac:dyDescent="0.3">
      <c r="A181" s="128" t="s">
        <v>24</v>
      </c>
      <c r="B181" s="199" t="str">
        <f>VLOOKUP(A181,'PUR-PARTY MASTER'!$B$6:$J$250,2,FALSE)</f>
        <v>Tata Autocomp Systems LTD.(X1)</v>
      </c>
      <c r="C181" s="403" t="s">
        <v>1418</v>
      </c>
      <c r="D181" s="398">
        <v>43150</v>
      </c>
      <c r="E181" s="329">
        <f t="shared" si="21"/>
        <v>24013.209600000002</v>
      </c>
      <c r="F181" s="199" t="str">
        <f>VLOOKUP(A181,'PUR-PARTY MASTER'!$B$6:$J$250,3,FALSE)</f>
        <v>27-Maharashatra</v>
      </c>
      <c r="G181" s="199" t="str">
        <f>VLOOKUP(A181,'PUR-PARTY MASTER'!$B$6:$J$250,4,FALSE)</f>
        <v>N</v>
      </c>
      <c r="H181" s="199" t="str">
        <f>VLOOKUP(A181,'PUR-PARTY MASTER'!$B$6:$J$250,5,FALSE)</f>
        <v>Regular</v>
      </c>
      <c r="I181" s="199">
        <f>VLOOKUP(A181,'PUR-PARTY MASTER'!$B$6:$J$250,6,FALSE)</f>
        <v>0</v>
      </c>
      <c r="J181" s="201">
        <v>28</v>
      </c>
      <c r="K181" s="400">
        <v>18760.32</v>
      </c>
      <c r="L181" s="202">
        <f t="shared" si="22"/>
        <v>0</v>
      </c>
      <c r="M181" s="202">
        <f t="shared" si="23"/>
        <v>2626.4448000000002</v>
      </c>
      <c r="N181" s="202">
        <f t="shared" si="24"/>
        <v>2626.4448000000002</v>
      </c>
      <c r="O181" s="8">
        <v>0</v>
      </c>
      <c r="P181" s="341" t="s">
        <v>177</v>
      </c>
      <c r="Q181" s="329">
        <f t="shared" si="25"/>
        <v>0</v>
      </c>
      <c r="R181" s="329">
        <f t="shared" si="26"/>
        <v>2626.4448000000002</v>
      </c>
      <c r="S181" s="329">
        <f t="shared" si="27"/>
        <v>2626.4448000000002</v>
      </c>
      <c r="T181" s="8">
        <f t="shared" si="28"/>
        <v>0</v>
      </c>
      <c r="U181" s="199">
        <f>VLOOKUP(A181,'PUR-PARTY MASTER'!$B$6:$J$250,7,FALSE)</f>
        <v>2</v>
      </c>
      <c r="V181" s="199" t="str">
        <f>VLOOKUP(A181,'PUR-PARTY MASTER'!$B$6:$J$250,8,FALSE)</f>
        <v>Local Pur</v>
      </c>
      <c r="W181" s="199" t="s">
        <v>897</v>
      </c>
      <c r="X181" s="404">
        <v>87081090</v>
      </c>
      <c r="Y181" s="201" t="str">
        <f>VLOOKUP(X181,'PUR-HSN MASTER'!$A$6:$D$247,2,FALSE)</f>
        <v>Parts &amp; Accessories Of Motor Vehicles Other</v>
      </c>
      <c r="Z181" s="201" t="str">
        <f>VLOOKUP(X181,'PUR-HSN MASTER'!$A$6:$D$247,3,FALSE)</f>
        <v>NOS-NUMBERS</v>
      </c>
      <c r="AA181" s="334" t="str">
        <f>VLOOKUP(X181,'PUR-HSN MASTER'!$A$6:$D$247,4,FALSE)</f>
        <v>Goods</v>
      </c>
      <c r="AB181" s="401">
        <v>144</v>
      </c>
    </row>
    <row r="182" spans="1:28" ht="14.4" x14ac:dyDescent="0.3">
      <c r="A182" s="128" t="s">
        <v>24</v>
      </c>
      <c r="B182" s="199" t="str">
        <f>VLOOKUP(A182,'PUR-PARTY MASTER'!$B$6:$J$250,2,FALSE)</f>
        <v>Tata Autocomp Systems LTD.(X1)</v>
      </c>
      <c r="C182" s="403" t="s">
        <v>1418</v>
      </c>
      <c r="D182" s="398">
        <v>43150</v>
      </c>
      <c r="E182" s="329">
        <f t="shared" si="21"/>
        <v>6402.8672000000006</v>
      </c>
      <c r="F182" s="199" t="str">
        <f>VLOOKUP(A182,'PUR-PARTY MASTER'!$B$6:$J$250,3,FALSE)</f>
        <v>27-Maharashatra</v>
      </c>
      <c r="G182" s="199" t="str">
        <f>VLOOKUP(A182,'PUR-PARTY MASTER'!$B$6:$J$250,4,FALSE)</f>
        <v>N</v>
      </c>
      <c r="H182" s="199" t="str">
        <f>VLOOKUP(A182,'PUR-PARTY MASTER'!$B$6:$J$250,5,FALSE)</f>
        <v>Regular</v>
      </c>
      <c r="I182" s="199">
        <f>VLOOKUP(A182,'PUR-PARTY MASTER'!$B$6:$J$250,6,FALSE)</f>
        <v>0</v>
      </c>
      <c r="J182" s="201">
        <v>28</v>
      </c>
      <c r="K182" s="400">
        <v>5002.24</v>
      </c>
      <c r="L182" s="202">
        <f t="shared" si="22"/>
        <v>0</v>
      </c>
      <c r="M182" s="202">
        <f t="shared" si="23"/>
        <v>700.31360000000006</v>
      </c>
      <c r="N182" s="202">
        <f t="shared" si="24"/>
        <v>700.31360000000006</v>
      </c>
      <c r="O182" s="8">
        <v>0</v>
      </c>
      <c r="P182" s="341" t="s">
        <v>177</v>
      </c>
      <c r="Q182" s="329">
        <f t="shared" si="25"/>
        <v>0</v>
      </c>
      <c r="R182" s="329">
        <f t="shared" si="26"/>
        <v>700.31360000000006</v>
      </c>
      <c r="S182" s="329">
        <f t="shared" si="27"/>
        <v>700.31360000000006</v>
      </c>
      <c r="T182" s="8">
        <f t="shared" si="28"/>
        <v>0</v>
      </c>
      <c r="U182" s="199">
        <f>VLOOKUP(A182,'PUR-PARTY MASTER'!$B$6:$J$250,7,FALSE)</f>
        <v>2</v>
      </c>
      <c r="V182" s="199" t="str">
        <f>VLOOKUP(A182,'PUR-PARTY MASTER'!$B$6:$J$250,8,FALSE)</f>
        <v>Local Pur</v>
      </c>
      <c r="W182" s="199" t="s">
        <v>897</v>
      </c>
      <c r="X182" s="404">
        <v>87082900</v>
      </c>
      <c r="Y182" s="201" t="str">
        <f>VLOOKUP(X182,'PUR-HSN MASTER'!$A$6:$D$247,2,FALSE)</f>
        <v>Parts &amp; Accessories Of Motor Vehicles Other</v>
      </c>
      <c r="Z182" s="201" t="str">
        <f>VLOOKUP(X182,'PUR-HSN MASTER'!$A$6:$D$247,3,FALSE)</f>
        <v>NOS-NUMBERS</v>
      </c>
      <c r="AA182" s="334" t="str">
        <f>VLOOKUP(X182,'PUR-HSN MASTER'!$A$6:$D$247,4,FALSE)</f>
        <v>Goods</v>
      </c>
      <c r="AB182" s="401">
        <v>32</v>
      </c>
    </row>
    <row r="183" spans="1:28" ht="14.4" x14ac:dyDescent="0.3">
      <c r="A183" s="128" t="s">
        <v>374</v>
      </c>
      <c r="B183" s="199" t="str">
        <f>VLOOKUP(A183,'PUR-PARTY MASTER'!$B$6:$J$250,2,FALSE)</f>
        <v>Galva Decoparts Pvt.Ltd</v>
      </c>
      <c r="C183" s="403">
        <v>2579</v>
      </c>
      <c r="D183" s="398">
        <v>43150</v>
      </c>
      <c r="E183" s="329">
        <f t="shared" si="21"/>
        <v>5142.5280000000002</v>
      </c>
      <c r="F183" s="199" t="str">
        <f>VLOOKUP(A183,'PUR-PARTY MASTER'!$B$6:$J$250,3,FALSE)</f>
        <v>27-Maharashatra</v>
      </c>
      <c r="G183" s="199" t="str">
        <f>VLOOKUP(A183,'PUR-PARTY MASTER'!$B$6:$J$250,4,FALSE)</f>
        <v>N</v>
      </c>
      <c r="H183" s="199" t="str">
        <f>VLOOKUP(A183,'PUR-PARTY MASTER'!$B$6:$J$250,5,FALSE)</f>
        <v>Regular</v>
      </c>
      <c r="I183" s="199">
        <f>VLOOKUP(A183,'PUR-PARTY MASTER'!$B$6:$J$250,6,FALSE)</f>
        <v>0</v>
      </c>
      <c r="J183" s="201">
        <v>28</v>
      </c>
      <c r="K183" s="400">
        <v>4017.6</v>
      </c>
      <c r="L183" s="202">
        <f t="shared" si="22"/>
        <v>0</v>
      </c>
      <c r="M183" s="202">
        <f t="shared" si="23"/>
        <v>562.46400000000006</v>
      </c>
      <c r="N183" s="202">
        <f t="shared" si="24"/>
        <v>562.46400000000006</v>
      </c>
      <c r="O183" s="8">
        <v>0</v>
      </c>
      <c r="P183" s="341" t="s">
        <v>177</v>
      </c>
      <c r="Q183" s="329">
        <f t="shared" si="25"/>
        <v>0</v>
      </c>
      <c r="R183" s="329">
        <f t="shared" si="26"/>
        <v>562.46400000000006</v>
      </c>
      <c r="S183" s="329">
        <f t="shared" si="27"/>
        <v>562.46400000000006</v>
      </c>
      <c r="T183" s="8">
        <f t="shared" si="28"/>
        <v>0</v>
      </c>
      <c r="U183" s="199">
        <f>VLOOKUP(A183,'PUR-PARTY MASTER'!$B$6:$J$250,7,FALSE)</f>
        <v>2</v>
      </c>
      <c r="V183" s="199" t="str">
        <f>VLOOKUP(A183,'PUR-PARTY MASTER'!$B$6:$J$250,8,FALSE)</f>
        <v>Local Pur</v>
      </c>
      <c r="W183" s="199" t="s">
        <v>897</v>
      </c>
      <c r="X183" s="404">
        <v>87089900</v>
      </c>
      <c r="Y183" s="201" t="str">
        <f>VLOOKUP(X183,'PUR-HSN MASTER'!$A$6:$D$247,2,FALSE)</f>
        <v>Parts &amp; Accessories Of Motor Vehicles Other</v>
      </c>
      <c r="Z183" s="201" t="str">
        <f>VLOOKUP(X183,'PUR-HSN MASTER'!$A$6:$D$247,3,FALSE)</f>
        <v>NOS-NUMBERS</v>
      </c>
      <c r="AA183" s="334" t="str">
        <f>VLOOKUP(X183,'PUR-HSN MASTER'!$A$6:$D$247,4,FALSE)</f>
        <v>Goods</v>
      </c>
      <c r="AB183" s="401">
        <v>180</v>
      </c>
    </row>
    <row r="184" spans="1:28" ht="14.4" x14ac:dyDescent="0.3">
      <c r="A184" s="128" t="s">
        <v>335</v>
      </c>
      <c r="B184" s="199" t="str">
        <f>VLOOKUP(A184,'PUR-PARTY MASTER'!$B$6:$J$250,2,FALSE)</f>
        <v>Atharva Polymers Pvt Ltd,</v>
      </c>
      <c r="C184" s="403" t="s">
        <v>1419</v>
      </c>
      <c r="D184" s="398">
        <v>43150</v>
      </c>
      <c r="E184" s="329">
        <f t="shared" si="21"/>
        <v>54502.399999999994</v>
      </c>
      <c r="F184" s="199" t="str">
        <f>VLOOKUP(A184,'PUR-PARTY MASTER'!$B$6:$J$250,3,FALSE)</f>
        <v>27-Maharashatra</v>
      </c>
      <c r="G184" s="199" t="str">
        <f>VLOOKUP(A184,'PUR-PARTY MASTER'!$B$6:$J$250,4,FALSE)</f>
        <v>N</v>
      </c>
      <c r="H184" s="199" t="str">
        <f>VLOOKUP(A184,'PUR-PARTY MASTER'!$B$6:$J$250,5,FALSE)</f>
        <v>Regular</v>
      </c>
      <c r="I184" s="199">
        <f>VLOOKUP(A184,'PUR-PARTY MASTER'!$B$6:$J$250,6,FALSE)</f>
        <v>0</v>
      </c>
      <c r="J184" s="201">
        <v>28</v>
      </c>
      <c r="K184" s="400">
        <f>42475+105</f>
        <v>42580</v>
      </c>
      <c r="L184" s="202">
        <f t="shared" si="22"/>
        <v>0</v>
      </c>
      <c r="M184" s="202">
        <f t="shared" si="23"/>
        <v>5961.2000000000007</v>
      </c>
      <c r="N184" s="202">
        <f t="shared" si="24"/>
        <v>5961.2000000000007</v>
      </c>
      <c r="O184" s="8">
        <v>0</v>
      </c>
      <c r="P184" s="341" t="s">
        <v>177</v>
      </c>
      <c r="Q184" s="329">
        <f t="shared" si="25"/>
        <v>0</v>
      </c>
      <c r="R184" s="329">
        <f t="shared" si="26"/>
        <v>5961.2000000000007</v>
      </c>
      <c r="S184" s="329">
        <f t="shared" si="27"/>
        <v>5961.2000000000007</v>
      </c>
      <c r="T184" s="8">
        <f t="shared" si="28"/>
        <v>0</v>
      </c>
      <c r="U184" s="199">
        <f>VLOOKUP(A184,'PUR-PARTY MASTER'!$B$6:$J$250,7,FALSE)</f>
        <v>2</v>
      </c>
      <c r="V184" s="199" t="str">
        <f>VLOOKUP(A184,'PUR-PARTY MASTER'!$B$6:$J$250,8,FALSE)</f>
        <v>Local Pur</v>
      </c>
      <c r="W184" s="199" t="s">
        <v>897</v>
      </c>
      <c r="X184" s="404">
        <v>87141900</v>
      </c>
      <c r="Y184" s="201" t="str">
        <f>VLOOKUP(X184,'PUR-HSN MASTER'!$A$6:$D$247,2,FALSE)</f>
        <v>Parts &amp; Accessories Of Motor Vehicles Other</v>
      </c>
      <c r="Z184" s="201" t="str">
        <f>VLOOKUP(X184,'PUR-HSN MASTER'!$A$6:$D$247,3,FALSE)</f>
        <v>KLR-KILOLITRE</v>
      </c>
      <c r="AA184" s="334" t="str">
        <f>VLOOKUP(X184,'PUR-HSN MASTER'!$A$6:$D$247,4,FALSE)</f>
        <v>Goods</v>
      </c>
      <c r="AB184" s="401">
        <v>1000</v>
      </c>
    </row>
    <row r="185" spans="1:28" ht="14.4" x14ac:dyDescent="0.3">
      <c r="A185" s="128" t="s">
        <v>345</v>
      </c>
      <c r="B185" s="199" t="str">
        <f>VLOOKUP(A185,'PUR-PARTY MASTER'!$B$6:$J$250,2,FALSE)</f>
        <v>Premier Sales Corporation</v>
      </c>
      <c r="C185" s="403" t="s">
        <v>1420</v>
      </c>
      <c r="D185" s="398">
        <v>43150</v>
      </c>
      <c r="E185" s="329">
        <f t="shared" si="21"/>
        <v>13755</v>
      </c>
      <c r="F185" s="199" t="str">
        <f>VLOOKUP(A185,'PUR-PARTY MASTER'!$B$6:$J$250,3,FALSE)</f>
        <v>27-Maharashatra</v>
      </c>
      <c r="G185" s="199" t="str">
        <f>VLOOKUP(A185,'PUR-PARTY MASTER'!$B$6:$J$250,4,FALSE)</f>
        <v>N</v>
      </c>
      <c r="H185" s="199" t="str">
        <f>VLOOKUP(A185,'PUR-PARTY MASTER'!$B$6:$J$250,5,FALSE)</f>
        <v>Regular</v>
      </c>
      <c r="I185" s="199">
        <f>VLOOKUP(A185,'PUR-PARTY MASTER'!$B$6:$J$250,6,FALSE)</f>
        <v>0</v>
      </c>
      <c r="J185" s="201">
        <v>5</v>
      </c>
      <c r="K185" s="400">
        <v>13100</v>
      </c>
      <c r="L185" s="202">
        <f t="shared" si="22"/>
        <v>0</v>
      </c>
      <c r="M185" s="202">
        <f t="shared" si="23"/>
        <v>327.5</v>
      </c>
      <c r="N185" s="202">
        <f t="shared" si="24"/>
        <v>327.5</v>
      </c>
      <c r="O185" s="8">
        <v>0</v>
      </c>
      <c r="P185" s="341" t="s">
        <v>177</v>
      </c>
      <c r="Q185" s="329">
        <f t="shared" si="25"/>
        <v>0</v>
      </c>
      <c r="R185" s="329">
        <f t="shared" si="26"/>
        <v>327.5</v>
      </c>
      <c r="S185" s="329">
        <f t="shared" si="27"/>
        <v>327.5</v>
      </c>
      <c r="T185" s="8">
        <f t="shared" si="28"/>
        <v>0</v>
      </c>
      <c r="U185" s="199">
        <f>VLOOKUP(A185,'PUR-PARTY MASTER'!$B$6:$J$250,7,FALSE)</f>
        <v>2</v>
      </c>
      <c r="V185" s="199" t="str">
        <f>VLOOKUP(A185,'PUR-PARTY MASTER'!$B$6:$J$250,8,FALSE)</f>
        <v>Local Pur</v>
      </c>
      <c r="W185" s="199" t="s">
        <v>898</v>
      </c>
      <c r="X185" s="404">
        <v>63071030</v>
      </c>
      <c r="Y185" s="201" t="str">
        <f>VLOOKUP(X185,'PUR-HSN MASTER'!$A$6:$D$247,2,FALSE)</f>
        <v>Apron</v>
      </c>
      <c r="Z185" s="201" t="str">
        <f>VLOOKUP(X185,'PUR-HSN MASTER'!$A$6:$D$247,3,FALSE)</f>
        <v>NOS-NUMBERS</v>
      </c>
      <c r="AA185" s="334" t="str">
        <f>VLOOKUP(X185,'PUR-HSN MASTER'!$A$6:$D$247,4,FALSE)</f>
        <v>Goods</v>
      </c>
      <c r="AB185" s="401">
        <v>50</v>
      </c>
    </row>
    <row r="186" spans="1:28" ht="14.4" x14ac:dyDescent="0.3">
      <c r="A186" s="128" t="s">
        <v>343</v>
      </c>
      <c r="B186" s="199" t="str">
        <f>VLOOKUP(A186,'PUR-PARTY MASTER'!$B$6:$J$250,2,FALSE)</f>
        <v>National Chemicals</v>
      </c>
      <c r="C186" s="403" t="s">
        <v>1421</v>
      </c>
      <c r="D186" s="398">
        <v>43149</v>
      </c>
      <c r="E186" s="329">
        <f t="shared" si="21"/>
        <v>80735.600000000006</v>
      </c>
      <c r="F186" s="199" t="str">
        <f>VLOOKUP(A186,'PUR-PARTY MASTER'!$B$6:$J$250,3,FALSE)</f>
        <v>27-Maharashatra</v>
      </c>
      <c r="G186" s="199" t="str">
        <f>VLOOKUP(A186,'PUR-PARTY MASTER'!$B$6:$J$250,4,FALSE)</f>
        <v>N</v>
      </c>
      <c r="H186" s="199" t="str">
        <f>VLOOKUP(A186,'PUR-PARTY MASTER'!$B$6:$J$250,5,FALSE)</f>
        <v>Regular</v>
      </c>
      <c r="I186" s="199">
        <f>VLOOKUP(A186,'PUR-PARTY MASTER'!$B$6:$J$250,6,FALSE)</f>
        <v>0</v>
      </c>
      <c r="J186" s="201">
        <v>18</v>
      </c>
      <c r="K186" s="400">
        <v>68420</v>
      </c>
      <c r="L186" s="202">
        <f t="shared" si="22"/>
        <v>0</v>
      </c>
      <c r="M186" s="202">
        <f t="shared" si="23"/>
        <v>6157.8</v>
      </c>
      <c r="N186" s="202">
        <f t="shared" si="24"/>
        <v>6157.8</v>
      </c>
      <c r="O186" s="8">
        <v>0</v>
      </c>
      <c r="P186" s="341" t="s">
        <v>177</v>
      </c>
      <c r="Q186" s="329">
        <f t="shared" si="25"/>
        <v>0</v>
      </c>
      <c r="R186" s="329">
        <f t="shared" si="26"/>
        <v>6157.8</v>
      </c>
      <c r="S186" s="329">
        <f t="shared" si="27"/>
        <v>6157.8</v>
      </c>
      <c r="T186" s="8">
        <f t="shared" si="28"/>
        <v>0</v>
      </c>
      <c r="U186" s="199">
        <f>VLOOKUP(A186,'PUR-PARTY MASTER'!$B$6:$J$250,7,FALSE)</f>
        <v>2</v>
      </c>
      <c r="V186" s="199" t="str">
        <f>VLOOKUP(A186,'PUR-PARTY MASTER'!$B$6:$J$250,8,FALSE)</f>
        <v>Local Pur</v>
      </c>
      <c r="W186" s="199" t="s">
        <v>894</v>
      </c>
      <c r="X186" s="404">
        <v>29141100</v>
      </c>
      <c r="Y186" s="201" t="str">
        <f>VLOOKUP(X186,'PUR-HSN MASTER'!$A$6:$D$247,2,FALSE)</f>
        <v>Toluene</v>
      </c>
      <c r="Z186" s="201" t="str">
        <f>VLOOKUP(X186,'PUR-HSN MASTER'!$A$6:$D$247,3,FALSE)</f>
        <v>NOS-NUMBERS</v>
      </c>
      <c r="AA186" s="334" t="str">
        <f>VLOOKUP(X186,'PUR-HSN MASTER'!$A$6:$D$247,4,FALSE)</f>
        <v>Goods</v>
      </c>
      <c r="AB186" s="401">
        <v>1100</v>
      </c>
    </row>
    <row r="187" spans="1:28" ht="14.4" x14ac:dyDescent="0.3">
      <c r="A187" s="128" t="s">
        <v>862</v>
      </c>
      <c r="B187" s="199" t="str">
        <f>VLOOKUP(A187,'PUR-PARTY MASTER'!$B$6:$J$250,2,FALSE)</f>
        <v xml:space="preserve">Varroc Engineering Ltd </v>
      </c>
      <c r="C187" s="403">
        <v>2240000406</v>
      </c>
      <c r="D187" s="398">
        <v>43151</v>
      </c>
      <c r="E187" s="329">
        <f t="shared" si="21"/>
        <v>179744.53760000001</v>
      </c>
      <c r="F187" s="199" t="str">
        <f>VLOOKUP(A187,'PUR-PARTY MASTER'!$B$6:$J$250,3,FALSE)</f>
        <v>27-Maharashatra</v>
      </c>
      <c r="G187" s="199" t="str">
        <f>VLOOKUP(A187,'PUR-PARTY MASTER'!$B$6:$J$250,4,FALSE)</f>
        <v>N</v>
      </c>
      <c r="H187" s="199" t="str">
        <f>VLOOKUP(A187,'PUR-PARTY MASTER'!$B$6:$J$250,5,FALSE)</f>
        <v>Regular</v>
      </c>
      <c r="I187" s="199">
        <f>VLOOKUP(A187,'PUR-PARTY MASTER'!$B$6:$J$250,6,FALSE)</f>
        <v>0</v>
      </c>
      <c r="J187" s="201">
        <v>28</v>
      </c>
      <c r="K187" s="400">
        <v>140425.42000000001</v>
      </c>
      <c r="L187" s="202">
        <f t="shared" si="22"/>
        <v>0</v>
      </c>
      <c r="M187" s="202">
        <f t="shared" si="23"/>
        <v>19659.558800000003</v>
      </c>
      <c r="N187" s="202">
        <f t="shared" si="24"/>
        <v>19659.558800000003</v>
      </c>
      <c r="O187" s="8">
        <v>0</v>
      </c>
      <c r="P187" s="341" t="s">
        <v>177</v>
      </c>
      <c r="Q187" s="329">
        <f t="shared" si="25"/>
        <v>0</v>
      </c>
      <c r="R187" s="329">
        <f t="shared" si="26"/>
        <v>19659.558800000003</v>
      </c>
      <c r="S187" s="329">
        <f t="shared" si="27"/>
        <v>19659.558800000003</v>
      </c>
      <c r="T187" s="8">
        <f t="shared" si="28"/>
        <v>0</v>
      </c>
      <c r="U187" s="199">
        <f>VLOOKUP(A187,'PUR-PARTY MASTER'!$B$6:$J$250,7,FALSE)</f>
        <v>2</v>
      </c>
      <c r="V187" s="199" t="str">
        <f>VLOOKUP(A187,'PUR-PARTY MASTER'!$B$6:$J$250,8,FALSE)</f>
        <v>Local Pur</v>
      </c>
      <c r="W187" s="199" t="s">
        <v>897</v>
      </c>
      <c r="X187" s="404">
        <v>87142090</v>
      </c>
      <c r="Y187" s="201" t="str">
        <f>VLOOKUP(X187,'PUR-HSN MASTER'!$A$6:$D$247,2,FALSE)</f>
        <v>Parts &amp; Accessories Of Motor Vehicles Other</v>
      </c>
      <c r="Z187" s="201" t="str">
        <f>VLOOKUP(X187,'PUR-HSN MASTER'!$A$6:$D$247,3,FALSE)</f>
        <v>NOS-NUMBERS</v>
      </c>
      <c r="AA187" s="334" t="str">
        <f>VLOOKUP(X187,'PUR-HSN MASTER'!$A$6:$D$247,4,FALSE)</f>
        <v>Goods</v>
      </c>
      <c r="AB187" s="401">
        <v>4778</v>
      </c>
    </row>
    <row r="188" spans="1:28" ht="14.4" x14ac:dyDescent="0.3">
      <c r="A188" s="128" t="s">
        <v>356</v>
      </c>
      <c r="B188" s="199" t="str">
        <f>VLOOKUP(A188,'PUR-PARTY MASTER'!$B$6:$J$250,2,FALSE)</f>
        <v>Yeshodeep enterpises</v>
      </c>
      <c r="C188" s="403">
        <v>1187</v>
      </c>
      <c r="D188" s="398">
        <v>43141</v>
      </c>
      <c r="E188" s="329">
        <f t="shared" si="21"/>
        <v>4735.8720000000003</v>
      </c>
      <c r="F188" s="199" t="str">
        <f>VLOOKUP(A188,'PUR-PARTY MASTER'!$B$6:$J$250,3,FALSE)</f>
        <v>27-Maharashatra</v>
      </c>
      <c r="G188" s="199" t="str">
        <f>VLOOKUP(A188,'PUR-PARTY MASTER'!$B$6:$J$250,4,FALSE)</f>
        <v>N</v>
      </c>
      <c r="H188" s="199" t="str">
        <f>VLOOKUP(A188,'PUR-PARTY MASTER'!$B$6:$J$250,5,FALSE)</f>
        <v>Regular</v>
      </c>
      <c r="I188" s="199">
        <f>VLOOKUP(A188,'PUR-PARTY MASTER'!$B$6:$J$250,6,FALSE)</f>
        <v>0</v>
      </c>
      <c r="J188" s="201">
        <v>28</v>
      </c>
      <c r="K188" s="400">
        <v>3699.9</v>
      </c>
      <c r="L188" s="202">
        <f t="shared" si="22"/>
        <v>0</v>
      </c>
      <c r="M188" s="202">
        <f t="shared" si="23"/>
        <v>517.9860000000001</v>
      </c>
      <c r="N188" s="202">
        <f t="shared" si="24"/>
        <v>517.9860000000001</v>
      </c>
      <c r="O188" s="8">
        <v>0</v>
      </c>
      <c r="P188" s="341" t="s">
        <v>177</v>
      </c>
      <c r="Q188" s="329">
        <f t="shared" si="25"/>
        <v>0</v>
      </c>
      <c r="R188" s="329">
        <f t="shared" si="26"/>
        <v>517.9860000000001</v>
      </c>
      <c r="S188" s="329">
        <f t="shared" si="27"/>
        <v>517.9860000000001</v>
      </c>
      <c r="T188" s="8">
        <f t="shared" si="28"/>
        <v>0</v>
      </c>
      <c r="U188" s="199">
        <f>VLOOKUP(A188,'PUR-PARTY MASTER'!$B$6:$J$250,7,FALSE)</f>
        <v>2</v>
      </c>
      <c r="V188" s="199" t="str">
        <f>VLOOKUP(A188,'PUR-PARTY MASTER'!$B$6:$J$250,8,FALSE)</f>
        <v>Local Pur</v>
      </c>
      <c r="W188" s="199" t="s">
        <v>897</v>
      </c>
      <c r="X188" s="404">
        <v>3208</v>
      </c>
      <c r="Y188" s="201" t="str">
        <f>VLOOKUP(X188,'PUR-HSN MASTER'!$A$6:$D$247,2,FALSE)</f>
        <v>Misc Chemical Products Thinner</v>
      </c>
      <c r="Z188" s="201" t="str">
        <f>VLOOKUP(X188,'PUR-HSN MASTER'!$A$6:$D$247,3,FALSE)</f>
        <v>NOS-NUMBERS</v>
      </c>
      <c r="AA188" s="334" t="str">
        <f>VLOOKUP(X188,'PUR-HSN MASTER'!$A$6:$D$247,4,FALSE)</f>
        <v>Goods</v>
      </c>
      <c r="AB188" s="401">
        <v>7</v>
      </c>
    </row>
    <row r="189" spans="1:28" ht="14.4" x14ac:dyDescent="0.3">
      <c r="A189" s="128" t="s">
        <v>356</v>
      </c>
      <c r="B189" s="199" t="str">
        <f>VLOOKUP(A189,'PUR-PARTY MASTER'!$B$6:$J$250,2,FALSE)</f>
        <v>Yeshodeep enterpises</v>
      </c>
      <c r="C189" s="403">
        <v>1187</v>
      </c>
      <c r="D189" s="398">
        <v>43141</v>
      </c>
      <c r="E189" s="329">
        <f t="shared" si="21"/>
        <v>6206.7409999999991</v>
      </c>
      <c r="F189" s="199" t="str">
        <f>VLOOKUP(A189,'PUR-PARTY MASTER'!$B$6:$J$250,3,FALSE)</f>
        <v>27-Maharashatra</v>
      </c>
      <c r="G189" s="199" t="str">
        <f>VLOOKUP(A189,'PUR-PARTY MASTER'!$B$6:$J$250,4,FALSE)</f>
        <v>N</v>
      </c>
      <c r="H189" s="199" t="str">
        <f>VLOOKUP(A189,'PUR-PARTY MASTER'!$B$6:$J$250,5,FALSE)</f>
        <v>Regular</v>
      </c>
      <c r="I189" s="199">
        <f>VLOOKUP(A189,'PUR-PARTY MASTER'!$B$6:$J$250,6,FALSE)</f>
        <v>0</v>
      </c>
      <c r="J189" s="201">
        <v>18</v>
      </c>
      <c r="K189" s="400">
        <v>5259.95</v>
      </c>
      <c r="L189" s="202">
        <f t="shared" si="22"/>
        <v>0</v>
      </c>
      <c r="M189" s="202">
        <f t="shared" si="23"/>
        <v>473.39549999999997</v>
      </c>
      <c r="N189" s="202">
        <f t="shared" si="24"/>
        <v>473.39549999999997</v>
      </c>
      <c r="O189" s="8">
        <v>0</v>
      </c>
      <c r="P189" s="341" t="s">
        <v>177</v>
      </c>
      <c r="Q189" s="329">
        <f t="shared" si="25"/>
        <v>0</v>
      </c>
      <c r="R189" s="329">
        <f t="shared" si="26"/>
        <v>473.39549999999997</v>
      </c>
      <c r="S189" s="329">
        <f t="shared" si="27"/>
        <v>473.39549999999997</v>
      </c>
      <c r="T189" s="8">
        <f t="shared" si="28"/>
        <v>0</v>
      </c>
      <c r="U189" s="199">
        <f>VLOOKUP(A189,'PUR-PARTY MASTER'!$B$6:$J$250,7,FALSE)</f>
        <v>2</v>
      </c>
      <c r="V189" s="199" t="str">
        <f>VLOOKUP(A189,'PUR-PARTY MASTER'!$B$6:$J$250,8,FALSE)</f>
        <v>Local Pur</v>
      </c>
      <c r="W189" s="199" t="s">
        <v>894</v>
      </c>
      <c r="X189" s="404">
        <v>3917</v>
      </c>
      <c r="Y189" s="201" t="str">
        <f>VLOOKUP(X189,'PUR-HSN MASTER'!$A$6:$D$247,2,FALSE)</f>
        <v>Tubes Pipes &amp; Hoses</v>
      </c>
      <c r="Z189" s="201" t="str">
        <f>VLOOKUP(X189,'PUR-HSN MASTER'!$A$6:$D$247,3,FALSE)</f>
        <v>NOS-NUMBERS</v>
      </c>
      <c r="AA189" s="334" t="str">
        <f>VLOOKUP(X189,'PUR-HSN MASTER'!$A$6:$D$247,4,FALSE)</f>
        <v>Goods</v>
      </c>
      <c r="AB189" s="401">
        <v>28</v>
      </c>
    </row>
    <row r="190" spans="1:28" ht="14.4" x14ac:dyDescent="0.3">
      <c r="A190" s="128" t="s">
        <v>356</v>
      </c>
      <c r="B190" s="199" t="str">
        <f>VLOOKUP(A190,'PUR-PARTY MASTER'!$B$6:$J$250,2,FALSE)</f>
        <v>Yeshodeep enterpises</v>
      </c>
      <c r="C190" s="403">
        <v>1187</v>
      </c>
      <c r="D190" s="398">
        <v>43141</v>
      </c>
      <c r="E190" s="329">
        <f t="shared" si="21"/>
        <v>2280.114</v>
      </c>
      <c r="F190" s="199" t="str">
        <f>VLOOKUP(A190,'PUR-PARTY MASTER'!$B$6:$J$250,3,FALSE)</f>
        <v>27-Maharashatra</v>
      </c>
      <c r="G190" s="199" t="str">
        <f>VLOOKUP(A190,'PUR-PARTY MASTER'!$B$6:$J$250,4,FALSE)</f>
        <v>N</v>
      </c>
      <c r="H190" s="199" t="str">
        <f>VLOOKUP(A190,'PUR-PARTY MASTER'!$B$6:$J$250,5,FALSE)</f>
        <v>Regular</v>
      </c>
      <c r="I190" s="199">
        <f>VLOOKUP(A190,'PUR-PARTY MASTER'!$B$6:$J$250,6,FALSE)</f>
        <v>0</v>
      </c>
      <c r="J190" s="201">
        <v>18</v>
      </c>
      <c r="K190" s="400">
        <v>1932.3</v>
      </c>
      <c r="L190" s="202">
        <f t="shared" si="22"/>
        <v>0</v>
      </c>
      <c r="M190" s="202">
        <f t="shared" si="23"/>
        <v>173.90699999999998</v>
      </c>
      <c r="N190" s="202">
        <f t="shared" si="24"/>
        <v>173.90699999999998</v>
      </c>
      <c r="O190" s="8">
        <v>0</v>
      </c>
      <c r="P190" s="341" t="s">
        <v>177</v>
      </c>
      <c r="Q190" s="329">
        <f t="shared" si="25"/>
        <v>0</v>
      </c>
      <c r="R190" s="329">
        <f t="shared" si="26"/>
        <v>173.90699999999998</v>
      </c>
      <c r="S190" s="329">
        <f t="shared" si="27"/>
        <v>173.90699999999998</v>
      </c>
      <c r="T190" s="8">
        <f t="shared" si="28"/>
        <v>0</v>
      </c>
      <c r="U190" s="199">
        <f>VLOOKUP(A190,'PUR-PARTY MASTER'!$B$6:$J$250,7,FALSE)</f>
        <v>2</v>
      </c>
      <c r="V190" s="199" t="str">
        <f>VLOOKUP(A190,'PUR-PARTY MASTER'!$B$6:$J$250,8,FALSE)</f>
        <v>Local Pur</v>
      </c>
      <c r="W190" s="199" t="s">
        <v>894</v>
      </c>
      <c r="X190" s="404" t="s">
        <v>606</v>
      </c>
      <c r="Y190" s="201" t="str">
        <f>VLOOKUP(X190,'PUR-HSN MASTER'!$A$6:$D$247,2,FALSE)</f>
        <v>Sealed Beam Lamp Units</v>
      </c>
      <c r="Z190" s="201" t="str">
        <f>VLOOKUP(X190,'PUR-HSN MASTER'!$A$6:$D$247,3,FALSE)</f>
        <v>NOS-NUMBERS</v>
      </c>
      <c r="AA190" s="334" t="str">
        <f>VLOOKUP(X190,'PUR-HSN MASTER'!$A$6:$D$247,4,FALSE)</f>
        <v>Goods</v>
      </c>
      <c r="AB190" s="401">
        <v>12</v>
      </c>
    </row>
    <row r="191" spans="1:28" ht="14.4" x14ac:dyDescent="0.3">
      <c r="A191" s="128" t="s">
        <v>356</v>
      </c>
      <c r="B191" s="199" t="str">
        <f>VLOOKUP(A191,'PUR-PARTY MASTER'!$B$6:$J$250,2,FALSE)</f>
        <v>Yeshodeep enterpises</v>
      </c>
      <c r="C191" s="403">
        <v>1187</v>
      </c>
      <c r="D191" s="398">
        <v>43141</v>
      </c>
      <c r="E191" s="329">
        <f t="shared" si="21"/>
        <v>144.0898</v>
      </c>
      <c r="F191" s="199" t="str">
        <f>VLOOKUP(A191,'PUR-PARTY MASTER'!$B$6:$J$250,3,FALSE)</f>
        <v>27-Maharashatra</v>
      </c>
      <c r="G191" s="199" t="str">
        <f>VLOOKUP(A191,'PUR-PARTY MASTER'!$B$6:$J$250,4,FALSE)</f>
        <v>N</v>
      </c>
      <c r="H191" s="199" t="str">
        <f>VLOOKUP(A191,'PUR-PARTY MASTER'!$B$6:$J$250,5,FALSE)</f>
        <v>Regular</v>
      </c>
      <c r="I191" s="199">
        <f>VLOOKUP(A191,'PUR-PARTY MASTER'!$B$6:$J$250,6,FALSE)</f>
        <v>0</v>
      </c>
      <c r="J191" s="201">
        <v>18</v>
      </c>
      <c r="K191" s="400">
        <v>122.11</v>
      </c>
      <c r="L191" s="202">
        <f t="shared" si="22"/>
        <v>0</v>
      </c>
      <c r="M191" s="202">
        <f t="shared" si="23"/>
        <v>10.989899999999999</v>
      </c>
      <c r="N191" s="202">
        <f t="shared" si="24"/>
        <v>10.989899999999999</v>
      </c>
      <c r="O191" s="8">
        <v>0</v>
      </c>
      <c r="P191" s="341" t="s">
        <v>177</v>
      </c>
      <c r="Q191" s="329">
        <f t="shared" si="25"/>
        <v>0</v>
      </c>
      <c r="R191" s="329">
        <f t="shared" si="26"/>
        <v>10.989899999999999</v>
      </c>
      <c r="S191" s="329">
        <f t="shared" si="27"/>
        <v>10.989899999999999</v>
      </c>
      <c r="T191" s="8">
        <f t="shared" si="28"/>
        <v>0</v>
      </c>
      <c r="U191" s="199">
        <f>VLOOKUP(A191,'PUR-PARTY MASTER'!$B$6:$J$250,7,FALSE)</f>
        <v>2</v>
      </c>
      <c r="V191" s="199" t="str">
        <f>VLOOKUP(A191,'PUR-PARTY MASTER'!$B$6:$J$250,8,FALSE)</f>
        <v>Local Pur</v>
      </c>
      <c r="W191" s="199" t="s">
        <v>894</v>
      </c>
      <c r="X191" s="404">
        <v>8546</v>
      </c>
      <c r="Y191" s="201" t="str">
        <f>VLOOKUP(X191,'PUR-HSN MASTER'!$A$6:$D$247,2,FALSE)</f>
        <v>Tape</v>
      </c>
      <c r="Z191" s="201" t="str">
        <f>VLOOKUP(X191,'PUR-HSN MASTER'!$A$6:$D$247,3,FALSE)</f>
        <v>NOS-NUMBERS</v>
      </c>
      <c r="AA191" s="334" t="str">
        <f>VLOOKUP(X191,'PUR-HSN MASTER'!$A$6:$D$247,4,FALSE)</f>
        <v>Goods</v>
      </c>
      <c r="AB191" s="401">
        <v>12</v>
      </c>
    </row>
    <row r="192" spans="1:28" ht="14.4" x14ac:dyDescent="0.3">
      <c r="A192" s="128" t="s">
        <v>356</v>
      </c>
      <c r="B192" s="199" t="str">
        <f>VLOOKUP(A192,'PUR-PARTY MASTER'!$B$6:$J$250,2,FALSE)</f>
        <v>Yeshodeep enterpises</v>
      </c>
      <c r="C192" s="403">
        <v>1187</v>
      </c>
      <c r="D192" s="398">
        <v>43141</v>
      </c>
      <c r="E192" s="329">
        <f t="shared" si="21"/>
        <v>141.60000000000002</v>
      </c>
      <c r="F192" s="199" t="str">
        <f>VLOOKUP(A192,'PUR-PARTY MASTER'!$B$6:$J$250,3,FALSE)</f>
        <v>27-Maharashatra</v>
      </c>
      <c r="G192" s="199" t="str">
        <f>VLOOKUP(A192,'PUR-PARTY MASTER'!$B$6:$J$250,4,FALSE)</f>
        <v>N</v>
      </c>
      <c r="H192" s="199" t="str">
        <f>VLOOKUP(A192,'PUR-PARTY MASTER'!$B$6:$J$250,5,FALSE)</f>
        <v>Regular</v>
      </c>
      <c r="I192" s="199">
        <f>VLOOKUP(A192,'PUR-PARTY MASTER'!$B$6:$J$250,6,FALSE)</f>
        <v>0</v>
      </c>
      <c r="J192" s="201">
        <v>18</v>
      </c>
      <c r="K192" s="400">
        <v>120</v>
      </c>
      <c r="L192" s="202">
        <f t="shared" si="22"/>
        <v>0</v>
      </c>
      <c r="M192" s="202">
        <f t="shared" si="23"/>
        <v>10.799999999999999</v>
      </c>
      <c r="N192" s="202">
        <f t="shared" si="24"/>
        <v>10.799999999999999</v>
      </c>
      <c r="O192" s="8">
        <v>0</v>
      </c>
      <c r="P192" s="341" t="s">
        <v>177</v>
      </c>
      <c r="Q192" s="329">
        <f t="shared" si="25"/>
        <v>0</v>
      </c>
      <c r="R192" s="329">
        <f t="shared" si="26"/>
        <v>10.799999999999999</v>
      </c>
      <c r="S192" s="329">
        <f t="shared" si="27"/>
        <v>10.799999999999999</v>
      </c>
      <c r="T192" s="8">
        <f t="shared" si="28"/>
        <v>0</v>
      </c>
      <c r="U192" s="199">
        <f>VLOOKUP(A192,'PUR-PARTY MASTER'!$B$6:$J$250,7,FALSE)</f>
        <v>2</v>
      </c>
      <c r="V192" s="199" t="str">
        <f>VLOOKUP(A192,'PUR-PARTY MASTER'!$B$6:$J$250,8,FALSE)</f>
        <v>Local Pur</v>
      </c>
      <c r="W192" s="199" t="s">
        <v>894</v>
      </c>
      <c r="X192" s="404" t="s">
        <v>524</v>
      </c>
      <c r="Y192" s="201" t="str">
        <f>VLOOKUP(X192,'PUR-HSN MASTER'!$A$6:$D$247,2,FALSE)</f>
        <v>Pipe  Fittings</v>
      </c>
      <c r="Z192" s="201" t="str">
        <f>VLOOKUP(X192,'PUR-HSN MASTER'!$A$6:$D$247,3,FALSE)</f>
        <v>NOS-NUMBERS</v>
      </c>
      <c r="AA192" s="334" t="str">
        <f>VLOOKUP(X192,'PUR-HSN MASTER'!$A$6:$D$247,4,FALSE)</f>
        <v>Goods</v>
      </c>
      <c r="AB192" s="401">
        <v>4</v>
      </c>
    </row>
    <row r="193" spans="1:28" ht="14.4" x14ac:dyDescent="0.3">
      <c r="A193" s="128" t="s">
        <v>356</v>
      </c>
      <c r="B193" s="199" t="str">
        <f>VLOOKUP(A193,'PUR-PARTY MASTER'!$B$6:$J$250,2,FALSE)</f>
        <v>Yeshodeep enterpises</v>
      </c>
      <c r="C193" s="403">
        <v>1187</v>
      </c>
      <c r="D193" s="398">
        <v>43141</v>
      </c>
      <c r="E193" s="329">
        <f t="shared" si="21"/>
        <v>560.35839999999996</v>
      </c>
      <c r="F193" s="199" t="str">
        <f>VLOOKUP(A193,'PUR-PARTY MASTER'!$B$6:$J$250,3,FALSE)</f>
        <v>27-Maharashatra</v>
      </c>
      <c r="G193" s="199" t="str">
        <f>VLOOKUP(A193,'PUR-PARTY MASTER'!$B$6:$J$250,4,FALSE)</f>
        <v>N</v>
      </c>
      <c r="H193" s="199" t="str">
        <f>VLOOKUP(A193,'PUR-PARTY MASTER'!$B$6:$J$250,5,FALSE)</f>
        <v>Regular</v>
      </c>
      <c r="I193" s="199">
        <f>VLOOKUP(A193,'PUR-PARTY MASTER'!$B$6:$J$250,6,FALSE)</f>
        <v>0</v>
      </c>
      <c r="J193" s="201">
        <v>18</v>
      </c>
      <c r="K193" s="400">
        <v>474.88</v>
      </c>
      <c r="L193" s="202">
        <f t="shared" si="22"/>
        <v>0</v>
      </c>
      <c r="M193" s="202">
        <f t="shared" si="23"/>
        <v>42.739199999999997</v>
      </c>
      <c r="N193" s="202">
        <f t="shared" si="24"/>
        <v>42.739199999999997</v>
      </c>
      <c r="O193" s="8">
        <v>0</v>
      </c>
      <c r="P193" s="341" t="s">
        <v>177</v>
      </c>
      <c r="Q193" s="329">
        <f t="shared" si="25"/>
        <v>0</v>
      </c>
      <c r="R193" s="329">
        <f t="shared" si="26"/>
        <v>42.739199999999997</v>
      </c>
      <c r="S193" s="329">
        <f t="shared" si="27"/>
        <v>42.739199999999997</v>
      </c>
      <c r="T193" s="8">
        <f t="shared" si="28"/>
        <v>0</v>
      </c>
      <c r="U193" s="199">
        <f>VLOOKUP(A193,'PUR-PARTY MASTER'!$B$6:$J$250,7,FALSE)</f>
        <v>2</v>
      </c>
      <c r="V193" s="199" t="str">
        <f>VLOOKUP(A193,'PUR-PARTY MASTER'!$B$6:$J$250,8,FALSE)</f>
        <v>Local Pur</v>
      </c>
      <c r="W193" s="199" t="s">
        <v>894</v>
      </c>
      <c r="X193" s="404">
        <v>3506</v>
      </c>
      <c r="Y193" s="201" t="str">
        <f>VLOOKUP(X193,'PUR-HSN MASTER'!$A$6:$D$247,2,FALSE)</f>
        <v>Casein, Albumin, Gelatin, Enzymes</v>
      </c>
      <c r="Z193" s="201" t="str">
        <f>VLOOKUP(X193,'PUR-HSN MASTER'!$A$6:$D$247,3,FALSE)</f>
        <v>NOS-NUMBERS</v>
      </c>
      <c r="AA193" s="334" t="str">
        <f>VLOOKUP(X193,'PUR-HSN MASTER'!$A$6:$D$247,4,FALSE)</f>
        <v>Goods</v>
      </c>
      <c r="AB193" s="401">
        <v>2</v>
      </c>
    </row>
    <row r="194" spans="1:28" ht="14.4" x14ac:dyDescent="0.3">
      <c r="A194" s="128" t="s">
        <v>356</v>
      </c>
      <c r="B194" s="199" t="str">
        <f>VLOOKUP(A194,'PUR-PARTY MASTER'!$B$6:$J$250,2,FALSE)</f>
        <v>Yeshodeep enterpises</v>
      </c>
      <c r="C194" s="403">
        <v>1187</v>
      </c>
      <c r="D194" s="398">
        <v>43141</v>
      </c>
      <c r="E194" s="329">
        <f t="shared" si="21"/>
        <v>14.16</v>
      </c>
      <c r="F194" s="199" t="str">
        <f>VLOOKUP(A194,'PUR-PARTY MASTER'!$B$6:$J$250,3,FALSE)</f>
        <v>27-Maharashatra</v>
      </c>
      <c r="G194" s="199" t="str">
        <f>VLOOKUP(A194,'PUR-PARTY MASTER'!$B$6:$J$250,4,FALSE)</f>
        <v>N</v>
      </c>
      <c r="H194" s="199" t="str">
        <f>VLOOKUP(A194,'PUR-PARTY MASTER'!$B$6:$J$250,5,FALSE)</f>
        <v>Regular</v>
      </c>
      <c r="I194" s="199">
        <f>VLOOKUP(A194,'PUR-PARTY MASTER'!$B$6:$J$250,6,FALSE)</f>
        <v>0</v>
      </c>
      <c r="J194" s="201">
        <v>18</v>
      </c>
      <c r="K194" s="400">
        <v>12</v>
      </c>
      <c r="L194" s="202">
        <f t="shared" si="22"/>
        <v>0</v>
      </c>
      <c r="M194" s="202">
        <f t="shared" si="23"/>
        <v>1.08</v>
      </c>
      <c r="N194" s="202">
        <f t="shared" si="24"/>
        <v>1.08</v>
      </c>
      <c r="O194" s="8">
        <v>0</v>
      </c>
      <c r="P194" s="341" t="s">
        <v>177</v>
      </c>
      <c r="Q194" s="329">
        <f t="shared" si="25"/>
        <v>0</v>
      </c>
      <c r="R194" s="329">
        <f t="shared" si="26"/>
        <v>1.08</v>
      </c>
      <c r="S194" s="329">
        <f t="shared" si="27"/>
        <v>1.08</v>
      </c>
      <c r="T194" s="8">
        <f t="shared" si="28"/>
        <v>0</v>
      </c>
      <c r="U194" s="199">
        <f>VLOOKUP(A194,'PUR-PARTY MASTER'!$B$6:$J$250,7,FALSE)</f>
        <v>2</v>
      </c>
      <c r="V194" s="199" t="str">
        <f>VLOOKUP(A194,'PUR-PARTY MASTER'!$B$6:$J$250,8,FALSE)</f>
        <v>Local Pur</v>
      </c>
      <c r="W194" s="199" t="s">
        <v>894</v>
      </c>
      <c r="X194" s="404">
        <v>7318</v>
      </c>
      <c r="Y194" s="201" t="str">
        <f>VLOOKUP(X194,'PUR-HSN MASTER'!$A$6:$D$247,2,FALSE)</f>
        <v>including spring washers</v>
      </c>
      <c r="Z194" s="201" t="str">
        <f>VLOOKUP(X194,'PUR-HSN MASTER'!$A$6:$D$247,3,FALSE)</f>
        <v>NOS-NUMBERS</v>
      </c>
      <c r="AA194" s="334" t="str">
        <f>VLOOKUP(X194,'PUR-HSN MASTER'!$A$6:$D$247,4,FALSE)</f>
        <v>Goods</v>
      </c>
      <c r="AB194" s="401">
        <v>2</v>
      </c>
    </row>
    <row r="195" spans="1:28" ht="14.4" x14ac:dyDescent="0.3">
      <c r="A195" s="128" t="s">
        <v>356</v>
      </c>
      <c r="B195" s="199" t="str">
        <f>VLOOKUP(A195,'PUR-PARTY MASTER'!$B$6:$J$250,2,FALSE)</f>
        <v>Yeshodeep enterpises</v>
      </c>
      <c r="C195" s="403">
        <v>1187</v>
      </c>
      <c r="D195" s="398">
        <v>43141</v>
      </c>
      <c r="E195" s="329">
        <f t="shared" si="21"/>
        <v>41.3</v>
      </c>
      <c r="F195" s="199" t="str">
        <f>VLOOKUP(A195,'PUR-PARTY MASTER'!$B$6:$J$250,3,FALSE)</f>
        <v>27-Maharashatra</v>
      </c>
      <c r="G195" s="199" t="str">
        <f>VLOOKUP(A195,'PUR-PARTY MASTER'!$B$6:$J$250,4,FALSE)</f>
        <v>N</v>
      </c>
      <c r="H195" s="199" t="str">
        <f>VLOOKUP(A195,'PUR-PARTY MASTER'!$B$6:$J$250,5,FALSE)</f>
        <v>Regular</v>
      </c>
      <c r="I195" s="199">
        <f>VLOOKUP(A195,'PUR-PARTY MASTER'!$B$6:$J$250,6,FALSE)</f>
        <v>0</v>
      </c>
      <c r="J195" s="201">
        <v>18</v>
      </c>
      <c r="K195" s="400">
        <v>35</v>
      </c>
      <c r="L195" s="202">
        <f t="shared" si="22"/>
        <v>0</v>
      </c>
      <c r="M195" s="202">
        <f t="shared" si="23"/>
        <v>3.15</v>
      </c>
      <c r="N195" s="202">
        <f t="shared" si="24"/>
        <v>3.15</v>
      </c>
      <c r="O195" s="8">
        <v>0</v>
      </c>
      <c r="P195" s="341" t="s">
        <v>177</v>
      </c>
      <c r="Q195" s="329">
        <f t="shared" si="25"/>
        <v>0</v>
      </c>
      <c r="R195" s="329">
        <f t="shared" si="26"/>
        <v>3.15</v>
      </c>
      <c r="S195" s="329">
        <f t="shared" si="27"/>
        <v>3.15</v>
      </c>
      <c r="T195" s="8">
        <f t="shared" si="28"/>
        <v>0</v>
      </c>
      <c r="U195" s="199">
        <f>VLOOKUP(A195,'PUR-PARTY MASTER'!$B$6:$J$250,7,FALSE)</f>
        <v>2</v>
      </c>
      <c r="V195" s="199" t="str">
        <f>VLOOKUP(A195,'PUR-PARTY MASTER'!$B$6:$J$250,8,FALSE)</f>
        <v>Local Pur</v>
      </c>
      <c r="W195" s="199" t="s">
        <v>894</v>
      </c>
      <c r="X195" s="404" t="s">
        <v>522</v>
      </c>
      <c r="Y195" s="201" t="str">
        <f>VLOOKUP(X195,'PUR-HSN MASTER'!$A$6:$D$247,2,FALSE)</f>
        <v>Nails-KGS</v>
      </c>
      <c r="Z195" s="201" t="str">
        <f>VLOOKUP(X195,'PUR-HSN MASTER'!$A$6:$D$247,3,FALSE)</f>
        <v xml:space="preserve">KGS-KILOGRAMS </v>
      </c>
      <c r="AA195" s="334" t="str">
        <f>VLOOKUP(X195,'PUR-HSN MASTER'!$A$6:$D$247,4,FALSE)</f>
        <v>Goods</v>
      </c>
      <c r="AB195" s="401">
        <v>0.5</v>
      </c>
    </row>
    <row r="196" spans="1:28" ht="14.4" x14ac:dyDescent="0.3">
      <c r="A196" s="128" t="s">
        <v>356</v>
      </c>
      <c r="B196" s="199" t="str">
        <f>VLOOKUP(A196,'PUR-PARTY MASTER'!$B$6:$J$250,2,FALSE)</f>
        <v>Yeshodeep enterpises</v>
      </c>
      <c r="C196" s="403">
        <v>1187</v>
      </c>
      <c r="D196" s="398">
        <v>43141</v>
      </c>
      <c r="E196" s="329">
        <f t="shared" si="21"/>
        <v>460.20000000000005</v>
      </c>
      <c r="F196" s="199" t="str">
        <f>VLOOKUP(A196,'PUR-PARTY MASTER'!$B$6:$J$250,3,FALSE)</f>
        <v>27-Maharashatra</v>
      </c>
      <c r="G196" s="199" t="str">
        <f>VLOOKUP(A196,'PUR-PARTY MASTER'!$B$6:$J$250,4,FALSE)</f>
        <v>N</v>
      </c>
      <c r="H196" s="199" t="str">
        <f>VLOOKUP(A196,'PUR-PARTY MASTER'!$B$6:$J$250,5,FALSE)</f>
        <v>Regular</v>
      </c>
      <c r="I196" s="199">
        <f>VLOOKUP(A196,'PUR-PARTY MASTER'!$B$6:$J$250,6,FALSE)</f>
        <v>0</v>
      </c>
      <c r="J196" s="201">
        <v>18</v>
      </c>
      <c r="K196" s="400">
        <v>390</v>
      </c>
      <c r="L196" s="202">
        <f t="shared" si="22"/>
        <v>0</v>
      </c>
      <c r="M196" s="202">
        <f t="shared" si="23"/>
        <v>35.1</v>
      </c>
      <c r="N196" s="202">
        <f t="shared" si="24"/>
        <v>35.1</v>
      </c>
      <c r="O196" s="8">
        <v>0</v>
      </c>
      <c r="P196" s="341" t="s">
        <v>177</v>
      </c>
      <c r="Q196" s="329">
        <f t="shared" si="25"/>
        <v>0</v>
      </c>
      <c r="R196" s="329">
        <f t="shared" si="26"/>
        <v>35.1</v>
      </c>
      <c r="S196" s="329">
        <f t="shared" si="27"/>
        <v>35.1</v>
      </c>
      <c r="T196" s="8">
        <f t="shared" si="28"/>
        <v>0</v>
      </c>
      <c r="U196" s="199">
        <f>VLOOKUP(A196,'PUR-PARTY MASTER'!$B$6:$J$250,7,FALSE)</f>
        <v>2</v>
      </c>
      <c r="V196" s="199" t="str">
        <f>VLOOKUP(A196,'PUR-PARTY MASTER'!$B$6:$J$250,8,FALSE)</f>
        <v>Local Pur</v>
      </c>
      <c r="W196" s="199" t="s">
        <v>894</v>
      </c>
      <c r="X196" s="404">
        <v>9603</v>
      </c>
      <c r="Y196" s="201" t="str">
        <f>VLOOKUP(X196,'PUR-HSN MASTER'!$A$6:$D$247,2,FALSE)</f>
        <v>Brushes</v>
      </c>
      <c r="Z196" s="201" t="str">
        <f>VLOOKUP(X196,'PUR-HSN MASTER'!$A$6:$D$247,3,FALSE)</f>
        <v>NOS-NUMBERS</v>
      </c>
      <c r="AA196" s="334" t="str">
        <f>VLOOKUP(X196,'PUR-HSN MASTER'!$A$6:$D$247,4,FALSE)</f>
        <v>Goods</v>
      </c>
      <c r="AB196" s="401">
        <v>9</v>
      </c>
    </row>
    <row r="197" spans="1:28" ht="14.4" x14ac:dyDescent="0.3">
      <c r="A197" s="128" t="s">
        <v>356</v>
      </c>
      <c r="B197" s="199" t="str">
        <f>VLOOKUP(A197,'PUR-PARTY MASTER'!$B$6:$J$250,2,FALSE)</f>
        <v>Yeshodeep enterpises</v>
      </c>
      <c r="C197" s="403">
        <v>1187</v>
      </c>
      <c r="D197" s="398">
        <v>43141</v>
      </c>
      <c r="E197" s="329">
        <f t="shared" si="21"/>
        <v>442.5</v>
      </c>
      <c r="F197" s="199" t="str">
        <f>VLOOKUP(A197,'PUR-PARTY MASTER'!$B$6:$J$250,3,FALSE)</f>
        <v>27-Maharashatra</v>
      </c>
      <c r="G197" s="199" t="str">
        <f>VLOOKUP(A197,'PUR-PARTY MASTER'!$B$6:$J$250,4,FALSE)</f>
        <v>N</v>
      </c>
      <c r="H197" s="199" t="str">
        <f>VLOOKUP(A197,'PUR-PARTY MASTER'!$B$6:$J$250,5,FALSE)</f>
        <v>Regular</v>
      </c>
      <c r="I197" s="199">
        <f>VLOOKUP(A197,'PUR-PARTY MASTER'!$B$6:$J$250,6,FALSE)</f>
        <v>0</v>
      </c>
      <c r="J197" s="201">
        <v>18</v>
      </c>
      <c r="K197" s="400">
        <v>375</v>
      </c>
      <c r="L197" s="202">
        <f t="shared" si="22"/>
        <v>0</v>
      </c>
      <c r="M197" s="202">
        <f t="shared" si="23"/>
        <v>33.75</v>
      </c>
      <c r="N197" s="202">
        <f t="shared" si="24"/>
        <v>33.75</v>
      </c>
      <c r="O197" s="8">
        <v>0</v>
      </c>
      <c r="P197" s="341" t="s">
        <v>177</v>
      </c>
      <c r="Q197" s="329">
        <f t="shared" si="25"/>
        <v>0</v>
      </c>
      <c r="R197" s="329">
        <f t="shared" si="26"/>
        <v>33.75</v>
      </c>
      <c r="S197" s="329">
        <f t="shared" si="27"/>
        <v>33.75</v>
      </c>
      <c r="T197" s="8">
        <f t="shared" si="28"/>
        <v>0</v>
      </c>
      <c r="U197" s="199">
        <f>VLOOKUP(A197,'PUR-PARTY MASTER'!$B$6:$J$250,7,FALSE)</f>
        <v>2</v>
      </c>
      <c r="V197" s="199" t="str">
        <f>VLOOKUP(A197,'PUR-PARTY MASTER'!$B$6:$J$250,8,FALSE)</f>
        <v>Local Pur</v>
      </c>
      <c r="W197" s="199" t="s">
        <v>894</v>
      </c>
      <c r="X197" s="404" t="s">
        <v>549</v>
      </c>
      <c r="Y197" s="201" t="str">
        <f>VLOOKUP(X197,'PUR-HSN MASTER'!$A$6:$D$247,2,FALSE)</f>
        <v>Misc Chemical Products Thinner</v>
      </c>
      <c r="Z197" s="201" t="str">
        <f>VLOOKUP(X197,'PUR-HSN MASTER'!$A$6:$D$247,3,FALSE)</f>
        <v>KLR-KILOLITRE</v>
      </c>
      <c r="AA197" s="334" t="str">
        <f>VLOOKUP(X197,'PUR-HSN MASTER'!$A$6:$D$247,4,FALSE)</f>
        <v>Goods</v>
      </c>
      <c r="AB197" s="401">
        <v>5</v>
      </c>
    </row>
    <row r="198" spans="1:28" ht="14.4" x14ac:dyDescent="0.3">
      <c r="A198" s="128" t="s">
        <v>356</v>
      </c>
      <c r="B198" s="199" t="str">
        <f>VLOOKUP(A198,'PUR-PARTY MASTER'!$B$6:$J$250,2,FALSE)</f>
        <v>Yeshodeep enterpises</v>
      </c>
      <c r="C198" s="403">
        <v>1187</v>
      </c>
      <c r="D198" s="398">
        <v>43141</v>
      </c>
      <c r="E198" s="329">
        <f t="shared" si="21"/>
        <v>94.5</v>
      </c>
      <c r="F198" s="199" t="str">
        <f>VLOOKUP(A198,'PUR-PARTY MASTER'!$B$6:$J$250,3,FALSE)</f>
        <v>27-Maharashatra</v>
      </c>
      <c r="G198" s="199" t="str">
        <f>VLOOKUP(A198,'PUR-PARTY MASTER'!$B$6:$J$250,4,FALSE)</f>
        <v>N</v>
      </c>
      <c r="H198" s="199" t="str">
        <f>VLOOKUP(A198,'PUR-PARTY MASTER'!$B$6:$J$250,5,FALSE)</f>
        <v>Regular</v>
      </c>
      <c r="I198" s="199">
        <f>VLOOKUP(A198,'PUR-PARTY MASTER'!$B$6:$J$250,6,FALSE)</f>
        <v>0</v>
      </c>
      <c r="J198" s="201">
        <v>5</v>
      </c>
      <c r="K198" s="400">
        <v>90</v>
      </c>
      <c r="L198" s="202">
        <f t="shared" si="22"/>
        <v>0</v>
      </c>
      <c r="M198" s="202">
        <f t="shared" si="23"/>
        <v>2.25</v>
      </c>
      <c r="N198" s="202">
        <f t="shared" si="24"/>
        <v>2.25</v>
      </c>
      <c r="O198" s="8">
        <v>0</v>
      </c>
      <c r="P198" s="341" t="s">
        <v>177</v>
      </c>
      <c r="Q198" s="329">
        <f t="shared" si="25"/>
        <v>0</v>
      </c>
      <c r="R198" s="329">
        <f t="shared" si="26"/>
        <v>2.25</v>
      </c>
      <c r="S198" s="329">
        <f t="shared" si="27"/>
        <v>2.25</v>
      </c>
      <c r="T198" s="8">
        <f t="shared" si="28"/>
        <v>0</v>
      </c>
      <c r="U198" s="199">
        <f>VLOOKUP(A198,'PUR-PARTY MASTER'!$B$6:$J$250,7,FALSE)</f>
        <v>2</v>
      </c>
      <c r="V198" s="199" t="str">
        <f>VLOOKUP(A198,'PUR-PARTY MASTER'!$B$6:$J$250,8,FALSE)</f>
        <v>Local Pur</v>
      </c>
      <c r="W198" s="199" t="s">
        <v>898</v>
      </c>
      <c r="X198" s="404">
        <v>2520</v>
      </c>
      <c r="Y198" s="201" t="str">
        <f>VLOOKUP(X198,'PUR-HSN MASTER'!$A$6:$D$247,2,FALSE)</f>
        <v>pop</v>
      </c>
      <c r="Z198" s="201" t="str">
        <f>VLOOKUP(X198,'PUR-HSN MASTER'!$A$6:$D$247,3,FALSE)</f>
        <v>NOS-NUMBERS</v>
      </c>
      <c r="AA198" s="334" t="str">
        <f>VLOOKUP(X198,'PUR-HSN MASTER'!$A$6:$D$247,4,FALSE)</f>
        <v>Goods</v>
      </c>
      <c r="AB198" s="401">
        <v>1</v>
      </c>
    </row>
    <row r="199" spans="1:28" ht="14.4" x14ac:dyDescent="0.3">
      <c r="A199" s="128" t="s">
        <v>870</v>
      </c>
      <c r="B199" s="199" t="str">
        <f>VLOOKUP(A199,'PUR-PARTY MASTER'!$B$6:$J$250,2,FALSE)</f>
        <v>Bajaj Automobiles</v>
      </c>
      <c r="C199" s="403" t="s">
        <v>1422</v>
      </c>
      <c r="D199" s="398">
        <v>43151</v>
      </c>
      <c r="E199" s="329">
        <f t="shared" si="21"/>
        <v>4602</v>
      </c>
      <c r="F199" s="199" t="str">
        <f>VLOOKUP(A199,'PUR-PARTY MASTER'!$B$6:$J$250,3,FALSE)</f>
        <v>27-Maharashatra</v>
      </c>
      <c r="G199" s="199" t="str">
        <f>VLOOKUP(A199,'PUR-PARTY MASTER'!$B$6:$J$250,4,FALSE)</f>
        <v>N</v>
      </c>
      <c r="H199" s="199" t="str">
        <f>VLOOKUP(A199,'PUR-PARTY MASTER'!$B$6:$J$250,5,FALSE)</f>
        <v>Regular</v>
      </c>
      <c r="I199" s="199">
        <f>VLOOKUP(A199,'PUR-PARTY MASTER'!$B$6:$J$250,6,FALSE)</f>
        <v>0</v>
      </c>
      <c r="J199" s="201">
        <v>18</v>
      </c>
      <c r="K199" s="400">
        <v>3900</v>
      </c>
      <c r="L199" s="202">
        <f t="shared" si="22"/>
        <v>0</v>
      </c>
      <c r="M199" s="202">
        <f t="shared" si="23"/>
        <v>351</v>
      </c>
      <c r="N199" s="202">
        <f t="shared" si="24"/>
        <v>351</v>
      </c>
      <c r="O199" s="8">
        <v>0</v>
      </c>
      <c r="P199" s="341" t="s">
        <v>177</v>
      </c>
      <c r="Q199" s="329">
        <f t="shared" si="25"/>
        <v>0</v>
      </c>
      <c r="R199" s="329">
        <f t="shared" si="26"/>
        <v>351</v>
      </c>
      <c r="S199" s="329">
        <f t="shared" si="27"/>
        <v>351</v>
      </c>
      <c r="T199" s="8">
        <f t="shared" si="28"/>
        <v>0</v>
      </c>
      <c r="U199" s="199">
        <f>VLOOKUP(A199,'PUR-PARTY MASTER'!$B$6:$J$250,7,FALSE)</f>
        <v>2</v>
      </c>
      <c r="V199" s="199" t="str">
        <f>VLOOKUP(A199,'PUR-PARTY MASTER'!$B$6:$J$250,8,FALSE)</f>
        <v>Local Pur</v>
      </c>
      <c r="W199" s="199" t="s">
        <v>894</v>
      </c>
      <c r="X199" s="404" t="s">
        <v>883</v>
      </c>
      <c r="Y199" s="201" t="str">
        <f>VLOOKUP(X199,'PUR-HSN MASTER'!$A$6:$D$247,2,FALSE)</f>
        <v>Petroleum Oils and Oils</v>
      </c>
      <c r="Z199" s="201" t="str">
        <f>VLOOKUP(X199,'PUR-HSN MASTER'!$A$6:$D$247,3,FALSE)</f>
        <v>NOS-NUMBERS</v>
      </c>
      <c r="AA199" s="334" t="str">
        <f>VLOOKUP(X199,'PUR-HSN MASTER'!$A$6:$D$247,4,FALSE)</f>
        <v>Goods</v>
      </c>
      <c r="AB199" s="401">
        <v>60</v>
      </c>
    </row>
    <row r="200" spans="1:28" ht="14.4" x14ac:dyDescent="0.3">
      <c r="A200" s="128" t="s">
        <v>377</v>
      </c>
      <c r="B200" s="199" t="str">
        <f>VLOOKUP(A200,'PUR-PARTY MASTER'!$B$6:$J$250,2,FALSE)</f>
        <v>Akzo Noble India Limited</v>
      </c>
      <c r="C200" s="403" t="s">
        <v>1423</v>
      </c>
      <c r="D200" s="398">
        <v>43150</v>
      </c>
      <c r="E200" s="329">
        <f t="shared" ref="E200:E263" si="29">+K200+L200+M200+N200+O200</f>
        <v>34560</v>
      </c>
      <c r="F200" s="199" t="str">
        <f>VLOOKUP(A200,'PUR-PARTY MASTER'!$B$6:$J$250,3,FALSE)</f>
        <v>27-Maharashatra</v>
      </c>
      <c r="G200" s="199" t="str">
        <f>VLOOKUP(A200,'PUR-PARTY MASTER'!$B$6:$J$250,4,FALSE)</f>
        <v>N</v>
      </c>
      <c r="H200" s="199" t="str">
        <f>VLOOKUP(A200,'PUR-PARTY MASTER'!$B$6:$J$250,5,FALSE)</f>
        <v>Regular</v>
      </c>
      <c r="I200" s="199">
        <f>VLOOKUP(A200,'PUR-PARTY MASTER'!$B$6:$J$250,6,FALSE)</f>
        <v>0</v>
      </c>
      <c r="J200" s="201">
        <v>28</v>
      </c>
      <c r="K200" s="400">
        <v>27000</v>
      </c>
      <c r="L200" s="202">
        <f t="shared" ref="L200:L263" si="30">+IF(U200=1,0,IF(M200=0,J200*K200/100,0))</f>
        <v>0</v>
      </c>
      <c r="M200" s="202">
        <f t="shared" ref="M200:M263" si="31">+IF(U200=1,0,IF(V200="Local Pur",IF(J200=18,K200*0.09,IF(J200=12,K200*0.06,IF(J200=5,K200*0.025,IF(J200=28,K200*0.14,IF(J200=3,K200*0.015,0))))),0))</f>
        <v>3780.0000000000005</v>
      </c>
      <c r="N200" s="202">
        <f t="shared" ref="N200:N263" si="32">+IF(O200=1,0,IF(V200="Local Pur",IF(J200=18,K200*0.09,IF(J200=12,K200*0.06,IF(J200=5,K200*0.025,IF(J200=28,K200*0.14,IF(J200=3,K200*0.015,0))))),0))</f>
        <v>3780.0000000000005</v>
      </c>
      <c r="O200" s="8">
        <v>0</v>
      </c>
      <c r="P200" s="341" t="s">
        <v>177</v>
      </c>
      <c r="Q200" s="329">
        <f t="shared" ref="Q200:Q263" si="33">+L200</f>
        <v>0</v>
      </c>
      <c r="R200" s="329">
        <f t="shared" ref="R200:R263" si="34">+M200</f>
        <v>3780.0000000000005</v>
      </c>
      <c r="S200" s="329">
        <f t="shared" ref="S200:S263" si="35">+N200</f>
        <v>3780.0000000000005</v>
      </c>
      <c r="T200" s="8">
        <f t="shared" ref="T200:T263" si="36">+O200</f>
        <v>0</v>
      </c>
      <c r="U200" s="199">
        <f>VLOOKUP(A200,'PUR-PARTY MASTER'!$B$6:$J$250,7,FALSE)</f>
        <v>2</v>
      </c>
      <c r="V200" s="199" t="str">
        <f>VLOOKUP(A200,'PUR-PARTY MASTER'!$B$6:$J$250,8,FALSE)</f>
        <v>Local Pur</v>
      </c>
      <c r="W200" s="199" t="s">
        <v>897</v>
      </c>
      <c r="X200" s="404">
        <v>3907</v>
      </c>
      <c r="Y200" s="201" t="str">
        <f>VLOOKUP(X200,'PUR-HSN MASTER'!$A$6:$D$247,2,FALSE)</f>
        <v>OTHERS ( PAINT &amp; VARNISHES)</v>
      </c>
      <c r="Z200" s="201" t="str">
        <f>VLOOKUP(X200,'PUR-HSN MASTER'!$A$6:$D$247,3,FALSE)</f>
        <v>NOS-NUMBERS</v>
      </c>
      <c r="AA200" s="334" t="str">
        <f>VLOOKUP(X200,'PUR-HSN MASTER'!$A$6:$D$247,4,FALSE)</f>
        <v>Goods</v>
      </c>
      <c r="AB200" s="401">
        <v>36</v>
      </c>
    </row>
    <row r="201" spans="1:28" ht="14.4" x14ac:dyDescent="0.3">
      <c r="A201" s="128" t="s">
        <v>969</v>
      </c>
      <c r="B201" s="199" t="str">
        <f>VLOOKUP(A201,'PUR-PARTY MASTER'!$B$6:$J$250,2,FALSE)</f>
        <v>Membrane Filers (India) Pvt.Ltd</v>
      </c>
      <c r="C201" s="403" t="s">
        <v>1424</v>
      </c>
      <c r="D201" s="398">
        <v>43143</v>
      </c>
      <c r="E201" s="329">
        <f t="shared" si="29"/>
        <v>11800</v>
      </c>
      <c r="F201" s="199" t="str">
        <f>VLOOKUP(A201,'PUR-PARTY MASTER'!$B$6:$J$250,3,FALSE)</f>
        <v>27-Maharashatra</v>
      </c>
      <c r="G201" s="199" t="str">
        <f>VLOOKUP(A201,'PUR-PARTY MASTER'!$B$6:$J$250,4,FALSE)</f>
        <v>N</v>
      </c>
      <c r="H201" s="199" t="str">
        <f>VLOOKUP(A201,'PUR-PARTY MASTER'!$B$6:$J$250,5,FALSE)</f>
        <v>Regular</v>
      </c>
      <c r="I201" s="199">
        <f>VLOOKUP(A201,'PUR-PARTY MASTER'!$B$6:$J$250,6,FALSE)</f>
        <v>0</v>
      </c>
      <c r="J201" s="201">
        <v>18</v>
      </c>
      <c r="K201" s="400">
        <v>10000</v>
      </c>
      <c r="L201" s="202">
        <f t="shared" si="30"/>
        <v>0</v>
      </c>
      <c r="M201" s="202">
        <f t="shared" si="31"/>
        <v>900</v>
      </c>
      <c r="N201" s="202">
        <f t="shared" si="32"/>
        <v>900</v>
      </c>
      <c r="O201" s="8">
        <v>0</v>
      </c>
      <c r="P201" s="341" t="s">
        <v>177</v>
      </c>
      <c r="Q201" s="329">
        <f t="shared" si="33"/>
        <v>0</v>
      </c>
      <c r="R201" s="329">
        <f t="shared" si="34"/>
        <v>900</v>
      </c>
      <c r="S201" s="329">
        <f t="shared" si="35"/>
        <v>900</v>
      </c>
      <c r="T201" s="8">
        <f t="shared" si="36"/>
        <v>0</v>
      </c>
      <c r="U201" s="199">
        <f>VLOOKUP(A201,'PUR-PARTY MASTER'!$B$6:$J$250,7,FALSE)</f>
        <v>2</v>
      </c>
      <c r="V201" s="199" t="str">
        <f>VLOOKUP(A201,'PUR-PARTY MASTER'!$B$6:$J$250,8,FALSE)</f>
        <v>Local Pur</v>
      </c>
      <c r="W201" s="199" t="s">
        <v>894</v>
      </c>
      <c r="X201" s="404">
        <v>8421</v>
      </c>
      <c r="Y201" s="201" t="str">
        <f>VLOOKUP(X201,'PUR-HSN MASTER'!$A$6:$D$247,2,FALSE)</f>
        <v>Parts &amp; Accessories Of Motor Vehicles Other</v>
      </c>
      <c r="Z201" s="201" t="str">
        <f>VLOOKUP(X201,'PUR-HSN MASTER'!$A$6:$D$247,3,FALSE)</f>
        <v>NOS-NUMBERS</v>
      </c>
      <c r="AA201" s="334" t="str">
        <f>VLOOKUP(X201,'PUR-HSN MASTER'!$A$6:$D$247,4,FALSE)</f>
        <v>Goods</v>
      </c>
      <c r="AB201" s="401">
        <v>100</v>
      </c>
    </row>
    <row r="202" spans="1:28" ht="14.4" x14ac:dyDescent="0.3">
      <c r="A202" s="128" t="s">
        <v>862</v>
      </c>
      <c r="B202" s="199" t="str">
        <f>VLOOKUP(A202,'PUR-PARTY MASTER'!$B$6:$J$250,2,FALSE)</f>
        <v xml:space="preserve">Varroc Engineering Ltd </v>
      </c>
      <c r="C202" s="403">
        <v>2240000405</v>
      </c>
      <c r="D202" s="398">
        <v>43151</v>
      </c>
      <c r="E202" s="329">
        <f t="shared" si="29"/>
        <v>78577.920000000013</v>
      </c>
      <c r="F202" s="199" t="str">
        <f>VLOOKUP(A202,'PUR-PARTY MASTER'!$B$6:$J$250,3,FALSE)</f>
        <v>27-Maharashatra</v>
      </c>
      <c r="G202" s="199" t="str">
        <f>VLOOKUP(A202,'PUR-PARTY MASTER'!$B$6:$J$250,4,FALSE)</f>
        <v>N</v>
      </c>
      <c r="H202" s="199" t="str">
        <f>VLOOKUP(A202,'PUR-PARTY MASTER'!$B$6:$J$250,5,FALSE)</f>
        <v>Regular</v>
      </c>
      <c r="I202" s="199">
        <f>VLOOKUP(A202,'PUR-PARTY MASTER'!$B$6:$J$250,6,FALSE)</f>
        <v>0</v>
      </c>
      <c r="J202" s="201">
        <v>28</v>
      </c>
      <c r="K202" s="400">
        <v>61389</v>
      </c>
      <c r="L202" s="202">
        <f t="shared" si="30"/>
        <v>0</v>
      </c>
      <c r="M202" s="202">
        <f t="shared" si="31"/>
        <v>8594.4600000000009</v>
      </c>
      <c r="N202" s="202">
        <f t="shared" si="32"/>
        <v>8594.4600000000009</v>
      </c>
      <c r="O202" s="8">
        <v>0</v>
      </c>
      <c r="P202" s="341" t="s">
        <v>177</v>
      </c>
      <c r="Q202" s="329">
        <f t="shared" si="33"/>
        <v>0</v>
      </c>
      <c r="R202" s="329">
        <f t="shared" si="34"/>
        <v>8594.4600000000009</v>
      </c>
      <c r="S202" s="329">
        <f t="shared" si="35"/>
        <v>8594.4600000000009</v>
      </c>
      <c r="T202" s="8">
        <f t="shared" si="36"/>
        <v>0</v>
      </c>
      <c r="U202" s="199">
        <f>VLOOKUP(A202,'PUR-PARTY MASTER'!$B$6:$J$250,7,FALSE)</f>
        <v>2</v>
      </c>
      <c r="V202" s="199" t="str">
        <f>VLOOKUP(A202,'PUR-PARTY MASTER'!$B$6:$J$250,8,FALSE)</f>
        <v>Local Pur</v>
      </c>
      <c r="W202" s="199" t="s">
        <v>897</v>
      </c>
      <c r="X202" s="404">
        <v>87142090</v>
      </c>
      <c r="Y202" s="201" t="str">
        <f>VLOOKUP(X202,'PUR-HSN MASTER'!$A$6:$D$247,2,FALSE)</f>
        <v>Parts &amp; Accessories Of Motor Vehicles Other</v>
      </c>
      <c r="Z202" s="201" t="str">
        <f>VLOOKUP(X202,'PUR-HSN MASTER'!$A$6:$D$247,3,FALSE)</f>
        <v>NOS-NUMBERS</v>
      </c>
      <c r="AA202" s="334" t="str">
        <f>VLOOKUP(X202,'PUR-HSN MASTER'!$A$6:$D$247,4,FALSE)</f>
        <v>Goods</v>
      </c>
      <c r="AB202" s="401">
        <v>7180</v>
      </c>
    </row>
    <row r="203" spans="1:28" ht="14.4" x14ac:dyDescent="0.3">
      <c r="A203" s="128" t="s">
        <v>335</v>
      </c>
      <c r="B203" s="199" t="str">
        <f>VLOOKUP(A203,'PUR-PARTY MASTER'!$B$6:$J$250,2,FALSE)</f>
        <v>Atharva Polymers Pvt Ltd,</v>
      </c>
      <c r="C203" s="403" t="s">
        <v>1425</v>
      </c>
      <c r="D203" s="398">
        <v>43151</v>
      </c>
      <c r="E203" s="329">
        <f t="shared" si="29"/>
        <v>62132.73599999999</v>
      </c>
      <c r="F203" s="199" t="str">
        <f>VLOOKUP(A203,'PUR-PARTY MASTER'!$B$6:$J$250,3,FALSE)</f>
        <v>27-Maharashatra</v>
      </c>
      <c r="G203" s="199" t="str">
        <f>VLOOKUP(A203,'PUR-PARTY MASTER'!$B$6:$J$250,4,FALSE)</f>
        <v>N</v>
      </c>
      <c r="H203" s="199" t="str">
        <f>VLOOKUP(A203,'PUR-PARTY MASTER'!$B$6:$J$250,5,FALSE)</f>
        <v>Regular</v>
      </c>
      <c r="I203" s="199">
        <f>VLOOKUP(A203,'PUR-PARTY MASTER'!$B$6:$J$250,6,FALSE)</f>
        <v>0</v>
      </c>
      <c r="J203" s="201">
        <v>28</v>
      </c>
      <c r="K203" s="400">
        <f>48421.5+119.7</f>
        <v>48541.2</v>
      </c>
      <c r="L203" s="202">
        <f t="shared" si="30"/>
        <v>0</v>
      </c>
      <c r="M203" s="202">
        <f t="shared" si="31"/>
        <v>6795.768</v>
      </c>
      <c r="N203" s="202">
        <f t="shared" si="32"/>
        <v>6795.768</v>
      </c>
      <c r="O203" s="8">
        <v>0</v>
      </c>
      <c r="P203" s="341" t="s">
        <v>177</v>
      </c>
      <c r="Q203" s="329">
        <f t="shared" si="33"/>
        <v>0</v>
      </c>
      <c r="R203" s="329">
        <f t="shared" si="34"/>
        <v>6795.768</v>
      </c>
      <c r="S203" s="329">
        <f t="shared" si="35"/>
        <v>6795.768</v>
      </c>
      <c r="T203" s="8">
        <f t="shared" si="36"/>
        <v>0</v>
      </c>
      <c r="U203" s="199">
        <f>VLOOKUP(A203,'PUR-PARTY MASTER'!$B$6:$J$250,7,FALSE)</f>
        <v>2</v>
      </c>
      <c r="V203" s="199" t="str">
        <f>VLOOKUP(A203,'PUR-PARTY MASTER'!$B$6:$J$250,8,FALSE)</f>
        <v>Local Pur</v>
      </c>
      <c r="W203" s="199" t="s">
        <v>897</v>
      </c>
      <c r="X203" s="404">
        <v>87141900</v>
      </c>
      <c r="Y203" s="201" t="str">
        <f>VLOOKUP(X203,'PUR-HSN MASTER'!$A$6:$D$247,2,FALSE)</f>
        <v>Parts &amp; Accessories Of Motor Vehicles Other</v>
      </c>
      <c r="Z203" s="201" t="str">
        <f>VLOOKUP(X203,'PUR-HSN MASTER'!$A$6:$D$247,3,FALSE)</f>
        <v>KLR-KILOLITRE</v>
      </c>
      <c r="AA203" s="334" t="str">
        <f>VLOOKUP(X203,'PUR-HSN MASTER'!$A$6:$D$247,4,FALSE)</f>
        <v>Goods</v>
      </c>
      <c r="AB203" s="401">
        <v>1140</v>
      </c>
    </row>
    <row r="204" spans="1:28" ht="14.4" x14ac:dyDescent="0.3">
      <c r="A204" s="128" t="s">
        <v>862</v>
      </c>
      <c r="B204" s="199" t="str">
        <f>VLOOKUP(A204,'PUR-PARTY MASTER'!$B$6:$J$250,2,FALSE)</f>
        <v xml:space="preserve">Varroc Engineering Ltd </v>
      </c>
      <c r="C204" s="403">
        <v>2240000553</v>
      </c>
      <c r="D204" s="398">
        <v>43152</v>
      </c>
      <c r="E204" s="329">
        <f t="shared" si="29"/>
        <v>27085.823999999997</v>
      </c>
      <c r="F204" s="199" t="str">
        <f>VLOOKUP(A204,'PUR-PARTY MASTER'!$B$6:$J$250,3,FALSE)</f>
        <v>27-Maharashatra</v>
      </c>
      <c r="G204" s="199" t="str">
        <f>VLOOKUP(A204,'PUR-PARTY MASTER'!$B$6:$J$250,4,FALSE)</f>
        <v>N</v>
      </c>
      <c r="H204" s="199" t="str">
        <f>VLOOKUP(A204,'PUR-PARTY MASTER'!$B$6:$J$250,5,FALSE)</f>
        <v>Regular</v>
      </c>
      <c r="I204" s="199">
        <f>VLOOKUP(A204,'PUR-PARTY MASTER'!$B$6:$J$250,6,FALSE)</f>
        <v>0</v>
      </c>
      <c r="J204" s="201">
        <v>28</v>
      </c>
      <c r="K204" s="400">
        <v>21160.799999999999</v>
      </c>
      <c r="L204" s="202">
        <f t="shared" si="30"/>
        <v>0</v>
      </c>
      <c r="M204" s="202">
        <f t="shared" si="31"/>
        <v>2962.5120000000002</v>
      </c>
      <c r="N204" s="202">
        <f t="shared" si="32"/>
        <v>2962.5120000000002</v>
      </c>
      <c r="O204" s="8">
        <v>0</v>
      </c>
      <c r="P204" s="341" t="s">
        <v>177</v>
      </c>
      <c r="Q204" s="329">
        <f t="shared" si="33"/>
        <v>0</v>
      </c>
      <c r="R204" s="329">
        <f t="shared" si="34"/>
        <v>2962.5120000000002</v>
      </c>
      <c r="S204" s="329">
        <f t="shared" si="35"/>
        <v>2962.5120000000002</v>
      </c>
      <c r="T204" s="8">
        <f t="shared" si="36"/>
        <v>0</v>
      </c>
      <c r="U204" s="199">
        <f>VLOOKUP(A204,'PUR-PARTY MASTER'!$B$6:$J$250,7,FALSE)</f>
        <v>2</v>
      </c>
      <c r="V204" s="199" t="str">
        <f>VLOOKUP(A204,'PUR-PARTY MASTER'!$B$6:$J$250,8,FALSE)</f>
        <v>Local Pur</v>
      </c>
      <c r="W204" s="199" t="s">
        <v>897</v>
      </c>
      <c r="X204" s="404">
        <v>87142090</v>
      </c>
      <c r="Y204" s="201" t="str">
        <f>VLOOKUP(X204,'PUR-HSN MASTER'!$A$6:$D$247,2,FALSE)</f>
        <v>Parts &amp; Accessories Of Motor Vehicles Other</v>
      </c>
      <c r="Z204" s="201" t="str">
        <f>VLOOKUP(X204,'PUR-HSN MASTER'!$A$6:$D$247,3,FALSE)</f>
        <v>NOS-NUMBERS</v>
      </c>
      <c r="AA204" s="334" t="str">
        <f>VLOOKUP(X204,'PUR-HSN MASTER'!$A$6:$D$247,4,FALSE)</f>
        <v>Goods</v>
      </c>
      <c r="AB204" s="401">
        <v>720</v>
      </c>
    </row>
    <row r="205" spans="1:28" ht="14.4" x14ac:dyDescent="0.3">
      <c r="A205" s="128" t="s">
        <v>333</v>
      </c>
      <c r="B205" s="199" t="str">
        <f>VLOOKUP(A205,'PUR-PARTY MASTER'!$B$6:$J$250,2,FALSE)</f>
        <v>Aditya Enteprises</v>
      </c>
      <c r="C205" s="403">
        <v>4866</v>
      </c>
      <c r="D205" s="398">
        <v>43152</v>
      </c>
      <c r="E205" s="329">
        <f t="shared" si="29"/>
        <v>1356.4099999999999</v>
      </c>
      <c r="F205" s="199" t="str">
        <f>VLOOKUP(A205,'PUR-PARTY MASTER'!$B$6:$J$250,3,FALSE)</f>
        <v>27-Maharashatra</v>
      </c>
      <c r="G205" s="199" t="str">
        <f>VLOOKUP(A205,'PUR-PARTY MASTER'!$B$6:$J$250,4,FALSE)</f>
        <v>N</v>
      </c>
      <c r="H205" s="199" t="str">
        <f>VLOOKUP(A205,'PUR-PARTY MASTER'!$B$6:$J$250,5,FALSE)</f>
        <v>Regular</v>
      </c>
      <c r="I205" s="199">
        <f>VLOOKUP(A205,'PUR-PARTY MASTER'!$B$6:$J$250,6,FALSE)</f>
        <v>0</v>
      </c>
      <c r="J205" s="201">
        <v>18</v>
      </c>
      <c r="K205" s="400">
        <v>1149.5</v>
      </c>
      <c r="L205" s="202">
        <f t="shared" si="30"/>
        <v>0</v>
      </c>
      <c r="M205" s="202">
        <f t="shared" si="31"/>
        <v>103.455</v>
      </c>
      <c r="N205" s="202">
        <f t="shared" si="32"/>
        <v>103.455</v>
      </c>
      <c r="O205" s="8">
        <v>0</v>
      </c>
      <c r="P205" s="341" t="s">
        <v>177</v>
      </c>
      <c r="Q205" s="329">
        <f t="shared" si="33"/>
        <v>0</v>
      </c>
      <c r="R205" s="329">
        <f t="shared" si="34"/>
        <v>103.455</v>
      </c>
      <c r="S205" s="329">
        <f t="shared" si="35"/>
        <v>103.455</v>
      </c>
      <c r="T205" s="8">
        <f t="shared" si="36"/>
        <v>0</v>
      </c>
      <c r="U205" s="199">
        <f>VLOOKUP(A205,'PUR-PARTY MASTER'!$B$6:$J$250,7,FALSE)</f>
        <v>2</v>
      </c>
      <c r="V205" s="199" t="str">
        <f>VLOOKUP(A205,'PUR-PARTY MASTER'!$B$6:$J$250,8,FALSE)</f>
        <v>Local Pur</v>
      </c>
      <c r="W205" s="199" t="s">
        <v>894</v>
      </c>
      <c r="X205" s="404">
        <v>85129000</v>
      </c>
      <c r="Y205" s="201" t="str">
        <f>VLOOKUP(X205,'PUR-HSN MASTER'!$A$6:$D$247,2,FALSE)</f>
        <v>Lighting &amp; Fitting</v>
      </c>
      <c r="Z205" s="201" t="str">
        <f>VLOOKUP(X205,'PUR-HSN MASTER'!$A$6:$D$247,3,FALSE)</f>
        <v>NOS-NUMBERS</v>
      </c>
      <c r="AA205" s="334" t="str">
        <f>VLOOKUP(X205,'PUR-HSN MASTER'!$A$6:$D$247,4,FALSE)</f>
        <v>Goods</v>
      </c>
      <c r="AB205" s="401">
        <v>50</v>
      </c>
    </row>
    <row r="206" spans="1:28" ht="14.4" x14ac:dyDescent="0.3">
      <c r="A206" s="128" t="s">
        <v>377</v>
      </c>
      <c r="B206" s="199" t="str">
        <f>VLOOKUP(A206,'PUR-PARTY MASTER'!$B$6:$J$250,2,FALSE)</f>
        <v>Akzo Noble India Limited</v>
      </c>
      <c r="C206" s="403" t="s">
        <v>1426</v>
      </c>
      <c r="D206" s="398">
        <v>43151</v>
      </c>
      <c r="E206" s="329">
        <f t="shared" si="29"/>
        <v>5033.8799999999992</v>
      </c>
      <c r="F206" s="199" t="str">
        <f>VLOOKUP(A206,'PUR-PARTY MASTER'!$B$6:$J$250,3,FALSE)</f>
        <v>27-Maharashatra</v>
      </c>
      <c r="G206" s="199" t="str">
        <f>VLOOKUP(A206,'PUR-PARTY MASTER'!$B$6:$J$250,4,FALSE)</f>
        <v>N</v>
      </c>
      <c r="H206" s="199" t="str">
        <f>VLOOKUP(A206,'PUR-PARTY MASTER'!$B$6:$J$250,5,FALSE)</f>
        <v>Regular</v>
      </c>
      <c r="I206" s="199">
        <f>VLOOKUP(A206,'PUR-PARTY MASTER'!$B$6:$J$250,6,FALSE)</f>
        <v>0</v>
      </c>
      <c r="J206" s="201">
        <v>18</v>
      </c>
      <c r="K206" s="400">
        <v>4266</v>
      </c>
      <c r="L206" s="202">
        <f t="shared" si="30"/>
        <v>0</v>
      </c>
      <c r="M206" s="202">
        <f t="shared" si="31"/>
        <v>383.94</v>
      </c>
      <c r="N206" s="202">
        <f t="shared" si="32"/>
        <v>383.94</v>
      </c>
      <c r="O206" s="8">
        <v>0</v>
      </c>
      <c r="P206" s="341" t="s">
        <v>177</v>
      </c>
      <c r="Q206" s="329">
        <f t="shared" si="33"/>
        <v>0</v>
      </c>
      <c r="R206" s="329">
        <f t="shared" si="34"/>
        <v>383.94</v>
      </c>
      <c r="S206" s="329">
        <f t="shared" si="35"/>
        <v>383.94</v>
      </c>
      <c r="T206" s="8">
        <f t="shared" si="36"/>
        <v>0</v>
      </c>
      <c r="U206" s="199">
        <f>VLOOKUP(A206,'PUR-PARTY MASTER'!$B$6:$J$250,7,FALSE)</f>
        <v>2</v>
      </c>
      <c r="V206" s="199" t="str">
        <f>VLOOKUP(A206,'PUR-PARTY MASTER'!$B$6:$J$250,8,FALSE)</f>
        <v>Local Pur</v>
      </c>
      <c r="W206" s="199" t="s">
        <v>894</v>
      </c>
      <c r="X206" s="404">
        <v>3824</v>
      </c>
      <c r="Y206" s="201" t="str">
        <f>VLOOKUP(X206,'PUR-HSN MASTER'!$A$6:$D$247,2,FALSE)</f>
        <v>chemical products and </v>
      </c>
      <c r="Z206" s="201" t="str">
        <f>VLOOKUP(X206,'PUR-HSN MASTER'!$A$6:$D$247,3,FALSE)</f>
        <v>NOS-NUMBERS</v>
      </c>
      <c r="AA206" s="334" t="str">
        <f>VLOOKUP(X206,'PUR-HSN MASTER'!$A$6:$D$247,4,FALSE)</f>
        <v>Goods</v>
      </c>
      <c r="AB206" s="401">
        <v>6</v>
      </c>
    </row>
    <row r="207" spans="1:28" ht="14.4" x14ac:dyDescent="0.3">
      <c r="A207" s="128" t="s">
        <v>874</v>
      </c>
      <c r="B207" s="199" t="str">
        <f>VLOOKUP(A207,'PUR-PARTY MASTER'!$B$6:$J$250,2,FALSE)</f>
        <v>Gayatri Aqua Solutions</v>
      </c>
      <c r="C207" s="403" t="s">
        <v>1427</v>
      </c>
      <c r="D207" s="398">
        <v>43150</v>
      </c>
      <c r="E207" s="329">
        <f t="shared" si="29"/>
        <v>101444.57640000001</v>
      </c>
      <c r="F207" s="199" t="str">
        <f>VLOOKUP(A207,'PUR-PARTY MASTER'!$B$6:$J$250,3,FALSE)</f>
        <v>27-Maharashatra</v>
      </c>
      <c r="G207" s="199" t="str">
        <f>VLOOKUP(A207,'PUR-PARTY MASTER'!$B$6:$J$250,4,FALSE)</f>
        <v>N</v>
      </c>
      <c r="H207" s="199" t="str">
        <f>VLOOKUP(A207,'PUR-PARTY MASTER'!$B$6:$J$250,5,FALSE)</f>
        <v>Regular</v>
      </c>
      <c r="I207" s="199">
        <f>VLOOKUP(A207,'PUR-PARTY MASTER'!$B$6:$J$250,6,FALSE)</f>
        <v>0</v>
      </c>
      <c r="J207" s="201">
        <v>18</v>
      </c>
      <c r="K207" s="400">
        <v>85969.98</v>
      </c>
      <c r="L207" s="202">
        <f t="shared" si="30"/>
        <v>0</v>
      </c>
      <c r="M207" s="202">
        <f t="shared" si="31"/>
        <v>7737.2981999999993</v>
      </c>
      <c r="N207" s="202">
        <f t="shared" si="32"/>
        <v>7737.2981999999993</v>
      </c>
      <c r="O207" s="8">
        <v>0</v>
      </c>
      <c r="P207" s="341" t="s">
        <v>177</v>
      </c>
      <c r="Q207" s="329">
        <f t="shared" si="33"/>
        <v>0</v>
      </c>
      <c r="R207" s="329">
        <f t="shared" si="34"/>
        <v>7737.2981999999993</v>
      </c>
      <c r="S207" s="329">
        <f t="shared" si="35"/>
        <v>7737.2981999999993</v>
      </c>
      <c r="T207" s="8">
        <f t="shared" si="36"/>
        <v>0</v>
      </c>
      <c r="U207" s="199">
        <f>VLOOKUP(A207,'PUR-PARTY MASTER'!$B$6:$J$250,7,FALSE)</f>
        <v>2</v>
      </c>
      <c r="V207" s="199" t="str">
        <f>VLOOKUP(A207,'PUR-PARTY MASTER'!$B$6:$J$250,8,FALSE)</f>
        <v>Local Pur</v>
      </c>
      <c r="W207" s="199" t="s">
        <v>894</v>
      </c>
      <c r="X207" s="404">
        <v>3917</v>
      </c>
      <c r="Y207" s="201" t="str">
        <f>VLOOKUP(X207,'PUR-HSN MASTER'!$A$6:$D$247,2,FALSE)</f>
        <v>Tubes Pipes &amp; Hoses</v>
      </c>
      <c r="Z207" s="201" t="str">
        <f>VLOOKUP(X207,'PUR-HSN MASTER'!$A$6:$D$247,3,FALSE)</f>
        <v>NOS-NUMBERS</v>
      </c>
      <c r="AA207" s="334" t="str">
        <f>VLOOKUP(X207,'PUR-HSN MASTER'!$A$6:$D$247,4,FALSE)</f>
        <v>Goods</v>
      </c>
      <c r="AB207" s="401">
        <v>513</v>
      </c>
    </row>
    <row r="208" spans="1:28" ht="14.4" x14ac:dyDescent="0.3">
      <c r="A208" s="128" t="s">
        <v>874</v>
      </c>
      <c r="B208" s="199" t="str">
        <f>VLOOKUP(A208,'PUR-PARTY MASTER'!$B$6:$J$250,2,FALSE)</f>
        <v>Gayatri Aqua Solutions</v>
      </c>
      <c r="C208" s="403" t="s">
        <v>1427</v>
      </c>
      <c r="D208" s="398">
        <v>43150</v>
      </c>
      <c r="E208" s="329">
        <f t="shared" si="29"/>
        <v>1770</v>
      </c>
      <c r="F208" s="199" t="str">
        <f>VLOOKUP(A208,'PUR-PARTY MASTER'!$B$6:$J$250,3,FALSE)</f>
        <v>27-Maharashatra</v>
      </c>
      <c r="G208" s="199" t="str">
        <f>VLOOKUP(A208,'PUR-PARTY MASTER'!$B$6:$J$250,4,FALSE)</f>
        <v>N</v>
      </c>
      <c r="H208" s="199" t="str">
        <f>VLOOKUP(A208,'PUR-PARTY MASTER'!$B$6:$J$250,5,FALSE)</f>
        <v>Regular</v>
      </c>
      <c r="I208" s="199">
        <f>VLOOKUP(A208,'PUR-PARTY MASTER'!$B$6:$J$250,6,FALSE)</f>
        <v>0</v>
      </c>
      <c r="J208" s="201">
        <v>18</v>
      </c>
      <c r="K208" s="400">
        <v>1500</v>
      </c>
      <c r="L208" s="202">
        <f t="shared" si="30"/>
        <v>0</v>
      </c>
      <c r="M208" s="202">
        <f t="shared" si="31"/>
        <v>135</v>
      </c>
      <c r="N208" s="202">
        <f t="shared" si="32"/>
        <v>135</v>
      </c>
      <c r="O208" s="8">
        <v>0</v>
      </c>
      <c r="P208" s="341" t="s">
        <v>177</v>
      </c>
      <c r="Q208" s="329">
        <f t="shared" si="33"/>
        <v>0</v>
      </c>
      <c r="R208" s="329">
        <f t="shared" si="34"/>
        <v>135</v>
      </c>
      <c r="S208" s="329">
        <f t="shared" si="35"/>
        <v>135</v>
      </c>
      <c r="T208" s="8">
        <f t="shared" si="36"/>
        <v>0</v>
      </c>
      <c r="U208" s="199">
        <f>VLOOKUP(A208,'PUR-PARTY MASTER'!$B$6:$J$250,7,FALSE)</f>
        <v>2</v>
      </c>
      <c r="V208" s="199" t="str">
        <f>VLOOKUP(A208,'PUR-PARTY MASTER'!$B$6:$J$250,8,FALSE)</f>
        <v>Local Pur</v>
      </c>
      <c r="W208" s="199" t="s">
        <v>894</v>
      </c>
      <c r="X208" s="404">
        <v>996519</v>
      </c>
      <c r="Y208" s="201" t="str">
        <f>VLOOKUP(X208,'PUR-HSN MASTER'!$A$6:$D$247,2,FALSE)</f>
        <v>Transportation Of Goods By Road</v>
      </c>
      <c r="Z208" s="201" t="str">
        <f>VLOOKUP(X208,'PUR-HSN MASTER'!$A$6:$D$247,3,FALSE)</f>
        <v>NOS-NUMBERS</v>
      </c>
      <c r="AA208" s="334" t="str">
        <f>VLOOKUP(X208,'PUR-HSN MASTER'!$A$6:$D$247,4,FALSE)</f>
        <v>Services</v>
      </c>
      <c r="AB208" s="401">
        <v>1</v>
      </c>
    </row>
    <row r="209" spans="1:28" ht="14.4" x14ac:dyDescent="0.3">
      <c r="A209" s="128" t="s">
        <v>965</v>
      </c>
      <c r="B209" s="199" t="str">
        <f>VLOOKUP(A209,'PUR-PARTY MASTER'!$B$6:$J$250,2,FALSE)</f>
        <v>Proton Power Control Pvt.Ltd</v>
      </c>
      <c r="C209" s="403">
        <v>2486</v>
      </c>
      <c r="D209" s="398">
        <v>43148</v>
      </c>
      <c r="E209" s="329">
        <f t="shared" si="29"/>
        <v>14784</v>
      </c>
      <c r="F209" s="199" t="str">
        <f>VLOOKUP(A209,'PUR-PARTY MASTER'!$B$6:$J$250,3,FALSE)</f>
        <v>27-Maharashatra</v>
      </c>
      <c r="G209" s="199" t="str">
        <f>VLOOKUP(A209,'PUR-PARTY MASTER'!$B$6:$J$250,4,FALSE)</f>
        <v>N</v>
      </c>
      <c r="H209" s="199" t="str">
        <f>VLOOKUP(A209,'PUR-PARTY MASTER'!$B$6:$J$250,5,FALSE)</f>
        <v>Regular</v>
      </c>
      <c r="I209" s="199">
        <f>VLOOKUP(A209,'PUR-PARTY MASTER'!$B$6:$J$250,6,FALSE)</f>
        <v>0</v>
      </c>
      <c r="J209" s="201">
        <v>12</v>
      </c>
      <c r="K209" s="400">
        <v>13200</v>
      </c>
      <c r="L209" s="202">
        <f t="shared" si="30"/>
        <v>0</v>
      </c>
      <c r="M209" s="202">
        <f t="shared" si="31"/>
        <v>792</v>
      </c>
      <c r="N209" s="202">
        <f t="shared" si="32"/>
        <v>792</v>
      </c>
      <c r="O209" s="8">
        <v>0</v>
      </c>
      <c r="P209" s="341" t="s">
        <v>177</v>
      </c>
      <c r="Q209" s="329">
        <f t="shared" si="33"/>
        <v>0</v>
      </c>
      <c r="R209" s="329">
        <f t="shared" si="34"/>
        <v>792</v>
      </c>
      <c r="S209" s="329">
        <f t="shared" si="35"/>
        <v>792</v>
      </c>
      <c r="T209" s="8">
        <f t="shared" si="36"/>
        <v>0</v>
      </c>
      <c r="U209" s="199">
        <f>VLOOKUP(A209,'PUR-PARTY MASTER'!$B$6:$J$250,7,FALSE)</f>
        <v>2</v>
      </c>
      <c r="V209" s="199" t="str">
        <f>VLOOKUP(A209,'PUR-PARTY MASTER'!$B$6:$J$250,8,FALSE)</f>
        <v>Local Pur</v>
      </c>
      <c r="W209" s="199" t="s">
        <v>902</v>
      </c>
      <c r="X209" s="404" t="s">
        <v>887</v>
      </c>
      <c r="Y209" s="201" t="str">
        <f>VLOOKUP(X209,'PUR-HSN MASTER'!$A$6:$D$247,2,FALSE)</f>
        <v>Led Lights</v>
      </c>
      <c r="Z209" s="201" t="str">
        <f>VLOOKUP(X209,'PUR-HSN MASTER'!$A$6:$D$247,3,FALSE)</f>
        <v>NOS-NUMBERS</v>
      </c>
      <c r="AA209" s="334" t="str">
        <f>VLOOKUP(X209,'PUR-HSN MASTER'!$A$6:$D$247,4,FALSE)</f>
        <v>Goods</v>
      </c>
      <c r="AB209" s="401">
        <v>12</v>
      </c>
    </row>
    <row r="210" spans="1:28" ht="14.4" x14ac:dyDescent="0.3">
      <c r="A210" s="128" t="s">
        <v>23</v>
      </c>
      <c r="B210" s="199" t="str">
        <f>VLOOKUP(A210,'PUR-PARTY MASTER'!$B$6:$J$250,2,FALSE)</f>
        <v>Varroc Polymers Pvt Ltd,</v>
      </c>
      <c r="C210" s="403">
        <v>2041074538</v>
      </c>
      <c r="D210" s="398">
        <v>43152</v>
      </c>
      <c r="E210" s="329">
        <f t="shared" si="29"/>
        <v>1749.12</v>
      </c>
      <c r="F210" s="199" t="str">
        <f>VLOOKUP(A210,'PUR-PARTY MASTER'!$B$6:$J$250,3,FALSE)</f>
        <v>27-Maharashatra</v>
      </c>
      <c r="G210" s="199" t="str">
        <f>VLOOKUP(A210,'PUR-PARTY MASTER'!$B$6:$J$250,4,FALSE)</f>
        <v>N</v>
      </c>
      <c r="H210" s="199" t="str">
        <f>VLOOKUP(A210,'PUR-PARTY MASTER'!$B$6:$J$250,5,FALSE)</f>
        <v>Regular</v>
      </c>
      <c r="I210" s="199">
        <f>VLOOKUP(A210,'PUR-PARTY MASTER'!$B$6:$J$250,6,FALSE)</f>
        <v>0</v>
      </c>
      <c r="J210" s="201">
        <v>28</v>
      </c>
      <c r="K210" s="400">
        <v>1366.5</v>
      </c>
      <c r="L210" s="202">
        <f t="shared" si="30"/>
        <v>0</v>
      </c>
      <c r="M210" s="202">
        <f t="shared" si="31"/>
        <v>191.31000000000003</v>
      </c>
      <c r="N210" s="202">
        <f t="shared" si="32"/>
        <v>191.31000000000003</v>
      </c>
      <c r="O210" s="8">
        <v>0</v>
      </c>
      <c r="P210" s="341" t="s">
        <v>177</v>
      </c>
      <c r="Q210" s="329">
        <f t="shared" si="33"/>
        <v>0</v>
      </c>
      <c r="R210" s="329">
        <f t="shared" si="34"/>
        <v>191.31000000000003</v>
      </c>
      <c r="S210" s="329">
        <f t="shared" si="35"/>
        <v>191.31000000000003</v>
      </c>
      <c r="T210" s="8">
        <f t="shared" si="36"/>
        <v>0</v>
      </c>
      <c r="U210" s="199">
        <f>VLOOKUP(A210,'PUR-PARTY MASTER'!$B$6:$J$250,7,FALSE)</f>
        <v>2</v>
      </c>
      <c r="V210" s="199" t="str">
        <f>VLOOKUP(A210,'PUR-PARTY MASTER'!$B$6:$J$250,8,FALSE)</f>
        <v>Local Pur</v>
      </c>
      <c r="W210" s="199" t="s">
        <v>897</v>
      </c>
      <c r="X210" s="404">
        <v>87081090</v>
      </c>
      <c r="Y210" s="201" t="str">
        <f>VLOOKUP(X210,'PUR-HSN MASTER'!$A$6:$D$247,2,FALSE)</f>
        <v>Parts &amp; Accessories Of Motor Vehicles Other</v>
      </c>
      <c r="Z210" s="201" t="str">
        <f>VLOOKUP(X210,'PUR-HSN MASTER'!$A$6:$D$247,3,FALSE)</f>
        <v>NOS-NUMBERS</v>
      </c>
      <c r="AA210" s="334" t="str">
        <f>VLOOKUP(X210,'PUR-HSN MASTER'!$A$6:$D$247,4,FALSE)</f>
        <v>Goods</v>
      </c>
      <c r="AB210" s="401">
        <v>30</v>
      </c>
    </row>
    <row r="211" spans="1:28" ht="14.4" x14ac:dyDescent="0.3">
      <c r="A211" s="128" t="s">
        <v>23</v>
      </c>
      <c r="B211" s="199" t="str">
        <f>VLOOKUP(A211,'PUR-PARTY MASTER'!$B$6:$J$250,2,FALSE)</f>
        <v>Varroc Polymers Pvt Ltd,</v>
      </c>
      <c r="C211" s="403">
        <v>2041074539</v>
      </c>
      <c r="D211" s="398">
        <v>43152</v>
      </c>
      <c r="E211" s="329">
        <f t="shared" si="29"/>
        <v>1730.6880000000001</v>
      </c>
      <c r="F211" s="199" t="str">
        <f>VLOOKUP(A211,'PUR-PARTY MASTER'!$B$6:$J$250,3,FALSE)</f>
        <v>27-Maharashatra</v>
      </c>
      <c r="G211" s="199" t="str">
        <f>VLOOKUP(A211,'PUR-PARTY MASTER'!$B$6:$J$250,4,FALSE)</f>
        <v>N</v>
      </c>
      <c r="H211" s="199" t="str">
        <f>VLOOKUP(A211,'PUR-PARTY MASTER'!$B$6:$J$250,5,FALSE)</f>
        <v>Regular</v>
      </c>
      <c r="I211" s="199">
        <f>VLOOKUP(A211,'PUR-PARTY MASTER'!$B$6:$J$250,6,FALSE)</f>
        <v>0</v>
      </c>
      <c r="J211" s="201">
        <v>28</v>
      </c>
      <c r="K211" s="400">
        <v>1352.1</v>
      </c>
      <c r="L211" s="202">
        <f t="shared" si="30"/>
        <v>0</v>
      </c>
      <c r="M211" s="202">
        <f t="shared" si="31"/>
        <v>189.29400000000001</v>
      </c>
      <c r="N211" s="202">
        <f t="shared" si="32"/>
        <v>189.29400000000001</v>
      </c>
      <c r="O211" s="8">
        <v>0</v>
      </c>
      <c r="P211" s="341" t="s">
        <v>177</v>
      </c>
      <c r="Q211" s="329">
        <f t="shared" si="33"/>
        <v>0</v>
      </c>
      <c r="R211" s="329">
        <f t="shared" si="34"/>
        <v>189.29400000000001</v>
      </c>
      <c r="S211" s="329">
        <f t="shared" si="35"/>
        <v>189.29400000000001</v>
      </c>
      <c r="T211" s="8">
        <f t="shared" si="36"/>
        <v>0</v>
      </c>
      <c r="U211" s="199">
        <f>VLOOKUP(A211,'PUR-PARTY MASTER'!$B$6:$J$250,7,FALSE)</f>
        <v>2</v>
      </c>
      <c r="V211" s="199" t="str">
        <f>VLOOKUP(A211,'PUR-PARTY MASTER'!$B$6:$J$250,8,FALSE)</f>
        <v>Local Pur</v>
      </c>
      <c r="W211" s="199" t="s">
        <v>897</v>
      </c>
      <c r="X211" s="404">
        <v>87081090</v>
      </c>
      <c r="Y211" s="201" t="str">
        <f>VLOOKUP(X211,'PUR-HSN MASTER'!$A$6:$D$247,2,FALSE)</f>
        <v>Parts &amp; Accessories Of Motor Vehicles Other</v>
      </c>
      <c r="Z211" s="201" t="str">
        <f>VLOOKUP(X211,'PUR-HSN MASTER'!$A$6:$D$247,3,FALSE)</f>
        <v>NOS-NUMBERS</v>
      </c>
      <c r="AA211" s="334" t="str">
        <f>VLOOKUP(X211,'PUR-HSN MASTER'!$A$6:$D$247,4,FALSE)</f>
        <v>Goods</v>
      </c>
      <c r="AB211" s="401">
        <v>30</v>
      </c>
    </row>
    <row r="212" spans="1:28" ht="14.4" x14ac:dyDescent="0.3">
      <c r="A212" s="128" t="s">
        <v>23</v>
      </c>
      <c r="B212" s="199" t="str">
        <f>VLOOKUP(A212,'PUR-PARTY MASTER'!$B$6:$J$250,2,FALSE)</f>
        <v>Varroc Polymers Pvt Ltd,</v>
      </c>
      <c r="C212" s="403">
        <v>2041074509</v>
      </c>
      <c r="D212" s="398">
        <v>43152</v>
      </c>
      <c r="E212" s="329">
        <f t="shared" si="29"/>
        <v>6352.8959999999997</v>
      </c>
      <c r="F212" s="199" t="str">
        <f>VLOOKUP(A212,'PUR-PARTY MASTER'!$B$6:$J$250,3,FALSE)</f>
        <v>27-Maharashatra</v>
      </c>
      <c r="G212" s="199" t="str">
        <f>VLOOKUP(A212,'PUR-PARTY MASTER'!$B$6:$J$250,4,FALSE)</f>
        <v>N</v>
      </c>
      <c r="H212" s="199" t="str">
        <f>VLOOKUP(A212,'PUR-PARTY MASTER'!$B$6:$J$250,5,FALSE)</f>
        <v>Regular</v>
      </c>
      <c r="I212" s="199">
        <f>VLOOKUP(A212,'PUR-PARTY MASTER'!$B$6:$J$250,6,FALSE)</f>
        <v>0</v>
      </c>
      <c r="J212" s="201">
        <v>28</v>
      </c>
      <c r="K212" s="400">
        <v>4963.2</v>
      </c>
      <c r="L212" s="202">
        <f t="shared" si="30"/>
        <v>0</v>
      </c>
      <c r="M212" s="202">
        <f t="shared" si="31"/>
        <v>694.84800000000007</v>
      </c>
      <c r="N212" s="202">
        <f t="shared" si="32"/>
        <v>694.84800000000007</v>
      </c>
      <c r="O212" s="8">
        <v>0</v>
      </c>
      <c r="P212" s="341" t="s">
        <v>177</v>
      </c>
      <c r="Q212" s="329">
        <f t="shared" si="33"/>
        <v>0</v>
      </c>
      <c r="R212" s="329">
        <f t="shared" si="34"/>
        <v>694.84800000000007</v>
      </c>
      <c r="S212" s="329">
        <f t="shared" si="35"/>
        <v>694.84800000000007</v>
      </c>
      <c r="T212" s="8">
        <f t="shared" si="36"/>
        <v>0</v>
      </c>
      <c r="U212" s="199">
        <f>VLOOKUP(A212,'PUR-PARTY MASTER'!$B$6:$J$250,7,FALSE)</f>
        <v>2</v>
      </c>
      <c r="V212" s="199" t="str">
        <f>VLOOKUP(A212,'PUR-PARTY MASTER'!$B$6:$J$250,8,FALSE)</f>
        <v>Local Pur</v>
      </c>
      <c r="W212" s="199" t="s">
        <v>897</v>
      </c>
      <c r="X212" s="404">
        <v>87141090</v>
      </c>
      <c r="Y212" s="201" t="str">
        <f>VLOOKUP(X212,'PUR-HSN MASTER'!$A$6:$D$247,2,FALSE)</f>
        <v>Parts &amp; Accessories Of Motor Vehicles Other</v>
      </c>
      <c r="Z212" s="201" t="str">
        <f>VLOOKUP(X212,'PUR-HSN MASTER'!$A$6:$D$247,3,FALSE)</f>
        <v>NOS-NUMBERS</v>
      </c>
      <c r="AA212" s="334" t="str">
        <f>VLOOKUP(X212,'PUR-HSN MASTER'!$A$6:$D$247,4,FALSE)</f>
        <v>Goods</v>
      </c>
      <c r="AB212" s="401">
        <v>240</v>
      </c>
    </row>
    <row r="213" spans="1:28" ht="14.4" x14ac:dyDescent="0.3">
      <c r="A213" s="128" t="s">
        <v>23</v>
      </c>
      <c r="B213" s="199" t="str">
        <f>VLOOKUP(A213,'PUR-PARTY MASTER'!$B$6:$J$250,2,FALSE)</f>
        <v>Varroc Polymers Pvt Ltd,</v>
      </c>
      <c r="C213" s="403">
        <v>2041074508</v>
      </c>
      <c r="D213" s="398">
        <v>43152</v>
      </c>
      <c r="E213" s="329">
        <f t="shared" si="29"/>
        <v>6352.8959999999997</v>
      </c>
      <c r="F213" s="199" t="str">
        <f>VLOOKUP(A213,'PUR-PARTY MASTER'!$B$6:$J$250,3,FALSE)</f>
        <v>27-Maharashatra</v>
      </c>
      <c r="G213" s="199" t="str">
        <f>VLOOKUP(A213,'PUR-PARTY MASTER'!$B$6:$J$250,4,FALSE)</f>
        <v>N</v>
      </c>
      <c r="H213" s="199" t="str">
        <f>VLOOKUP(A213,'PUR-PARTY MASTER'!$B$6:$J$250,5,FALSE)</f>
        <v>Regular</v>
      </c>
      <c r="I213" s="199">
        <f>VLOOKUP(A213,'PUR-PARTY MASTER'!$B$6:$J$250,6,FALSE)</f>
        <v>0</v>
      </c>
      <c r="J213" s="201">
        <v>28</v>
      </c>
      <c r="K213" s="400">
        <v>4963.2</v>
      </c>
      <c r="L213" s="202">
        <f t="shared" si="30"/>
        <v>0</v>
      </c>
      <c r="M213" s="202">
        <f t="shared" si="31"/>
        <v>694.84800000000007</v>
      </c>
      <c r="N213" s="202">
        <f t="shared" si="32"/>
        <v>694.84800000000007</v>
      </c>
      <c r="O213" s="8">
        <v>0</v>
      </c>
      <c r="P213" s="341" t="s">
        <v>177</v>
      </c>
      <c r="Q213" s="329">
        <f t="shared" si="33"/>
        <v>0</v>
      </c>
      <c r="R213" s="329">
        <f t="shared" si="34"/>
        <v>694.84800000000007</v>
      </c>
      <c r="S213" s="329">
        <f t="shared" si="35"/>
        <v>694.84800000000007</v>
      </c>
      <c r="T213" s="8">
        <f t="shared" si="36"/>
        <v>0</v>
      </c>
      <c r="U213" s="199">
        <f>VLOOKUP(A213,'PUR-PARTY MASTER'!$B$6:$J$250,7,FALSE)</f>
        <v>2</v>
      </c>
      <c r="V213" s="199" t="str">
        <f>VLOOKUP(A213,'PUR-PARTY MASTER'!$B$6:$J$250,8,FALSE)</f>
        <v>Local Pur</v>
      </c>
      <c r="W213" s="199" t="s">
        <v>897</v>
      </c>
      <c r="X213" s="404">
        <v>87141090</v>
      </c>
      <c r="Y213" s="201" t="str">
        <f>VLOOKUP(X213,'PUR-HSN MASTER'!$A$6:$D$247,2,FALSE)</f>
        <v>Parts &amp; Accessories Of Motor Vehicles Other</v>
      </c>
      <c r="Z213" s="201" t="str">
        <f>VLOOKUP(X213,'PUR-HSN MASTER'!$A$6:$D$247,3,FALSE)</f>
        <v>NOS-NUMBERS</v>
      </c>
      <c r="AA213" s="334" t="str">
        <f>VLOOKUP(X213,'PUR-HSN MASTER'!$A$6:$D$247,4,FALSE)</f>
        <v>Goods</v>
      </c>
      <c r="AB213" s="401">
        <v>240</v>
      </c>
    </row>
    <row r="214" spans="1:28" ht="14.4" x14ac:dyDescent="0.3">
      <c r="A214" s="128" t="s">
        <v>865</v>
      </c>
      <c r="B214" s="199" t="str">
        <f>VLOOKUP(A214,'PUR-PARTY MASTER'!$B$6:$J$250,2,FALSE)</f>
        <v>Kansai Nerolac Paints Ltd,</v>
      </c>
      <c r="C214" s="403" t="s">
        <v>1428</v>
      </c>
      <c r="D214" s="398">
        <v>43152</v>
      </c>
      <c r="E214" s="329">
        <f t="shared" si="29"/>
        <v>116077.31200000001</v>
      </c>
      <c r="F214" s="199" t="str">
        <f>VLOOKUP(A214,'PUR-PARTY MASTER'!$B$6:$J$250,3,FALSE)</f>
        <v>27-Maharashatra</v>
      </c>
      <c r="G214" s="199" t="str">
        <f>VLOOKUP(A214,'PUR-PARTY MASTER'!$B$6:$J$250,4,FALSE)</f>
        <v>N</v>
      </c>
      <c r="H214" s="199" t="str">
        <f>VLOOKUP(A214,'PUR-PARTY MASTER'!$B$6:$J$250,5,FALSE)</f>
        <v>Regular</v>
      </c>
      <c r="I214" s="199">
        <f>VLOOKUP(A214,'PUR-PARTY MASTER'!$B$6:$J$250,6,FALSE)</f>
        <v>0</v>
      </c>
      <c r="J214" s="201">
        <v>28</v>
      </c>
      <c r="K214" s="400">
        <v>90685.4</v>
      </c>
      <c r="L214" s="202">
        <f t="shared" si="30"/>
        <v>0</v>
      </c>
      <c r="M214" s="202">
        <f t="shared" si="31"/>
        <v>12695.956</v>
      </c>
      <c r="N214" s="202">
        <f t="shared" si="32"/>
        <v>12695.956</v>
      </c>
      <c r="O214" s="8">
        <v>0</v>
      </c>
      <c r="P214" s="341" t="s">
        <v>177</v>
      </c>
      <c r="Q214" s="329">
        <f t="shared" si="33"/>
        <v>0</v>
      </c>
      <c r="R214" s="329">
        <f t="shared" si="34"/>
        <v>12695.956</v>
      </c>
      <c r="S214" s="329">
        <f t="shared" si="35"/>
        <v>12695.956</v>
      </c>
      <c r="T214" s="8">
        <f t="shared" si="36"/>
        <v>0</v>
      </c>
      <c r="U214" s="199">
        <f>VLOOKUP(A214,'PUR-PARTY MASTER'!$B$6:$J$250,7,FALSE)</f>
        <v>2</v>
      </c>
      <c r="V214" s="199" t="str">
        <f>VLOOKUP(A214,'PUR-PARTY MASTER'!$B$6:$J$250,8,FALSE)</f>
        <v>Local Pur</v>
      </c>
      <c r="W214" s="199" t="s">
        <v>897</v>
      </c>
      <c r="X214" s="404">
        <v>32082090</v>
      </c>
      <c r="Y214" s="201" t="str">
        <f>VLOOKUP(X214,'PUR-HSN MASTER'!$A$6:$D$247,2,FALSE)</f>
        <v>Others ( Paint &amp; Varnishes)</v>
      </c>
      <c r="Z214" s="201" t="str">
        <f>VLOOKUP(X214,'PUR-HSN MASTER'!$A$6:$D$247,3,FALSE)</f>
        <v>KLR-KILOLITRE</v>
      </c>
      <c r="AA214" s="334" t="str">
        <f>VLOOKUP(X214,'PUR-HSN MASTER'!$A$6:$D$247,4,FALSE)</f>
        <v>Goods</v>
      </c>
      <c r="AB214" s="401">
        <v>260</v>
      </c>
    </row>
    <row r="215" spans="1:28" ht="14.4" x14ac:dyDescent="0.3">
      <c r="A215" s="128" t="s">
        <v>865</v>
      </c>
      <c r="B215" s="199" t="str">
        <f>VLOOKUP(A215,'PUR-PARTY MASTER'!$B$6:$J$250,2,FALSE)</f>
        <v>Kansai Nerolac Paints Ltd,</v>
      </c>
      <c r="C215" s="403" t="s">
        <v>1429</v>
      </c>
      <c r="D215" s="398">
        <v>43152</v>
      </c>
      <c r="E215" s="329">
        <f t="shared" si="29"/>
        <v>10016.784</v>
      </c>
      <c r="F215" s="199" t="str">
        <f>VLOOKUP(A215,'PUR-PARTY MASTER'!$B$6:$J$250,3,FALSE)</f>
        <v>27-Maharashatra</v>
      </c>
      <c r="G215" s="199" t="str">
        <f>VLOOKUP(A215,'PUR-PARTY MASTER'!$B$6:$J$250,4,FALSE)</f>
        <v>N</v>
      </c>
      <c r="H215" s="199" t="str">
        <f>VLOOKUP(A215,'PUR-PARTY MASTER'!$B$6:$J$250,5,FALSE)</f>
        <v>Regular</v>
      </c>
      <c r="I215" s="199">
        <f>VLOOKUP(A215,'PUR-PARTY MASTER'!$B$6:$J$250,6,FALSE)</f>
        <v>0</v>
      </c>
      <c r="J215" s="201">
        <v>18</v>
      </c>
      <c r="K215" s="400">
        <v>8488.7999999999993</v>
      </c>
      <c r="L215" s="202">
        <f t="shared" si="30"/>
        <v>0</v>
      </c>
      <c r="M215" s="202">
        <f t="shared" si="31"/>
        <v>763.99199999999996</v>
      </c>
      <c r="N215" s="202">
        <f t="shared" si="32"/>
        <v>763.99199999999996</v>
      </c>
      <c r="O215" s="8">
        <v>0</v>
      </c>
      <c r="P215" s="341" t="s">
        <v>177</v>
      </c>
      <c r="Q215" s="329">
        <f t="shared" si="33"/>
        <v>0</v>
      </c>
      <c r="R215" s="329">
        <f t="shared" si="34"/>
        <v>763.99199999999996</v>
      </c>
      <c r="S215" s="329">
        <f t="shared" si="35"/>
        <v>763.99199999999996</v>
      </c>
      <c r="T215" s="8">
        <f t="shared" si="36"/>
        <v>0</v>
      </c>
      <c r="U215" s="199">
        <f>VLOOKUP(A215,'PUR-PARTY MASTER'!$B$6:$J$250,7,FALSE)</f>
        <v>2</v>
      </c>
      <c r="V215" s="199" t="str">
        <f>VLOOKUP(A215,'PUR-PARTY MASTER'!$B$6:$J$250,8,FALSE)</f>
        <v>Local Pur</v>
      </c>
      <c r="W215" s="199" t="s">
        <v>894</v>
      </c>
      <c r="X215" s="404">
        <v>38140010</v>
      </c>
      <c r="Y215" s="201" t="str">
        <f>VLOOKUP(X215,'PUR-HSN MASTER'!$A$6:$D$247,2,FALSE)</f>
        <v>Misc Chemical Products Thinner</v>
      </c>
      <c r="Z215" s="201" t="str">
        <f>VLOOKUP(X215,'PUR-HSN MASTER'!$A$6:$D$247,3,FALSE)</f>
        <v>NOS-NUMBERS</v>
      </c>
      <c r="AA215" s="334" t="str">
        <f>VLOOKUP(X215,'PUR-HSN MASTER'!$A$6:$D$247,4,FALSE)</f>
        <v>Goods</v>
      </c>
      <c r="AB215" s="401">
        <v>80</v>
      </c>
    </row>
    <row r="216" spans="1:28" ht="14.4" x14ac:dyDescent="0.3">
      <c r="A216" s="128" t="s">
        <v>865</v>
      </c>
      <c r="B216" s="199" t="str">
        <f>VLOOKUP(A216,'PUR-PARTY MASTER'!$B$6:$J$250,2,FALSE)</f>
        <v>Kansai Nerolac Paints Ltd,</v>
      </c>
      <c r="C216" s="403" t="s">
        <v>1430</v>
      </c>
      <c r="D216" s="398">
        <v>43152</v>
      </c>
      <c r="E216" s="329">
        <f t="shared" si="29"/>
        <v>17858.048000000003</v>
      </c>
      <c r="F216" s="199" t="str">
        <f>VLOOKUP(A216,'PUR-PARTY MASTER'!$B$6:$J$250,3,FALSE)</f>
        <v>27-Maharashatra</v>
      </c>
      <c r="G216" s="199" t="str">
        <f>VLOOKUP(A216,'PUR-PARTY MASTER'!$B$6:$J$250,4,FALSE)</f>
        <v>N</v>
      </c>
      <c r="H216" s="199" t="str">
        <f>VLOOKUP(A216,'PUR-PARTY MASTER'!$B$6:$J$250,5,FALSE)</f>
        <v>Regular</v>
      </c>
      <c r="I216" s="199">
        <f>VLOOKUP(A216,'PUR-PARTY MASTER'!$B$6:$J$250,6,FALSE)</f>
        <v>0</v>
      </c>
      <c r="J216" s="201">
        <v>28</v>
      </c>
      <c r="K216" s="400">
        <v>13951.6</v>
      </c>
      <c r="L216" s="202">
        <f t="shared" si="30"/>
        <v>0</v>
      </c>
      <c r="M216" s="202">
        <f t="shared" si="31"/>
        <v>1953.2240000000002</v>
      </c>
      <c r="N216" s="202">
        <f t="shared" si="32"/>
        <v>1953.2240000000002</v>
      </c>
      <c r="O216" s="8">
        <v>0</v>
      </c>
      <c r="P216" s="341" t="s">
        <v>177</v>
      </c>
      <c r="Q216" s="329">
        <f t="shared" si="33"/>
        <v>0</v>
      </c>
      <c r="R216" s="329">
        <f t="shared" si="34"/>
        <v>1953.2240000000002</v>
      </c>
      <c r="S216" s="329">
        <f t="shared" si="35"/>
        <v>1953.2240000000002</v>
      </c>
      <c r="T216" s="8">
        <f t="shared" si="36"/>
        <v>0</v>
      </c>
      <c r="U216" s="199">
        <f>VLOOKUP(A216,'PUR-PARTY MASTER'!$B$6:$J$250,7,FALSE)</f>
        <v>2</v>
      </c>
      <c r="V216" s="199" t="str">
        <f>VLOOKUP(A216,'PUR-PARTY MASTER'!$B$6:$J$250,8,FALSE)</f>
        <v>Local Pur</v>
      </c>
      <c r="W216" s="199" t="s">
        <v>897</v>
      </c>
      <c r="X216" s="404">
        <v>32082090</v>
      </c>
      <c r="Y216" s="201" t="str">
        <f>VLOOKUP(X216,'PUR-HSN MASTER'!$A$6:$D$247,2,FALSE)</f>
        <v>Others ( Paint &amp; Varnishes)</v>
      </c>
      <c r="Z216" s="201" t="str">
        <f>VLOOKUP(X216,'PUR-HSN MASTER'!$A$6:$D$247,3,FALSE)</f>
        <v>KLR-KILOLITRE</v>
      </c>
      <c r="AA216" s="334" t="str">
        <f>VLOOKUP(X216,'PUR-HSN MASTER'!$A$6:$D$247,4,FALSE)</f>
        <v>Goods</v>
      </c>
      <c r="AB216" s="401">
        <v>40</v>
      </c>
    </row>
    <row r="217" spans="1:28" ht="14.4" x14ac:dyDescent="0.3">
      <c r="A217" s="128" t="s">
        <v>335</v>
      </c>
      <c r="B217" s="199" t="str">
        <f>VLOOKUP(A217,'PUR-PARTY MASTER'!$B$6:$J$250,2,FALSE)</f>
        <v>Atharva Polymers Pvt Ltd,</v>
      </c>
      <c r="C217" s="403" t="s">
        <v>1431</v>
      </c>
      <c r="D217" s="398">
        <v>43152</v>
      </c>
      <c r="E217" s="329">
        <f t="shared" si="29"/>
        <v>54502.399999999994</v>
      </c>
      <c r="F217" s="199" t="str">
        <f>VLOOKUP(A217,'PUR-PARTY MASTER'!$B$6:$J$250,3,FALSE)</f>
        <v>27-Maharashatra</v>
      </c>
      <c r="G217" s="199" t="str">
        <f>VLOOKUP(A217,'PUR-PARTY MASTER'!$B$6:$J$250,4,FALSE)</f>
        <v>N</v>
      </c>
      <c r="H217" s="199" t="str">
        <f>VLOOKUP(A217,'PUR-PARTY MASTER'!$B$6:$J$250,5,FALSE)</f>
        <v>Regular</v>
      </c>
      <c r="I217" s="199">
        <f>VLOOKUP(A217,'PUR-PARTY MASTER'!$B$6:$J$250,6,FALSE)</f>
        <v>0</v>
      </c>
      <c r="J217" s="201">
        <v>28</v>
      </c>
      <c r="K217" s="400">
        <f>42475+105</f>
        <v>42580</v>
      </c>
      <c r="L217" s="202">
        <f t="shared" si="30"/>
        <v>0</v>
      </c>
      <c r="M217" s="202">
        <f t="shared" si="31"/>
        <v>5961.2000000000007</v>
      </c>
      <c r="N217" s="202">
        <f t="shared" si="32"/>
        <v>5961.2000000000007</v>
      </c>
      <c r="O217" s="8">
        <v>0</v>
      </c>
      <c r="P217" s="341" t="s">
        <v>177</v>
      </c>
      <c r="Q217" s="329">
        <f t="shared" si="33"/>
        <v>0</v>
      </c>
      <c r="R217" s="329">
        <f t="shared" si="34"/>
        <v>5961.2000000000007</v>
      </c>
      <c r="S217" s="329">
        <f t="shared" si="35"/>
        <v>5961.2000000000007</v>
      </c>
      <c r="T217" s="8">
        <f t="shared" si="36"/>
        <v>0</v>
      </c>
      <c r="U217" s="199">
        <f>VLOOKUP(A217,'PUR-PARTY MASTER'!$B$6:$J$250,7,FALSE)</f>
        <v>2</v>
      </c>
      <c r="V217" s="199" t="str">
        <f>VLOOKUP(A217,'PUR-PARTY MASTER'!$B$6:$J$250,8,FALSE)</f>
        <v>Local Pur</v>
      </c>
      <c r="W217" s="199" t="s">
        <v>897</v>
      </c>
      <c r="X217" s="404">
        <v>87141900</v>
      </c>
      <c r="Y217" s="201" t="str">
        <f>VLOOKUP(X217,'PUR-HSN MASTER'!$A$6:$D$247,2,FALSE)</f>
        <v>Parts &amp; Accessories Of Motor Vehicles Other</v>
      </c>
      <c r="Z217" s="201" t="str">
        <f>VLOOKUP(X217,'PUR-HSN MASTER'!$A$6:$D$247,3,FALSE)</f>
        <v>KLR-KILOLITRE</v>
      </c>
      <c r="AA217" s="334" t="str">
        <f>VLOOKUP(X217,'PUR-HSN MASTER'!$A$6:$D$247,4,FALSE)</f>
        <v>Goods</v>
      </c>
      <c r="AB217" s="401">
        <v>1000</v>
      </c>
    </row>
    <row r="218" spans="1:28" ht="14.4" x14ac:dyDescent="0.3">
      <c r="A218" s="128" t="s">
        <v>27</v>
      </c>
      <c r="B218" s="199" t="str">
        <f>VLOOKUP(A218,'PUR-PARTY MASTER'!$B$6:$J$250,2,FALSE)</f>
        <v>Rinder India Pvt Ltd.</v>
      </c>
      <c r="C218" s="403">
        <v>2701823646</v>
      </c>
      <c r="D218" s="398">
        <v>43152</v>
      </c>
      <c r="E218" s="329">
        <f t="shared" si="29"/>
        <v>28189.727999999996</v>
      </c>
      <c r="F218" s="199" t="str">
        <f>VLOOKUP(A218,'PUR-PARTY MASTER'!$B$6:$J$250,3,FALSE)</f>
        <v>27-Maharashatra</v>
      </c>
      <c r="G218" s="199" t="str">
        <f>VLOOKUP(A218,'PUR-PARTY MASTER'!$B$6:$J$250,4,FALSE)</f>
        <v>N</v>
      </c>
      <c r="H218" s="199" t="str">
        <f>VLOOKUP(A218,'PUR-PARTY MASTER'!$B$6:$J$250,5,FALSE)</f>
        <v>Regular</v>
      </c>
      <c r="I218" s="199">
        <f>VLOOKUP(A218,'PUR-PARTY MASTER'!$B$6:$J$250,6,FALSE)</f>
        <v>0</v>
      </c>
      <c r="J218" s="201">
        <v>18</v>
      </c>
      <c r="K218" s="400">
        <v>23889.599999999999</v>
      </c>
      <c r="L218" s="202">
        <f t="shared" si="30"/>
        <v>0</v>
      </c>
      <c r="M218" s="202">
        <f t="shared" si="31"/>
        <v>2150.0639999999999</v>
      </c>
      <c r="N218" s="202">
        <f t="shared" si="32"/>
        <v>2150.0639999999999</v>
      </c>
      <c r="O218" s="8">
        <v>0</v>
      </c>
      <c r="P218" s="341" t="s">
        <v>177</v>
      </c>
      <c r="Q218" s="329">
        <f t="shared" si="33"/>
        <v>0</v>
      </c>
      <c r="R218" s="329">
        <f t="shared" si="34"/>
        <v>2150.0639999999999</v>
      </c>
      <c r="S218" s="329">
        <f t="shared" si="35"/>
        <v>2150.0639999999999</v>
      </c>
      <c r="T218" s="8">
        <f t="shared" si="36"/>
        <v>0</v>
      </c>
      <c r="U218" s="199">
        <f>VLOOKUP(A218,'PUR-PARTY MASTER'!$B$6:$J$250,7,FALSE)</f>
        <v>2</v>
      </c>
      <c r="V218" s="199" t="str">
        <f>VLOOKUP(A218,'PUR-PARTY MASTER'!$B$6:$J$250,8,FALSE)</f>
        <v>Local Pur</v>
      </c>
      <c r="W218" s="199" t="s">
        <v>894</v>
      </c>
      <c r="X218" s="404">
        <v>85129000</v>
      </c>
      <c r="Y218" s="201" t="str">
        <f>VLOOKUP(X218,'PUR-HSN MASTER'!$A$6:$D$247,2,FALSE)</f>
        <v>Lighting &amp; Fitting</v>
      </c>
      <c r="Z218" s="201" t="str">
        <f>VLOOKUP(X218,'PUR-HSN MASTER'!$A$6:$D$247,3,FALSE)</f>
        <v>NOS-NUMBERS</v>
      </c>
      <c r="AA218" s="334" t="str">
        <f>VLOOKUP(X218,'PUR-HSN MASTER'!$A$6:$D$247,4,FALSE)</f>
        <v>Goods</v>
      </c>
      <c r="AB218" s="401">
        <v>2160</v>
      </c>
    </row>
    <row r="219" spans="1:28" ht="14.4" x14ac:dyDescent="0.3">
      <c r="A219" s="128" t="s">
        <v>333</v>
      </c>
      <c r="B219" s="199" t="str">
        <f>VLOOKUP(A219,'PUR-PARTY MASTER'!$B$6:$J$250,2,FALSE)</f>
        <v>Aditya Enteprises</v>
      </c>
      <c r="C219" s="403">
        <v>4865</v>
      </c>
      <c r="D219" s="398">
        <v>43152</v>
      </c>
      <c r="E219" s="329">
        <f t="shared" si="29"/>
        <v>33346.800000000003</v>
      </c>
      <c r="F219" s="199" t="str">
        <f>VLOOKUP(A219,'PUR-PARTY MASTER'!$B$6:$J$250,3,FALSE)</f>
        <v>27-Maharashatra</v>
      </c>
      <c r="G219" s="199" t="str">
        <f>VLOOKUP(A219,'PUR-PARTY MASTER'!$B$6:$J$250,4,FALSE)</f>
        <v>N</v>
      </c>
      <c r="H219" s="199" t="str">
        <f>VLOOKUP(A219,'PUR-PARTY MASTER'!$B$6:$J$250,5,FALSE)</f>
        <v>Regular</v>
      </c>
      <c r="I219" s="199">
        <f>VLOOKUP(A219,'PUR-PARTY MASTER'!$B$6:$J$250,6,FALSE)</f>
        <v>0</v>
      </c>
      <c r="J219" s="201">
        <v>18</v>
      </c>
      <c r="K219" s="400">
        <v>28260</v>
      </c>
      <c r="L219" s="202">
        <f t="shared" si="30"/>
        <v>0</v>
      </c>
      <c r="M219" s="202">
        <f t="shared" si="31"/>
        <v>2543.4</v>
      </c>
      <c r="N219" s="202">
        <f t="shared" si="32"/>
        <v>2543.4</v>
      </c>
      <c r="O219" s="8">
        <v>0</v>
      </c>
      <c r="P219" s="341" t="s">
        <v>177</v>
      </c>
      <c r="Q219" s="329">
        <f t="shared" si="33"/>
        <v>0</v>
      </c>
      <c r="R219" s="329">
        <f t="shared" si="34"/>
        <v>2543.4</v>
      </c>
      <c r="S219" s="329">
        <f t="shared" si="35"/>
        <v>2543.4</v>
      </c>
      <c r="T219" s="8">
        <f t="shared" si="36"/>
        <v>0</v>
      </c>
      <c r="U219" s="199">
        <f>VLOOKUP(A219,'PUR-PARTY MASTER'!$B$6:$J$250,7,FALSE)</f>
        <v>2</v>
      </c>
      <c r="V219" s="199" t="str">
        <f>VLOOKUP(A219,'PUR-PARTY MASTER'!$B$6:$J$250,8,FALSE)</f>
        <v>Local Pur</v>
      </c>
      <c r="W219" s="199" t="s">
        <v>894</v>
      </c>
      <c r="X219" s="404">
        <v>85129000</v>
      </c>
      <c r="Y219" s="201" t="str">
        <f>VLOOKUP(X219,'PUR-HSN MASTER'!$A$6:$D$247,2,FALSE)</f>
        <v>Lighting &amp; Fitting</v>
      </c>
      <c r="Z219" s="201" t="str">
        <f>VLOOKUP(X219,'PUR-HSN MASTER'!$A$6:$D$247,3,FALSE)</f>
        <v>NOS-NUMBERS</v>
      </c>
      <c r="AA219" s="334" t="str">
        <f>VLOOKUP(X219,'PUR-HSN MASTER'!$A$6:$D$247,4,FALSE)</f>
        <v>Goods</v>
      </c>
      <c r="AB219" s="401">
        <v>3000</v>
      </c>
    </row>
    <row r="220" spans="1:28" ht="14.4" x14ac:dyDescent="0.3">
      <c r="A220" s="128" t="s">
        <v>967</v>
      </c>
      <c r="B220" s="199" t="str">
        <f>VLOOKUP(A220,'PUR-PARTY MASTER'!$B$6:$J$250,2,FALSE)</f>
        <v>Shahid Sheet Fabricarion</v>
      </c>
      <c r="C220" s="403">
        <v>4</v>
      </c>
      <c r="D220" s="398">
        <v>43153</v>
      </c>
      <c r="E220" s="329">
        <f t="shared" si="29"/>
        <v>413000</v>
      </c>
      <c r="F220" s="199" t="str">
        <f>VLOOKUP(A220,'PUR-PARTY MASTER'!$B$6:$J$250,3,FALSE)</f>
        <v>27-Maharashatra</v>
      </c>
      <c r="G220" s="199" t="str">
        <f>VLOOKUP(A220,'PUR-PARTY MASTER'!$B$6:$J$250,4,FALSE)</f>
        <v>N</v>
      </c>
      <c r="H220" s="199" t="str">
        <f>VLOOKUP(A220,'PUR-PARTY MASTER'!$B$6:$J$250,5,FALSE)</f>
        <v>Regular</v>
      </c>
      <c r="I220" s="199">
        <f>VLOOKUP(A220,'PUR-PARTY MASTER'!$B$6:$J$250,6,FALSE)</f>
        <v>0</v>
      </c>
      <c r="J220" s="201">
        <v>18</v>
      </c>
      <c r="K220" s="400">
        <v>350000</v>
      </c>
      <c r="L220" s="202">
        <f t="shared" si="30"/>
        <v>0</v>
      </c>
      <c r="M220" s="202">
        <f t="shared" si="31"/>
        <v>31500</v>
      </c>
      <c r="N220" s="202">
        <f t="shared" si="32"/>
        <v>31500</v>
      </c>
      <c r="O220" s="8">
        <v>0</v>
      </c>
      <c r="P220" s="341" t="s">
        <v>177</v>
      </c>
      <c r="Q220" s="329">
        <f t="shared" si="33"/>
        <v>0</v>
      </c>
      <c r="R220" s="329">
        <f t="shared" si="34"/>
        <v>31500</v>
      </c>
      <c r="S220" s="329">
        <f t="shared" si="35"/>
        <v>31500</v>
      </c>
      <c r="T220" s="8">
        <f t="shared" si="36"/>
        <v>0</v>
      </c>
      <c r="U220" s="199">
        <f>VLOOKUP(A220,'PUR-PARTY MASTER'!$B$6:$J$250,7,FALSE)</f>
        <v>2</v>
      </c>
      <c r="V220" s="199" t="str">
        <f>VLOOKUP(A220,'PUR-PARTY MASTER'!$B$6:$J$250,8,FALSE)</f>
        <v>Local Pur</v>
      </c>
      <c r="W220" s="199" t="s">
        <v>894</v>
      </c>
      <c r="X220" s="404" t="s">
        <v>916</v>
      </c>
      <c r="Y220" s="201" t="str">
        <f>VLOOKUP(X220,'PUR-HSN MASTER'!$A$6:$D$247,2,FALSE)</f>
        <v>G I Dect</v>
      </c>
      <c r="Z220" s="201" t="str">
        <f>VLOOKUP(X220,'PUR-HSN MASTER'!$A$6:$D$247,3,FALSE)</f>
        <v>NOS-NUMBERS</v>
      </c>
      <c r="AA220" s="334" t="str">
        <f>VLOOKUP(X220,'PUR-HSN MASTER'!$A$6:$D$247,4,FALSE)</f>
        <v>Goods</v>
      </c>
      <c r="AB220" s="401">
        <v>1</v>
      </c>
    </row>
    <row r="221" spans="1:28" ht="14.4" x14ac:dyDescent="0.3">
      <c r="A221" s="417" t="s">
        <v>367</v>
      </c>
      <c r="B221" s="199" t="str">
        <f>VLOOKUP(A221,'PUR-PARTY MASTER'!$B$6:$J$250,2,FALSE)</f>
        <v>Bharti Airtel Limited relationship no 1335956435</v>
      </c>
      <c r="C221" s="403">
        <v>980501369</v>
      </c>
      <c r="D221" s="398">
        <v>43152</v>
      </c>
      <c r="E221" s="329">
        <f t="shared" si="29"/>
        <v>5886.6188000000002</v>
      </c>
      <c r="F221" s="199" t="str">
        <f>VLOOKUP(A221,'PUR-PARTY MASTER'!$B$6:$J$250,3,FALSE)</f>
        <v>27-Maharashatra</v>
      </c>
      <c r="G221" s="199" t="str">
        <f>VLOOKUP(A221,'PUR-PARTY MASTER'!$B$6:$J$250,4,FALSE)</f>
        <v>N</v>
      </c>
      <c r="H221" s="199" t="str">
        <f>VLOOKUP(A221,'PUR-PARTY MASTER'!$B$6:$J$250,5,FALSE)</f>
        <v>Regular</v>
      </c>
      <c r="I221" s="199">
        <f>VLOOKUP(A221,'PUR-PARTY MASTER'!$B$6:$J$250,6,FALSE)</f>
        <v>0</v>
      </c>
      <c r="J221" s="201">
        <v>18</v>
      </c>
      <c r="K221" s="400">
        <f>4838+150.66</f>
        <v>4988.66</v>
      </c>
      <c r="L221" s="202">
        <f t="shared" si="30"/>
        <v>0</v>
      </c>
      <c r="M221" s="202">
        <f t="shared" si="31"/>
        <v>448.9794</v>
      </c>
      <c r="N221" s="202">
        <f t="shared" si="32"/>
        <v>448.9794</v>
      </c>
      <c r="O221" s="8">
        <v>0</v>
      </c>
      <c r="P221" s="341" t="s">
        <v>177</v>
      </c>
      <c r="Q221" s="329">
        <f t="shared" si="33"/>
        <v>0</v>
      </c>
      <c r="R221" s="329">
        <f t="shared" si="34"/>
        <v>448.9794</v>
      </c>
      <c r="S221" s="329">
        <f t="shared" si="35"/>
        <v>448.9794</v>
      </c>
      <c r="T221" s="8">
        <f t="shared" si="36"/>
        <v>0</v>
      </c>
      <c r="U221" s="199">
        <f>VLOOKUP(A221,'PUR-PARTY MASTER'!$B$6:$J$250,7,FALSE)</f>
        <v>2</v>
      </c>
      <c r="V221" s="199" t="str">
        <f>VLOOKUP(A221,'PUR-PARTY MASTER'!$B$6:$J$250,8,FALSE)</f>
        <v>Local Pur</v>
      </c>
      <c r="W221" s="199" t="s">
        <v>894</v>
      </c>
      <c r="X221" s="404" t="s">
        <v>609</v>
      </c>
      <c r="Y221" s="201" t="str">
        <f>VLOOKUP(X221,'PUR-HSN MASTER'!$A$6:$D$247,2,FALSE)</f>
        <v>TelecommunicationsBroadcasting</v>
      </c>
      <c r="Z221" s="201" t="str">
        <f>VLOOKUP(X221,'PUR-HSN MASTER'!$A$6:$D$247,3,FALSE)</f>
        <v>NOS-NUMBERS</v>
      </c>
      <c r="AA221" s="334" t="str">
        <f>VLOOKUP(X221,'PUR-HSN MASTER'!$A$6:$D$247,4,FALSE)</f>
        <v>Goods</v>
      </c>
      <c r="AB221" s="401">
        <v>1</v>
      </c>
    </row>
    <row r="222" spans="1:28" ht="14.4" x14ac:dyDescent="0.3">
      <c r="A222" s="429" t="s">
        <v>335</v>
      </c>
      <c r="B222" s="199" t="str">
        <f>VLOOKUP(A222,'PUR-PARTY MASTER'!$B$6:$J$250,2,FALSE)</f>
        <v>Atharva Polymers Pvt Ltd,</v>
      </c>
      <c r="C222" s="403" t="s">
        <v>1432</v>
      </c>
      <c r="D222" s="398">
        <v>43153</v>
      </c>
      <c r="E222" s="329">
        <f t="shared" si="29"/>
        <v>65402.880000000005</v>
      </c>
      <c r="F222" s="199" t="str">
        <f>VLOOKUP(A222,'PUR-PARTY MASTER'!$B$6:$J$250,3,FALSE)</f>
        <v>27-Maharashatra</v>
      </c>
      <c r="G222" s="199" t="str">
        <f>VLOOKUP(A222,'PUR-PARTY MASTER'!$B$6:$J$250,4,FALSE)</f>
        <v>N</v>
      </c>
      <c r="H222" s="199" t="str">
        <f>VLOOKUP(A222,'PUR-PARTY MASTER'!$B$6:$J$250,5,FALSE)</f>
        <v>Regular</v>
      </c>
      <c r="I222" s="199">
        <f>VLOOKUP(A222,'PUR-PARTY MASTER'!$B$6:$J$250,6,FALSE)</f>
        <v>0</v>
      </c>
      <c r="J222" s="201">
        <v>28</v>
      </c>
      <c r="K222" s="400">
        <f>50970+126</f>
        <v>51096</v>
      </c>
      <c r="L222" s="202">
        <f t="shared" si="30"/>
        <v>0</v>
      </c>
      <c r="M222" s="202">
        <f t="shared" si="31"/>
        <v>7153.4400000000005</v>
      </c>
      <c r="N222" s="202">
        <f t="shared" si="32"/>
        <v>7153.4400000000005</v>
      </c>
      <c r="O222" s="8">
        <v>0</v>
      </c>
      <c r="P222" s="341" t="s">
        <v>177</v>
      </c>
      <c r="Q222" s="329">
        <f t="shared" si="33"/>
        <v>0</v>
      </c>
      <c r="R222" s="329">
        <f t="shared" si="34"/>
        <v>7153.4400000000005</v>
      </c>
      <c r="S222" s="329">
        <f t="shared" si="35"/>
        <v>7153.4400000000005</v>
      </c>
      <c r="T222" s="8">
        <f t="shared" si="36"/>
        <v>0</v>
      </c>
      <c r="U222" s="199">
        <f>VLOOKUP(A222,'PUR-PARTY MASTER'!$B$6:$J$250,7,FALSE)</f>
        <v>2</v>
      </c>
      <c r="V222" s="199" t="str">
        <f>VLOOKUP(A222,'PUR-PARTY MASTER'!$B$6:$J$250,8,FALSE)</f>
        <v>Local Pur</v>
      </c>
      <c r="W222" s="199" t="s">
        <v>897</v>
      </c>
      <c r="X222" s="404">
        <v>87141900</v>
      </c>
      <c r="Y222" s="201" t="str">
        <f>VLOOKUP(X222,'PUR-HSN MASTER'!$A$6:$D$247,2,FALSE)</f>
        <v>Parts &amp; Accessories Of Motor Vehicles Other</v>
      </c>
      <c r="Z222" s="201" t="str">
        <f>VLOOKUP(X222,'PUR-HSN MASTER'!$A$6:$D$247,3,FALSE)</f>
        <v>KLR-KILOLITRE</v>
      </c>
      <c r="AA222" s="334" t="str">
        <f>VLOOKUP(X222,'PUR-HSN MASTER'!$A$6:$D$247,4,FALSE)</f>
        <v>Goods</v>
      </c>
      <c r="AB222" s="401">
        <v>1200</v>
      </c>
    </row>
    <row r="223" spans="1:28" ht="14.4" x14ac:dyDescent="0.3">
      <c r="A223" s="429" t="s">
        <v>24</v>
      </c>
      <c r="B223" s="199" t="str">
        <f>VLOOKUP(A223,'PUR-PARTY MASTER'!$B$6:$J$250,2,FALSE)</f>
        <v>Tata Autocomp Systems LTD.(X1)</v>
      </c>
      <c r="C223" s="403" t="s">
        <v>1433</v>
      </c>
      <c r="D223" s="398">
        <v>43153</v>
      </c>
      <c r="E223" s="329">
        <f t="shared" si="29"/>
        <v>2254.08</v>
      </c>
      <c r="F223" s="199" t="str">
        <f>VLOOKUP(A223,'PUR-PARTY MASTER'!$B$6:$J$250,3,FALSE)</f>
        <v>27-Maharashatra</v>
      </c>
      <c r="G223" s="199" t="str">
        <f>VLOOKUP(A223,'PUR-PARTY MASTER'!$B$6:$J$250,4,FALSE)</f>
        <v>N</v>
      </c>
      <c r="H223" s="199" t="str">
        <f>VLOOKUP(A223,'PUR-PARTY MASTER'!$B$6:$J$250,5,FALSE)</f>
        <v>Regular</v>
      </c>
      <c r="I223" s="199">
        <f>VLOOKUP(A223,'PUR-PARTY MASTER'!$B$6:$J$250,6,FALSE)</f>
        <v>0</v>
      </c>
      <c r="J223" s="201">
        <v>28</v>
      </c>
      <c r="K223" s="400">
        <f>880.5+880.5</f>
        <v>1761</v>
      </c>
      <c r="L223" s="202">
        <f t="shared" si="30"/>
        <v>0</v>
      </c>
      <c r="M223" s="202">
        <f t="shared" si="31"/>
        <v>246.54000000000002</v>
      </c>
      <c r="N223" s="202">
        <f t="shared" si="32"/>
        <v>246.54000000000002</v>
      </c>
      <c r="O223" s="8">
        <v>0</v>
      </c>
      <c r="P223" s="341" t="s">
        <v>177</v>
      </c>
      <c r="Q223" s="329">
        <f t="shared" si="33"/>
        <v>0</v>
      </c>
      <c r="R223" s="329">
        <f t="shared" si="34"/>
        <v>246.54000000000002</v>
      </c>
      <c r="S223" s="329">
        <f t="shared" si="35"/>
        <v>246.54000000000002</v>
      </c>
      <c r="T223" s="8">
        <f t="shared" si="36"/>
        <v>0</v>
      </c>
      <c r="U223" s="199">
        <f>VLOOKUP(A223,'PUR-PARTY MASTER'!$B$6:$J$250,7,FALSE)</f>
        <v>2</v>
      </c>
      <c r="V223" s="199" t="str">
        <f>VLOOKUP(A223,'PUR-PARTY MASTER'!$B$6:$J$250,8,FALSE)</f>
        <v>Local Pur</v>
      </c>
      <c r="W223" s="199" t="s">
        <v>897</v>
      </c>
      <c r="X223" s="404">
        <v>87089900</v>
      </c>
      <c r="Y223" s="201" t="str">
        <f>VLOOKUP(X223,'PUR-HSN MASTER'!$A$6:$D$247,2,FALSE)</f>
        <v>Parts &amp; Accessories Of Motor Vehicles Other</v>
      </c>
      <c r="Z223" s="201" t="str">
        <f>VLOOKUP(X223,'PUR-HSN MASTER'!$A$6:$D$247,3,FALSE)</f>
        <v>NOS-NUMBERS</v>
      </c>
      <c r="AA223" s="334" t="str">
        <f>VLOOKUP(X223,'PUR-HSN MASTER'!$A$6:$D$247,4,FALSE)</f>
        <v>Goods</v>
      </c>
      <c r="AB223" s="401">
        <v>300</v>
      </c>
    </row>
    <row r="224" spans="1:28" ht="14.4" x14ac:dyDescent="0.3">
      <c r="A224" s="429" t="s">
        <v>24</v>
      </c>
      <c r="B224" s="199" t="str">
        <f>VLOOKUP(A224,'PUR-PARTY MASTER'!$B$6:$J$250,2,FALSE)</f>
        <v>Tata Autocomp Systems LTD.(X1)</v>
      </c>
      <c r="C224" s="403" t="s">
        <v>1433</v>
      </c>
      <c r="D224" s="398">
        <v>43153</v>
      </c>
      <c r="E224" s="329">
        <f t="shared" si="29"/>
        <v>13173.913600000002</v>
      </c>
      <c r="F224" s="199" t="str">
        <f>VLOOKUP(A224,'PUR-PARTY MASTER'!$B$6:$J$250,3,FALSE)</f>
        <v>27-Maharashatra</v>
      </c>
      <c r="G224" s="199" t="str">
        <f>VLOOKUP(A224,'PUR-PARTY MASTER'!$B$6:$J$250,4,FALSE)</f>
        <v>N</v>
      </c>
      <c r="H224" s="199" t="str">
        <f>VLOOKUP(A224,'PUR-PARTY MASTER'!$B$6:$J$250,5,FALSE)</f>
        <v>Regular</v>
      </c>
      <c r="I224" s="199">
        <f>VLOOKUP(A224,'PUR-PARTY MASTER'!$B$6:$J$250,6,FALSE)</f>
        <v>0</v>
      </c>
      <c r="J224" s="201">
        <v>28</v>
      </c>
      <c r="K224" s="400">
        <v>10292.120000000001</v>
      </c>
      <c r="L224" s="202">
        <f t="shared" si="30"/>
        <v>0</v>
      </c>
      <c r="M224" s="202">
        <f t="shared" si="31"/>
        <v>1440.8968000000002</v>
      </c>
      <c r="N224" s="202">
        <f t="shared" si="32"/>
        <v>1440.8968000000002</v>
      </c>
      <c r="O224" s="8">
        <v>0</v>
      </c>
      <c r="P224" s="341" t="s">
        <v>177</v>
      </c>
      <c r="Q224" s="329">
        <f t="shared" si="33"/>
        <v>0</v>
      </c>
      <c r="R224" s="329">
        <f t="shared" si="34"/>
        <v>1440.8968000000002</v>
      </c>
      <c r="S224" s="329">
        <f t="shared" si="35"/>
        <v>1440.8968000000002</v>
      </c>
      <c r="T224" s="8">
        <f t="shared" si="36"/>
        <v>0</v>
      </c>
      <c r="U224" s="199">
        <f>VLOOKUP(A224,'PUR-PARTY MASTER'!$B$6:$J$250,7,FALSE)</f>
        <v>2</v>
      </c>
      <c r="V224" s="199" t="str">
        <f>VLOOKUP(A224,'PUR-PARTY MASTER'!$B$6:$J$250,8,FALSE)</f>
        <v>Local Pur</v>
      </c>
      <c r="W224" s="199" t="s">
        <v>897</v>
      </c>
      <c r="X224" s="404">
        <v>87081090</v>
      </c>
      <c r="Y224" s="201" t="str">
        <f>VLOOKUP(X224,'PUR-HSN MASTER'!$A$6:$D$247,2,FALSE)</f>
        <v>Parts &amp; Accessories Of Motor Vehicles Other</v>
      </c>
      <c r="Z224" s="201" t="str">
        <f>VLOOKUP(X224,'PUR-HSN MASTER'!$A$6:$D$247,3,FALSE)</f>
        <v>NOS-NUMBERS</v>
      </c>
      <c r="AA224" s="334" t="str">
        <f>VLOOKUP(X224,'PUR-HSN MASTER'!$A$6:$D$247,4,FALSE)</f>
        <v>Goods</v>
      </c>
      <c r="AB224" s="401">
        <v>79</v>
      </c>
    </row>
    <row r="225" spans="1:28" ht="14.4" x14ac:dyDescent="0.3">
      <c r="A225" s="429" t="s">
        <v>862</v>
      </c>
      <c r="B225" s="199" t="str">
        <f>VLOOKUP(A225,'PUR-PARTY MASTER'!$B$6:$J$250,2,FALSE)</f>
        <v xml:space="preserve">Varroc Engineering Ltd </v>
      </c>
      <c r="C225" s="403">
        <v>22240000829</v>
      </c>
      <c r="D225" s="398">
        <v>43153</v>
      </c>
      <c r="E225" s="329">
        <f t="shared" si="29"/>
        <v>9192.9600000000009</v>
      </c>
      <c r="F225" s="199" t="str">
        <f>VLOOKUP(A225,'PUR-PARTY MASTER'!$B$6:$J$250,3,FALSE)</f>
        <v>27-Maharashatra</v>
      </c>
      <c r="G225" s="199" t="str">
        <f>VLOOKUP(A225,'PUR-PARTY MASTER'!$B$6:$J$250,4,FALSE)</f>
        <v>N</v>
      </c>
      <c r="H225" s="199" t="str">
        <f>VLOOKUP(A225,'PUR-PARTY MASTER'!$B$6:$J$250,5,FALSE)</f>
        <v>Regular</v>
      </c>
      <c r="I225" s="199">
        <f>VLOOKUP(A225,'PUR-PARTY MASTER'!$B$6:$J$250,6,FALSE)</f>
        <v>0</v>
      </c>
      <c r="J225" s="201">
        <v>28</v>
      </c>
      <c r="K225" s="400">
        <v>7182</v>
      </c>
      <c r="L225" s="202">
        <f t="shared" si="30"/>
        <v>0</v>
      </c>
      <c r="M225" s="202">
        <f t="shared" si="31"/>
        <v>1005.4800000000001</v>
      </c>
      <c r="N225" s="202">
        <f t="shared" si="32"/>
        <v>1005.4800000000001</v>
      </c>
      <c r="O225" s="8">
        <v>0</v>
      </c>
      <c r="P225" s="341" t="s">
        <v>177</v>
      </c>
      <c r="Q225" s="329">
        <f t="shared" si="33"/>
        <v>0</v>
      </c>
      <c r="R225" s="329">
        <f t="shared" si="34"/>
        <v>1005.4800000000001</v>
      </c>
      <c r="S225" s="329">
        <f t="shared" si="35"/>
        <v>1005.4800000000001</v>
      </c>
      <c r="T225" s="8">
        <f t="shared" si="36"/>
        <v>0</v>
      </c>
      <c r="U225" s="199">
        <f>VLOOKUP(A225,'PUR-PARTY MASTER'!$B$6:$J$250,7,FALSE)</f>
        <v>2</v>
      </c>
      <c r="V225" s="199" t="str">
        <f>VLOOKUP(A225,'PUR-PARTY MASTER'!$B$6:$J$250,8,FALSE)</f>
        <v>Local Pur</v>
      </c>
      <c r="W225" s="199" t="s">
        <v>897</v>
      </c>
      <c r="X225" s="404">
        <v>87142090</v>
      </c>
      <c r="Y225" s="201" t="str">
        <f>VLOOKUP(X225,'PUR-HSN MASTER'!$A$6:$D$247,2,FALSE)</f>
        <v>Parts &amp; Accessories Of Motor Vehicles Other</v>
      </c>
      <c r="Z225" s="201" t="str">
        <f>VLOOKUP(X225,'PUR-HSN MASTER'!$A$6:$D$247,3,FALSE)</f>
        <v>NOS-NUMBERS</v>
      </c>
      <c r="AA225" s="334" t="str">
        <f>VLOOKUP(X225,'PUR-HSN MASTER'!$A$6:$D$247,4,FALSE)</f>
        <v>Goods</v>
      </c>
      <c r="AB225" s="401">
        <v>840</v>
      </c>
    </row>
    <row r="226" spans="1:28" ht="14.4" x14ac:dyDescent="0.3">
      <c r="A226" s="429" t="s">
        <v>862</v>
      </c>
      <c r="B226" s="199" t="str">
        <f>VLOOKUP(A226,'PUR-PARTY MASTER'!$B$6:$J$250,2,FALSE)</f>
        <v xml:space="preserve">Varroc Engineering Ltd </v>
      </c>
      <c r="C226" s="403">
        <v>22240000828</v>
      </c>
      <c r="D226" s="398">
        <v>43153</v>
      </c>
      <c r="E226" s="329">
        <f t="shared" si="29"/>
        <v>22571.520000000004</v>
      </c>
      <c r="F226" s="199" t="str">
        <f>VLOOKUP(A226,'PUR-PARTY MASTER'!$B$6:$J$250,3,FALSE)</f>
        <v>27-Maharashatra</v>
      </c>
      <c r="G226" s="199" t="str">
        <f>VLOOKUP(A226,'PUR-PARTY MASTER'!$B$6:$J$250,4,FALSE)</f>
        <v>N</v>
      </c>
      <c r="H226" s="199" t="str">
        <f>VLOOKUP(A226,'PUR-PARTY MASTER'!$B$6:$J$250,5,FALSE)</f>
        <v>Regular</v>
      </c>
      <c r="I226" s="199">
        <f>VLOOKUP(A226,'PUR-PARTY MASTER'!$B$6:$J$250,6,FALSE)</f>
        <v>0</v>
      </c>
      <c r="J226" s="201">
        <v>28</v>
      </c>
      <c r="K226" s="400">
        <v>17634</v>
      </c>
      <c r="L226" s="202">
        <f t="shared" si="30"/>
        <v>0</v>
      </c>
      <c r="M226" s="202">
        <f t="shared" si="31"/>
        <v>2468.7600000000002</v>
      </c>
      <c r="N226" s="202">
        <f t="shared" si="32"/>
        <v>2468.7600000000002</v>
      </c>
      <c r="O226" s="8">
        <v>0</v>
      </c>
      <c r="P226" s="341" t="s">
        <v>177</v>
      </c>
      <c r="Q226" s="329">
        <f t="shared" si="33"/>
        <v>0</v>
      </c>
      <c r="R226" s="329">
        <f t="shared" si="34"/>
        <v>2468.7600000000002</v>
      </c>
      <c r="S226" s="329">
        <f t="shared" si="35"/>
        <v>2468.7600000000002</v>
      </c>
      <c r="T226" s="8">
        <f t="shared" si="36"/>
        <v>0</v>
      </c>
      <c r="U226" s="199">
        <f>VLOOKUP(A226,'PUR-PARTY MASTER'!$B$6:$J$250,7,FALSE)</f>
        <v>2</v>
      </c>
      <c r="V226" s="199" t="str">
        <f>VLOOKUP(A226,'PUR-PARTY MASTER'!$B$6:$J$250,8,FALSE)</f>
        <v>Local Pur</v>
      </c>
      <c r="W226" s="199" t="s">
        <v>897</v>
      </c>
      <c r="X226" s="404">
        <v>87142090</v>
      </c>
      <c r="Y226" s="201" t="str">
        <f>VLOOKUP(X226,'PUR-HSN MASTER'!$A$6:$D$247,2,FALSE)</f>
        <v>Parts &amp; Accessories Of Motor Vehicles Other</v>
      </c>
      <c r="Z226" s="201" t="str">
        <f>VLOOKUP(X226,'PUR-HSN MASTER'!$A$6:$D$247,3,FALSE)</f>
        <v>NOS-NUMBERS</v>
      </c>
      <c r="AA226" s="334" t="str">
        <f>VLOOKUP(X226,'PUR-HSN MASTER'!$A$6:$D$247,4,FALSE)</f>
        <v>Goods</v>
      </c>
      <c r="AB226" s="401">
        <v>600</v>
      </c>
    </row>
    <row r="227" spans="1:28" ht="14.4" x14ac:dyDescent="0.3">
      <c r="A227" s="429" t="s">
        <v>333</v>
      </c>
      <c r="B227" s="199" t="str">
        <f>VLOOKUP(A227,'PUR-PARTY MASTER'!$B$6:$J$250,2,FALSE)</f>
        <v>Aditya Enteprises</v>
      </c>
      <c r="C227" s="403">
        <v>4887</v>
      </c>
      <c r="D227" s="398">
        <v>43153</v>
      </c>
      <c r="E227" s="329">
        <f t="shared" si="29"/>
        <v>17673.804</v>
      </c>
      <c r="F227" s="199" t="str">
        <f>VLOOKUP(A227,'PUR-PARTY MASTER'!$B$6:$J$250,3,FALSE)</f>
        <v>27-Maharashatra</v>
      </c>
      <c r="G227" s="199" t="str">
        <f>VLOOKUP(A227,'PUR-PARTY MASTER'!$B$6:$J$250,4,FALSE)</f>
        <v>N</v>
      </c>
      <c r="H227" s="199" t="str">
        <f>VLOOKUP(A227,'PUR-PARTY MASTER'!$B$6:$J$250,5,FALSE)</f>
        <v>Regular</v>
      </c>
      <c r="I227" s="199">
        <f>VLOOKUP(A227,'PUR-PARTY MASTER'!$B$6:$J$250,6,FALSE)</f>
        <v>0</v>
      </c>
      <c r="J227" s="201">
        <v>18</v>
      </c>
      <c r="K227" s="400">
        <v>14977.8</v>
      </c>
      <c r="L227" s="202">
        <f t="shared" si="30"/>
        <v>0</v>
      </c>
      <c r="M227" s="202">
        <f t="shared" si="31"/>
        <v>1348.002</v>
      </c>
      <c r="N227" s="202">
        <f t="shared" si="32"/>
        <v>1348.002</v>
      </c>
      <c r="O227" s="8">
        <v>0</v>
      </c>
      <c r="P227" s="341" t="s">
        <v>177</v>
      </c>
      <c r="Q227" s="329">
        <f t="shared" si="33"/>
        <v>0</v>
      </c>
      <c r="R227" s="329">
        <f t="shared" si="34"/>
        <v>1348.002</v>
      </c>
      <c r="S227" s="329">
        <f t="shared" si="35"/>
        <v>1348.002</v>
      </c>
      <c r="T227" s="8">
        <f t="shared" si="36"/>
        <v>0</v>
      </c>
      <c r="U227" s="199">
        <f>VLOOKUP(A227,'PUR-PARTY MASTER'!$B$6:$J$250,7,FALSE)</f>
        <v>2</v>
      </c>
      <c r="V227" s="199" t="str">
        <f>VLOOKUP(A227,'PUR-PARTY MASTER'!$B$6:$J$250,8,FALSE)</f>
        <v>Local Pur</v>
      </c>
      <c r="W227" s="199" t="s">
        <v>894</v>
      </c>
      <c r="X227" s="404">
        <v>85129000</v>
      </c>
      <c r="Y227" s="201" t="str">
        <f>VLOOKUP(X227,'PUR-HSN MASTER'!$A$6:$D$247,2,FALSE)</f>
        <v>Lighting &amp; Fitting</v>
      </c>
      <c r="Z227" s="201" t="str">
        <f>VLOOKUP(X227,'PUR-HSN MASTER'!$A$6:$D$247,3,FALSE)</f>
        <v>NOS-NUMBERS</v>
      </c>
      <c r="AA227" s="334" t="str">
        <f>VLOOKUP(X227,'PUR-HSN MASTER'!$A$6:$D$247,4,FALSE)</f>
        <v>Goods</v>
      </c>
      <c r="AB227" s="401">
        <v>1590</v>
      </c>
    </row>
    <row r="228" spans="1:28" ht="14.4" x14ac:dyDescent="0.3">
      <c r="A228" s="429" t="s">
        <v>23</v>
      </c>
      <c r="B228" s="199" t="str">
        <f>VLOOKUP(A228,'PUR-PARTY MASTER'!$B$6:$J$250,2,FALSE)</f>
        <v>Varroc Polymers Pvt Ltd,</v>
      </c>
      <c r="C228" s="403">
        <v>2041075519</v>
      </c>
      <c r="D228" s="398">
        <v>43154</v>
      </c>
      <c r="E228" s="329">
        <f t="shared" si="29"/>
        <v>4499.9679999999998</v>
      </c>
      <c r="F228" s="199" t="str">
        <f>VLOOKUP(A228,'PUR-PARTY MASTER'!$B$6:$J$250,3,FALSE)</f>
        <v>27-Maharashatra</v>
      </c>
      <c r="G228" s="199" t="str">
        <f>VLOOKUP(A228,'PUR-PARTY MASTER'!$B$6:$J$250,4,FALSE)</f>
        <v>N</v>
      </c>
      <c r="H228" s="199" t="str">
        <f>VLOOKUP(A228,'PUR-PARTY MASTER'!$B$6:$J$250,5,FALSE)</f>
        <v>Regular</v>
      </c>
      <c r="I228" s="199">
        <f>VLOOKUP(A228,'PUR-PARTY MASTER'!$B$6:$J$250,6,FALSE)</f>
        <v>0</v>
      </c>
      <c r="J228" s="201">
        <v>28</v>
      </c>
      <c r="K228" s="400">
        <v>3515.6</v>
      </c>
      <c r="L228" s="202">
        <f t="shared" si="30"/>
        <v>0</v>
      </c>
      <c r="M228" s="202">
        <f t="shared" si="31"/>
        <v>492.18400000000003</v>
      </c>
      <c r="N228" s="202">
        <f t="shared" si="32"/>
        <v>492.18400000000003</v>
      </c>
      <c r="O228" s="8">
        <v>0</v>
      </c>
      <c r="P228" s="341" t="s">
        <v>177</v>
      </c>
      <c r="Q228" s="329">
        <f t="shared" si="33"/>
        <v>0</v>
      </c>
      <c r="R228" s="329">
        <f t="shared" si="34"/>
        <v>492.18400000000003</v>
      </c>
      <c r="S228" s="329">
        <f t="shared" si="35"/>
        <v>492.18400000000003</v>
      </c>
      <c r="T228" s="8">
        <f t="shared" si="36"/>
        <v>0</v>
      </c>
      <c r="U228" s="199">
        <f>VLOOKUP(A228,'PUR-PARTY MASTER'!$B$6:$J$250,7,FALSE)</f>
        <v>2</v>
      </c>
      <c r="V228" s="199" t="str">
        <f>VLOOKUP(A228,'PUR-PARTY MASTER'!$B$6:$J$250,8,FALSE)</f>
        <v>Local Pur</v>
      </c>
      <c r="W228" s="199" t="s">
        <v>897</v>
      </c>
      <c r="X228" s="404">
        <v>87141090</v>
      </c>
      <c r="Y228" s="201" t="str">
        <f>VLOOKUP(X228,'PUR-HSN MASTER'!$A$6:$D$247,2,FALSE)</f>
        <v>Parts &amp; Accessories Of Motor Vehicles Other</v>
      </c>
      <c r="Z228" s="201" t="str">
        <f>VLOOKUP(X228,'PUR-HSN MASTER'!$A$6:$D$247,3,FALSE)</f>
        <v>NOS-NUMBERS</v>
      </c>
      <c r="AA228" s="334" t="str">
        <f>VLOOKUP(X228,'PUR-HSN MASTER'!$A$6:$D$247,4,FALSE)</f>
        <v>Goods</v>
      </c>
      <c r="AB228" s="401">
        <v>170</v>
      </c>
    </row>
    <row r="229" spans="1:28" ht="14.4" x14ac:dyDescent="0.3">
      <c r="A229" s="429" t="s">
        <v>23</v>
      </c>
      <c r="B229" s="199" t="str">
        <f>VLOOKUP(A229,'PUR-PARTY MASTER'!$B$6:$J$250,2,FALSE)</f>
        <v>Varroc Polymers Pvt Ltd,</v>
      </c>
      <c r="C229" s="403">
        <v>2041075520</v>
      </c>
      <c r="D229" s="398">
        <v>43154</v>
      </c>
      <c r="E229" s="329">
        <f t="shared" si="29"/>
        <v>4499.9679999999998</v>
      </c>
      <c r="F229" s="199" t="str">
        <f>VLOOKUP(A229,'PUR-PARTY MASTER'!$B$6:$J$250,3,FALSE)</f>
        <v>27-Maharashatra</v>
      </c>
      <c r="G229" s="199" t="str">
        <f>VLOOKUP(A229,'PUR-PARTY MASTER'!$B$6:$J$250,4,FALSE)</f>
        <v>N</v>
      </c>
      <c r="H229" s="199" t="str">
        <f>VLOOKUP(A229,'PUR-PARTY MASTER'!$B$6:$J$250,5,FALSE)</f>
        <v>Regular</v>
      </c>
      <c r="I229" s="199">
        <f>VLOOKUP(A229,'PUR-PARTY MASTER'!$B$6:$J$250,6,FALSE)</f>
        <v>0</v>
      </c>
      <c r="J229" s="201">
        <v>28</v>
      </c>
      <c r="K229" s="400">
        <v>3515.6</v>
      </c>
      <c r="L229" s="202">
        <f t="shared" si="30"/>
        <v>0</v>
      </c>
      <c r="M229" s="202">
        <f t="shared" si="31"/>
        <v>492.18400000000003</v>
      </c>
      <c r="N229" s="202">
        <f t="shared" si="32"/>
        <v>492.18400000000003</v>
      </c>
      <c r="O229" s="8">
        <v>0</v>
      </c>
      <c r="P229" s="341" t="s">
        <v>177</v>
      </c>
      <c r="Q229" s="329">
        <f t="shared" si="33"/>
        <v>0</v>
      </c>
      <c r="R229" s="329">
        <f t="shared" si="34"/>
        <v>492.18400000000003</v>
      </c>
      <c r="S229" s="329">
        <f t="shared" si="35"/>
        <v>492.18400000000003</v>
      </c>
      <c r="T229" s="8">
        <f t="shared" si="36"/>
        <v>0</v>
      </c>
      <c r="U229" s="199">
        <f>VLOOKUP(A229,'PUR-PARTY MASTER'!$B$6:$J$250,7,FALSE)</f>
        <v>2</v>
      </c>
      <c r="V229" s="199" t="str">
        <f>VLOOKUP(A229,'PUR-PARTY MASTER'!$B$6:$J$250,8,FALSE)</f>
        <v>Local Pur</v>
      </c>
      <c r="W229" s="199" t="s">
        <v>897</v>
      </c>
      <c r="X229" s="404">
        <v>87141090</v>
      </c>
      <c r="Y229" s="201" t="str">
        <f>VLOOKUP(X229,'PUR-HSN MASTER'!$A$6:$D$247,2,FALSE)</f>
        <v>Parts &amp; Accessories Of Motor Vehicles Other</v>
      </c>
      <c r="Z229" s="201" t="str">
        <f>VLOOKUP(X229,'PUR-HSN MASTER'!$A$6:$D$247,3,FALSE)</f>
        <v>NOS-NUMBERS</v>
      </c>
      <c r="AA229" s="334" t="str">
        <f>VLOOKUP(X229,'PUR-HSN MASTER'!$A$6:$D$247,4,FALSE)</f>
        <v>Goods</v>
      </c>
      <c r="AB229" s="401">
        <v>170</v>
      </c>
    </row>
    <row r="230" spans="1:28" ht="14.4" x14ac:dyDescent="0.3">
      <c r="A230" s="429" t="s">
        <v>363</v>
      </c>
      <c r="B230" s="199" t="str">
        <f>VLOOKUP(A230,'PUR-PARTY MASTER'!$B$6:$J$250,2,FALSE)</f>
        <v>Mrf Corp Limited</v>
      </c>
      <c r="C230" s="403">
        <v>9330001244</v>
      </c>
      <c r="D230" s="398">
        <v>43154</v>
      </c>
      <c r="E230" s="329">
        <f t="shared" si="29"/>
        <v>43737.600000000006</v>
      </c>
      <c r="F230" s="199" t="str">
        <f>VLOOKUP(A230,'PUR-PARTY MASTER'!$B$6:$J$250,3,FALSE)</f>
        <v>27-Maharashatra</v>
      </c>
      <c r="G230" s="199" t="str">
        <f>VLOOKUP(A230,'PUR-PARTY MASTER'!$B$6:$J$250,4,FALSE)</f>
        <v>N</v>
      </c>
      <c r="H230" s="199" t="str">
        <f>VLOOKUP(A230,'PUR-PARTY MASTER'!$B$6:$J$250,5,FALSE)</f>
        <v>Regular</v>
      </c>
      <c r="I230" s="199">
        <f>VLOOKUP(A230,'PUR-PARTY MASTER'!$B$6:$J$250,6,FALSE)</f>
        <v>0</v>
      </c>
      <c r="J230" s="201">
        <v>28</v>
      </c>
      <c r="K230" s="400">
        <v>34170</v>
      </c>
      <c r="L230" s="202">
        <f t="shared" si="30"/>
        <v>0</v>
      </c>
      <c r="M230" s="202">
        <f t="shared" si="31"/>
        <v>4783.8</v>
      </c>
      <c r="N230" s="202">
        <f t="shared" si="32"/>
        <v>4783.8</v>
      </c>
      <c r="O230" s="8">
        <v>0</v>
      </c>
      <c r="P230" s="341" t="s">
        <v>177</v>
      </c>
      <c r="Q230" s="329">
        <f t="shared" si="33"/>
        <v>0</v>
      </c>
      <c r="R230" s="329">
        <f t="shared" si="34"/>
        <v>4783.8</v>
      </c>
      <c r="S230" s="329">
        <f t="shared" si="35"/>
        <v>4783.8</v>
      </c>
      <c r="T230" s="8">
        <f t="shared" si="36"/>
        <v>0</v>
      </c>
      <c r="U230" s="199">
        <f>VLOOKUP(A230,'PUR-PARTY MASTER'!$B$6:$J$250,7,FALSE)</f>
        <v>2</v>
      </c>
      <c r="V230" s="199" t="str">
        <f>VLOOKUP(A230,'PUR-PARTY MASTER'!$B$6:$J$250,8,FALSE)</f>
        <v>Local Pur</v>
      </c>
      <c r="W230" s="199" t="s">
        <v>897</v>
      </c>
      <c r="X230" s="404">
        <v>32082090</v>
      </c>
      <c r="Y230" s="201" t="str">
        <f>VLOOKUP(X230,'PUR-HSN MASTER'!$A$6:$D$247,2,FALSE)</f>
        <v>Others ( Paint &amp; Varnishes)</v>
      </c>
      <c r="Z230" s="201" t="str">
        <f>VLOOKUP(X230,'PUR-HSN MASTER'!$A$6:$D$247,3,FALSE)</f>
        <v>KLR-KILOLITRE</v>
      </c>
      <c r="AA230" s="334" t="str">
        <f>VLOOKUP(X230,'PUR-HSN MASTER'!$A$6:$D$247,4,FALSE)</f>
        <v>Goods</v>
      </c>
      <c r="AB230" s="401">
        <v>102</v>
      </c>
    </row>
    <row r="231" spans="1:28" ht="14.4" x14ac:dyDescent="0.3">
      <c r="A231" s="429" t="s">
        <v>379</v>
      </c>
      <c r="B231" s="199" t="str">
        <f>VLOOKUP(A231,'PUR-PARTY MASTER'!$B$6:$J$250,2,FALSE)</f>
        <v>Allwell Products</v>
      </c>
      <c r="C231" s="403" t="s">
        <v>1434</v>
      </c>
      <c r="D231" s="398">
        <v>43154</v>
      </c>
      <c r="E231" s="329">
        <f t="shared" si="29"/>
        <v>404976</v>
      </c>
      <c r="F231" s="199" t="str">
        <f>VLOOKUP(A231,'PUR-PARTY MASTER'!$B$6:$J$250,3,FALSE)</f>
        <v>27-Maharashatra</v>
      </c>
      <c r="G231" s="199" t="str">
        <f>VLOOKUP(A231,'PUR-PARTY MASTER'!$B$6:$J$250,4,FALSE)</f>
        <v>N</v>
      </c>
      <c r="H231" s="199" t="str">
        <f>VLOOKUP(A231,'PUR-PARTY MASTER'!$B$6:$J$250,5,FALSE)</f>
        <v>Regular</v>
      </c>
      <c r="I231" s="199">
        <f>VLOOKUP(A231,'PUR-PARTY MASTER'!$B$6:$J$250,6,FALSE)</f>
        <v>0</v>
      </c>
      <c r="J231" s="201">
        <v>18</v>
      </c>
      <c r="K231" s="400">
        <v>343200</v>
      </c>
      <c r="L231" s="202">
        <f t="shared" si="30"/>
        <v>0</v>
      </c>
      <c r="M231" s="202">
        <f t="shared" si="31"/>
        <v>30888</v>
      </c>
      <c r="N231" s="202">
        <f t="shared" si="32"/>
        <v>30888</v>
      </c>
      <c r="O231" s="8">
        <v>0</v>
      </c>
      <c r="P231" s="341" t="s">
        <v>177</v>
      </c>
      <c r="Q231" s="329">
        <f t="shared" si="33"/>
        <v>0</v>
      </c>
      <c r="R231" s="329">
        <f t="shared" si="34"/>
        <v>30888</v>
      </c>
      <c r="S231" s="329">
        <f t="shared" si="35"/>
        <v>30888</v>
      </c>
      <c r="T231" s="8">
        <f t="shared" si="36"/>
        <v>0</v>
      </c>
      <c r="U231" s="199">
        <f>VLOOKUP(A231,'PUR-PARTY MASTER'!$B$6:$J$250,7,FALSE)</f>
        <v>2</v>
      </c>
      <c r="V231" s="199" t="str">
        <f>VLOOKUP(A231,'PUR-PARTY MASTER'!$B$6:$J$250,8,FALSE)</f>
        <v>Local Pur</v>
      </c>
      <c r="W231" s="199" t="s">
        <v>894</v>
      </c>
      <c r="X231" s="404">
        <v>8466300</v>
      </c>
      <c r="Y231" s="201" t="str">
        <f>VLOOKUP(X231,'PUR-HSN MASTER'!$A$6:$D$247,2,FALSE)</f>
        <v>Allwell Skid</v>
      </c>
      <c r="Z231" s="201" t="str">
        <f>VLOOKUP(X231,'PUR-HSN MASTER'!$A$6:$D$247,3,FALSE)</f>
        <v>NOS-NUMBERS</v>
      </c>
      <c r="AA231" s="334" t="str">
        <f>VLOOKUP(X231,'PUR-HSN MASTER'!$A$6:$D$247,4,FALSE)</f>
        <v>Goods</v>
      </c>
      <c r="AB231" s="401">
        <v>88</v>
      </c>
    </row>
    <row r="232" spans="1:28" ht="14.4" x14ac:dyDescent="0.3">
      <c r="A232" s="429" t="s">
        <v>379</v>
      </c>
      <c r="B232" s="199" t="str">
        <f>VLOOKUP(A232,'PUR-PARTY MASTER'!$B$6:$J$250,2,FALSE)</f>
        <v>Allwell Products</v>
      </c>
      <c r="C232" s="403" t="s">
        <v>1435</v>
      </c>
      <c r="D232" s="398">
        <v>43154</v>
      </c>
      <c r="E232" s="329">
        <f t="shared" si="29"/>
        <v>8850</v>
      </c>
      <c r="F232" s="199" t="str">
        <f>VLOOKUP(A232,'PUR-PARTY MASTER'!$B$6:$J$250,3,FALSE)</f>
        <v>27-Maharashatra</v>
      </c>
      <c r="G232" s="199" t="str">
        <f>VLOOKUP(A232,'PUR-PARTY MASTER'!$B$6:$J$250,4,FALSE)</f>
        <v>N</v>
      </c>
      <c r="H232" s="199" t="str">
        <f>VLOOKUP(A232,'PUR-PARTY MASTER'!$B$6:$J$250,5,FALSE)</f>
        <v>Regular</v>
      </c>
      <c r="I232" s="199">
        <f>VLOOKUP(A232,'PUR-PARTY MASTER'!$B$6:$J$250,6,FALSE)</f>
        <v>0</v>
      </c>
      <c r="J232" s="201">
        <v>18</v>
      </c>
      <c r="K232" s="400">
        <v>7500</v>
      </c>
      <c r="L232" s="202">
        <f t="shared" si="30"/>
        <v>0</v>
      </c>
      <c r="M232" s="202">
        <f t="shared" si="31"/>
        <v>675</v>
      </c>
      <c r="N232" s="202">
        <f t="shared" si="32"/>
        <v>675</v>
      </c>
      <c r="O232" s="8">
        <v>0</v>
      </c>
      <c r="P232" s="341" t="s">
        <v>177</v>
      </c>
      <c r="Q232" s="329">
        <f t="shared" si="33"/>
        <v>0</v>
      </c>
      <c r="R232" s="329">
        <f t="shared" si="34"/>
        <v>675</v>
      </c>
      <c r="S232" s="329">
        <f t="shared" si="35"/>
        <v>675</v>
      </c>
      <c r="T232" s="8">
        <f t="shared" si="36"/>
        <v>0</v>
      </c>
      <c r="U232" s="199">
        <f>VLOOKUP(A232,'PUR-PARTY MASTER'!$B$6:$J$250,7,FALSE)</f>
        <v>2</v>
      </c>
      <c r="V232" s="199" t="str">
        <f>VLOOKUP(A232,'PUR-PARTY MASTER'!$B$6:$J$250,8,FALSE)</f>
        <v>Local Pur</v>
      </c>
      <c r="W232" s="199" t="s">
        <v>894</v>
      </c>
      <c r="X232" s="404">
        <v>84663020</v>
      </c>
      <c r="Y232" s="201" t="str">
        <f>VLOOKUP(X232,'PUR-HSN MASTER'!$A$6:$D$247,2,FALSE)</f>
        <v>Mast Double Pipe Mod1</v>
      </c>
      <c r="Z232" s="201" t="str">
        <f>VLOOKUP(X232,'PUR-HSN MASTER'!$A$6:$D$247,3,FALSE)</f>
        <v>NOS-NUMBERS</v>
      </c>
      <c r="AA232" s="334" t="str">
        <f>VLOOKUP(X232,'PUR-HSN MASTER'!$A$6:$D$247,4,FALSE)</f>
        <v>Goods</v>
      </c>
      <c r="AB232" s="401">
        <v>5</v>
      </c>
    </row>
    <row r="233" spans="1:28" ht="14.4" x14ac:dyDescent="0.3">
      <c r="A233" s="429" t="s">
        <v>350</v>
      </c>
      <c r="B233" s="199" t="str">
        <f>VLOOKUP(A233,'PUR-PARTY MASTER'!$B$6:$J$250,2,FALSE)</f>
        <v>Micro Plast</v>
      </c>
      <c r="C233" s="403" t="s">
        <v>1436</v>
      </c>
      <c r="D233" s="398">
        <v>43154</v>
      </c>
      <c r="E233" s="329">
        <f t="shared" si="29"/>
        <v>37052.927999999993</v>
      </c>
      <c r="F233" s="199" t="str">
        <f>VLOOKUP(A233,'PUR-PARTY MASTER'!$B$6:$J$250,3,FALSE)</f>
        <v>27-Maharashatra</v>
      </c>
      <c r="G233" s="199" t="str">
        <f>VLOOKUP(A233,'PUR-PARTY MASTER'!$B$6:$J$250,4,FALSE)</f>
        <v>N</v>
      </c>
      <c r="H233" s="199" t="str">
        <f>VLOOKUP(A233,'PUR-PARTY MASTER'!$B$6:$J$250,5,FALSE)</f>
        <v>Regular</v>
      </c>
      <c r="I233" s="199">
        <f>VLOOKUP(A233,'PUR-PARTY MASTER'!$B$6:$J$250,6,FALSE)</f>
        <v>0</v>
      </c>
      <c r="J233" s="201">
        <v>28</v>
      </c>
      <c r="K233" s="400">
        <v>28947.599999999999</v>
      </c>
      <c r="L233" s="202">
        <f t="shared" si="30"/>
        <v>0</v>
      </c>
      <c r="M233" s="202">
        <f t="shared" si="31"/>
        <v>4052.6640000000002</v>
      </c>
      <c r="N233" s="202">
        <f t="shared" si="32"/>
        <v>4052.6640000000002</v>
      </c>
      <c r="O233" s="8">
        <v>0</v>
      </c>
      <c r="P233" s="341" t="s">
        <v>177</v>
      </c>
      <c r="Q233" s="329">
        <f t="shared" si="33"/>
        <v>0</v>
      </c>
      <c r="R233" s="329">
        <f t="shared" si="34"/>
        <v>4052.6640000000002</v>
      </c>
      <c r="S233" s="329">
        <f t="shared" si="35"/>
        <v>4052.6640000000002</v>
      </c>
      <c r="T233" s="8">
        <f t="shared" si="36"/>
        <v>0</v>
      </c>
      <c r="U233" s="199">
        <f>VLOOKUP(A233,'PUR-PARTY MASTER'!$B$6:$J$250,7,FALSE)</f>
        <v>2</v>
      </c>
      <c r="V233" s="199" t="str">
        <f>VLOOKUP(A233,'PUR-PARTY MASTER'!$B$6:$J$250,8,FALSE)</f>
        <v>Local Pur</v>
      </c>
      <c r="W233" s="199" t="s">
        <v>897</v>
      </c>
      <c r="X233" s="404">
        <v>87082900</v>
      </c>
      <c r="Y233" s="201" t="str">
        <f>VLOOKUP(X233,'PUR-HSN MASTER'!$A$6:$D$247,2,FALSE)</f>
        <v>Parts &amp; Accessories Of Motor Vehicles Other</v>
      </c>
      <c r="Z233" s="201" t="str">
        <f>VLOOKUP(X233,'PUR-HSN MASTER'!$A$6:$D$247,3,FALSE)</f>
        <v>NOS-NUMBERS</v>
      </c>
      <c r="AA233" s="334" t="str">
        <f>VLOOKUP(X233,'PUR-HSN MASTER'!$A$6:$D$247,4,FALSE)</f>
        <v>Goods</v>
      </c>
      <c r="AB233" s="401">
        <v>680</v>
      </c>
    </row>
    <row r="234" spans="1:28" ht="14.4" x14ac:dyDescent="0.3">
      <c r="A234" s="429" t="s">
        <v>27</v>
      </c>
      <c r="B234" s="199" t="str">
        <f>VLOOKUP(A234,'PUR-PARTY MASTER'!$B$6:$J$250,2,FALSE)</f>
        <v>Rinder India Pvt Ltd.</v>
      </c>
      <c r="C234" s="403">
        <v>2701823867</v>
      </c>
      <c r="D234" s="398">
        <v>43154</v>
      </c>
      <c r="E234" s="329">
        <f t="shared" si="29"/>
        <v>18793.151999999998</v>
      </c>
      <c r="F234" s="199" t="str">
        <f>VLOOKUP(A234,'PUR-PARTY MASTER'!$B$6:$J$250,3,FALSE)</f>
        <v>27-Maharashatra</v>
      </c>
      <c r="G234" s="199" t="str">
        <f>VLOOKUP(A234,'PUR-PARTY MASTER'!$B$6:$J$250,4,FALSE)</f>
        <v>N</v>
      </c>
      <c r="H234" s="199" t="str">
        <f>VLOOKUP(A234,'PUR-PARTY MASTER'!$B$6:$J$250,5,FALSE)</f>
        <v>Regular</v>
      </c>
      <c r="I234" s="199">
        <f>VLOOKUP(A234,'PUR-PARTY MASTER'!$B$6:$J$250,6,FALSE)</f>
        <v>0</v>
      </c>
      <c r="J234" s="201">
        <v>18</v>
      </c>
      <c r="K234" s="400">
        <v>15926.4</v>
      </c>
      <c r="L234" s="202">
        <f t="shared" si="30"/>
        <v>0</v>
      </c>
      <c r="M234" s="202">
        <f t="shared" si="31"/>
        <v>1433.376</v>
      </c>
      <c r="N234" s="202">
        <f t="shared" si="32"/>
        <v>1433.376</v>
      </c>
      <c r="O234" s="8">
        <v>0</v>
      </c>
      <c r="P234" s="341" t="s">
        <v>177</v>
      </c>
      <c r="Q234" s="329">
        <f t="shared" si="33"/>
        <v>0</v>
      </c>
      <c r="R234" s="329">
        <f t="shared" si="34"/>
        <v>1433.376</v>
      </c>
      <c r="S234" s="329">
        <f t="shared" si="35"/>
        <v>1433.376</v>
      </c>
      <c r="T234" s="8">
        <f t="shared" si="36"/>
        <v>0</v>
      </c>
      <c r="U234" s="199">
        <f>VLOOKUP(A234,'PUR-PARTY MASTER'!$B$6:$J$250,7,FALSE)</f>
        <v>2</v>
      </c>
      <c r="V234" s="199" t="str">
        <f>VLOOKUP(A234,'PUR-PARTY MASTER'!$B$6:$J$250,8,FALSE)</f>
        <v>Local Pur</v>
      </c>
      <c r="W234" s="199" t="s">
        <v>894</v>
      </c>
      <c r="X234" s="404">
        <v>85129000</v>
      </c>
      <c r="Y234" s="201" t="str">
        <f>VLOOKUP(X234,'PUR-HSN MASTER'!$A$6:$D$247,2,FALSE)</f>
        <v>Lighting &amp; Fitting</v>
      </c>
      <c r="Z234" s="201" t="str">
        <f>VLOOKUP(X234,'PUR-HSN MASTER'!$A$6:$D$247,3,FALSE)</f>
        <v>NOS-NUMBERS</v>
      </c>
      <c r="AA234" s="334" t="str">
        <f>VLOOKUP(X234,'PUR-HSN MASTER'!$A$6:$D$247,4,FALSE)</f>
        <v>Goods</v>
      </c>
      <c r="AB234" s="401">
        <v>1440</v>
      </c>
    </row>
    <row r="235" spans="1:28" ht="14.4" x14ac:dyDescent="0.3">
      <c r="A235" s="429" t="s">
        <v>23</v>
      </c>
      <c r="B235" s="199" t="str">
        <f>VLOOKUP(A235,'PUR-PARTY MASTER'!$B$6:$J$250,2,FALSE)</f>
        <v>Varroc Polymers Pvt Ltd,</v>
      </c>
      <c r="C235" s="403">
        <v>2041075660</v>
      </c>
      <c r="D235" s="398">
        <v>43154</v>
      </c>
      <c r="E235" s="329">
        <f t="shared" si="29"/>
        <v>13094.400000000001</v>
      </c>
      <c r="F235" s="199" t="str">
        <f>VLOOKUP(A235,'PUR-PARTY MASTER'!$B$6:$J$250,3,FALSE)</f>
        <v>27-Maharashatra</v>
      </c>
      <c r="G235" s="199" t="str">
        <f>VLOOKUP(A235,'PUR-PARTY MASTER'!$B$6:$J$250,4,FALSE)</f>
        <v>N</v>
      </c>
      <c r="H235" s="199" t="str">
        <f>VLOOKUP(A235,'PUR-PARTY MASTER'!$B$6:$J$250,5,FALSE)</f>
        <v>Regular</v>
      </c>
      <c r="I235" s="199">
        <f>VLOOKUP(A235,'PUR-PARTY MASTER'!$B$6:$J$250,6,FALSE)</f>
        <v>0</v>
      </c>
      <c r="J235" s="201">
        <v>28</v>
      </c>
      <c r="K235" s="400">
        <v>10230</v>
      </c>
      <c r="L235" s="202">
        <f t="shared" si="30"/>
        <v>0</v>
      </c>
      <c r="M235" s="202">
        <f t="shared" si="31"/>
        <v>1432.2</v>
      </c>
      <c r="N235" s="202">
        <f t="shared" si="32"/>
        <v>1432.2</v>
      </c>
      <c r="O235" s="8">
        <v>0</v>
      </c>
      <c r="P235" s="341" t="s">
        <v>177</v>
      </c>
      <c r="Q235" s="329">
        <f t="shared" si="33"/>
        <v>0</v>
      </c>
      <c r="R235" s="329">
        <f t="shared" si="34"/>
        <v>1432.2</v>
      </c>
      <c r="S235" s="329">
        <f t="shared" si="35"/>
        <v>1432.2</v>
      </c>
      <c r="T235" s="8">
        <f t="shared" si="36"/>
        <v>0</v>
      </c>
      <c r="U235" s="199">
        <f>VLOOKUP(A235,'PUR-PARTY MASTER'!$B$6:$J$250,7,FALSE)</f>
        <v>2</v>
      </c>
      <c r="V235" s="199" t="str">
        <f>VLOOKUP(A235,'PUR-PARTY MASTER'!$B$6:$J$250,8,FALSE)</f>
        <v>Local Pur</v>
      </c>
      <c r="W235" s="199" t="s">
        <v>897</v>
      </c>
      <c r="X235" s="404">
        <v>87141090</v>
      </c>
      <c r="Y235" s="201" t="str">
        <f>VLOOKUP(X235,'PUR-HSN MASTER'!$A$6:$D$247,2,FALSE)</f>
        <v>Parts &amp; Accessories Of Motor Vehicles Other</v>
      </c>
      <c r="Z235" s="201" t="str">
        <f>VLOOKUP(X235,'PUR-HSN MASTER'!$A$6:$D$247,3,FALSE)</f>
        <v>NOS-NUMBERS</v>
      </c>
      <c r="AA235" s="334" t="str">
        <f>VLOOKUP(X235,'PUR-HSN MASTER'!$A$6:$D$247,4,FALSE)</f>
        <v>Goods</v>
      </c>
      <c r="AB235" s="401">
        <v>200</v>
      </c>
    </row>
    <row r="236" spans="1:28" ht="14.4" x14ac:dyDescent="0.3">
      <c r="A236" s="429" t="s">
        <v>23</v>
      </c>
      <c r="B236" s="199" t="str">
        <f>VLOOKUP(A236,'PUR-PARTY MASTER'!$B$6:$J$250,2,FALSE)</f>
        <v>Varroc Polymers Pvt Ltd,</v>
      </c>
      <c r="C236" s="403">
        <v>2041075658</v>
      </c>
      <c r="D236" s="398">
        <v>43154</v>
      </c>
      <c r="E236" s="329">
        <f t="shared" si="29"/>
        <v>10741.760000000002</v>
      </c>
      <c r="F236" s="199" t="str">
        <f>VLOOKUP(A236,'PUR-PARTY MASTER'!$B$6:$J$250,3,FALSE)</f>
        <v>27-Maharashatra</v>
      </c>
      <c r="G236" s="199" t="str">
        <f>VLOOKUP(A236,'PUR-PARTY MASTER'!$B$6:$J$250,4,FALSE)</f>
        <v>N</v>
      </c>
      <c r="H236" s="199" t="str">
        <f>VLOOKUP(A236,'PUR-PARTY MASTER'!$B$6:$J$250,5,FALSE)</f>
        <v>Regular</v>
      </c>
      <c r="I236" s="199">
        <f>VLOOKUP(A236,'PUR-PARTY MASTER'!$B$6:$J$250,6,FALSE)</f>
        <v>0</v>
      </c>
      <c r="J236" s="201">
        <v>28</v>
      </c>
      <c r="K236" s="400">
        <v>8392</v>
      </c>
      <c r="L236" s="202">
        <f t="shared" si="30"/>
        <v>0</v>
      </c>
      <c r="M236" s="202">
        <f t="shared" si="31"/>
        <v>1174.8800000000001</v>
      </c>
      <c r="N236" s="202">
        <f t="shared" si="32"/>
        <v>1174.8800000000001</v>
      </c>
      <c r="O236" s="8">
        <v>0</v>
      </c>
      <c r="P236" s="341" t="s">
        <v>177</v>
      </c>
      <c r="Q236" s="329">
        <f t="shared" si="33"/>
        <v>0</v>
      </c>
      <c r="R236" s="329">
        <f t="shared" si="34"/>
        <v>1174.8800000000001</v>
      </c>
      <c r="S236" s="329">
        <f t="shared" si="35"/>
        <v>1174.8800000000001</v>
      </c>
      <c r="T236" s="8">
        <f t="shared" si="36"/>
        <v>0</v>
      </c>
      <c r="U236" s="199">
        <f>VLOOKUP(A236,'PUR-PARTY MASTER'!$B$6:$J$250,7,FALSE)</f>
        <v>2</v>
      </c>
      <c r="V236" s="199" t="str">
        <f>VLOOKUP(A236,'PUR-PARTY MASTER'!$B$6:$J$250,8,FALSE)</f>
        <v>Local Pur</v>
      </c>
      <c r="W236" s="199" t="s">
        <v>897</v>
      </c>
      <c r="X236" s="404">
        <v>39199090</v>
      </c>
      <c r="Y236" s="201" t="str">
        <f>VLOOKUP(X236,'PUR-HSN MASTER'!$A$6:$D$247,2,FALSE)</f>
        <v>Parts &amp; Accessories Of Motor Vehicles Other</v>
      </c>
      <c r="Z236" s="201" t="str">
        <f>VLOOKUP(X236,'PUR-HSN MASTER'!$A$6:$D$247,3,FALSE)</f>
        <v>KLR-KILOLITRE</v>
      </c>
      <c r="AA236" s="334" t="str">
        <f>VLOOKUP(X236,'PUR-HSN MASTER'!$A$6:$D$247,4,FALSE)</f>
        <v>Goods</v>
      </c>
      <c r="AB236" s="401">
        <v>200</v>
      </c>
    </row>
    <row r="237" spans="1:28" ht="14.4" x14ac:dyDescent="0.3">
      <c r="A237" s="429" t="s">
        <v>335</v>
      </c>
      <c r="B237" s="199" t="str">
        <f>VLOOKUP(A237,'PUR-PARTY MASTER'!$B$6:$J$250,2,FALSE)</f>
        <v>Atharva Polymers Pvt Ltd,</v>
      </c>
      <c r="C237" s="403" t="s">
        <v>1437</v>
      </c>
      <c r="D237" s="398">
        <v>43154</v>
      </c>
      <c r="E237" s="329">
        <f t="shared" si="29"/>
        <v>65402.880000000005</v>
      </c>
      <c r="F237" s="199" t="str">
        <f>VLOOKUP(A237,'PUR-PARTY MASTER'!$B$6:$J$250,3,FALSE)</f>
        <v>27-Maharashatra</v>
      </c>
      <c r="G237" s="199" t="str">
        <f>VLOOKUP(A237,'PUR-PARTY MASTER'!$B$6:$J$250,4,FALSE)</f>
        <v>N</v>
      </c>
      <c r="H237" s="199" t="str">
        <f>VLOOKUP(A237,'PUR-PARTY MASTER'!$B$6:$J$250,5,FALSE)</f>
        <v>Regular</v>
      </c>
      <c r="I237" s="199">
        <f>VLOOKUP(A237,'PUR-PARTY MASTER'!$B$6:$J$250,6,FALSE)</f>
        <v>0</v>
      </c>
      <c r="J237" s="201">
        <v>28</v>
      </c>
      <c r="K237" s="400">
        <f>50970+126</f>
        <v>51096</v>
      </c>
      <c r="L237" s="202">
        <f t="shared" si="30"/>
        <v>0</v>
      </c>
      <c r="M237" s="202">
        <f t="shared" si="31"/>
        <v>7153.4400000000005</v>
      </c>
      <c r="N237" s="202">
        <f t="shared" si="32"/>
        <v>7153.4400000000005</v>
      </c>
      <c r="O237" s="8">
        <v>0</v>
      </c>
      <c r="P237" s="341" t="s">
        <v>177</v>
      </c>
      <c r="Q237" s="329">
        <f t="shared" si="33"/>
        <v>0</v>
      </c>
      <c r="R237" s="329">
        <f t="shared" si="34"/>
        <v>7153.4400000000005</v>
      </c>
      <c r="S237" s="329">
        <f t="shared" si="35"/>
        <v>7153.4400000000005</v>
      </c>
      <c r="T237" s="8">
        <f t="shared" si="36"/>
        <v>0</v>
      </c>
      <c r="U237" s="199">
        <f>VLOOKUP(A237,'PUR-PARTY MASTER'!$B$6:$J$250,7,FALSE)</f>
        <v>2</v>
      </c>
      <c r="V237" s="199" t="str">
        <f>VLOOKUP(A237,'PUR-PARTY MASTER'!$B$6:$J$250,8,FALSE)</f>
        <v>Local Pur</v>
      </c>
      <c r="W237" s="199" t="s">
        <v>897</v>
      </c>
      <c r="X237" s="404">
        <v>87141900</v>
      </c>
      <c r="Y237" s="201" t="str">
        <f>VLOOKUP(X237,'PUR-HSN MASTER'!$A$6:$D$247,2,FALSE)</f>
        <v>Parts &amp; Accessories Of Motor Vehicles Other</v>
      </c>
      <c r="Z237" s="201" t="str">
        <f>VLOOKUP(X237,'PUR-HSN MASTER'!$A$6:$D$247,3,FALSE)</f>
        <v>KLR-KILOLITRE</v>
      </c>
      <c r="AA237" s="334" t="str">
        <f>VLOOKUP(X237,'PUR-HSN MASTER'!$A$6:$D$247,4,FALSE)</f>
        <v>Goods</v>
      </c>
      <c r="AB237" s="401">
        <v>1200</v>
      </c>
    </row>
    <row r="238" spans="1:28" ht="14.4" x14ac:dyDescent="0.3">
      <c r="A238" s="429" t="s">
        <v>971</v>
      </c>
      <c r="B238" s="199" t="str">
        <f>VLOOKUP(A238,'PUR-PARTY MASTER'!$B$6:$J$250,2,FALSE)</f>
        <v>Abdulhusain Abdulally Hakim</v>
      </c>
      <c r="C238" s="403">
        <v>20019405</v>
      </c>
      <c r="D238" s="398">
        <v>43153</v>
      </c>
      <c r="E238" s="329">
        <f t="shared" si="29"/>
        <v>618896.66599999997</v>
      </c>
      <c r="F238" s="199" t="str">
        <f>VLOOKUP(A238,'PUR-PARTY MASTER'!$B$6:$J$250,3,FALSE)</f>
        <v>27-Maharashatra</v>
      </c>
      <c r="G238" s="199" t="str">
        <f>VLOOKUP(A238,'PUR-PARTY MASTER'!$B$6:$J$250,4,FALSE)</f>
        <v>N</v>
      </c>
      <c r="H238" s="199" t="str">
        <f>VLOOKUP(A238,'PUR-PARTY MASTER'!$B$6:$J$250,5,FALSE)</f>
        <v>Regular</v>
      </c>
      <c r="I238" s="199">
        <f>VLOOKUP(A238,'PUR-PARTY MASTER'!$B$6:$J$250,6,FALSE)</f>
        <v>0</v>
      </c>
      <c r="J238" s="201">
        <v>18</v>
      </c>
      <c r="K238" s="400">
        <v>524488.69999999995</v>
      </c>
      <c r="L238" s="202">
        <f t="shared" si="30"/>
        <v>0</v>
      </c>
      <c r="M238" s="202">
        <f t="shared" si="31"/>
        <v>47203.982999999993</v>
      </c>
      <c r="N238" s="202">
        <f t="shared" si="32"/>
        <v>47203.982999999993</v>
      </c>
      <c r="O238" s="8">
        <v>0</v>
      </c>
      <c r="P238" s="341" t="s">
        <v>177</v>
      </c>
      <c r="Q238" s="329">
        <f t="shared" si="33"/>
        <v>0</v>
      </c>
      <c r="R238" s="329">
        <f t="shared" si="34"/>
        <v>47203.982999999993</v>
      </c>
      <c r="S238" s="329">
        <f t="shared" si="35"/>
        <v>47203.982999999993</v>
      </c>
      <c r="T238" s="8">
        <f t="shared" si="36"/>
        <v>0</v>
      </c>
      <c r="U238" s="199">
        <f>VLOOKUP(A238,'PUR-PARTY MASTER'!$B$6:$J$250,7,FALSE)</f>
        <v>2</v>
      </c>
      <c r="V238" s="199" t="str">
        <f>VLOOKUP(A238,'PUR-PARTY MASTER'!$B$6:$J$250,8,FALSE)</f>
        <v>Local Pur</v>
      </c>
      <c r="W238" s="199" t="s">
        <v>894</v>
      </c>
      <c r="X238" s="404" t="s">
        <v>918</v>
      </c>
      <c r="Y238" s="201" t="str">
        <f>VLOOKUP(X238,'PUR-HSN MASTER'!$A$6:$D$247,2,FALSE)</f>
        <v>spray guns and similar appliances</v>
      </c>
      <c r="Z238" s="201" t="str">
        <f>VLOOKUP(X238,'PUR-HSN MASTER'!$A$6:$D$247,3,FALSE)</f>
        <v>NOS-NUMBERS</v>
      </c>
      <c r="AA238" s="334" t="str">
        <f>VLOOKUP(X238,'PUR-HSN MASTER'!$A$6:$D$247,4,FALSE)</f>
        <v>Goods</v>
      </c>
      <c r="AB238" s="401">
        <v>98</v>
      </c>
    </row>
    <row r="239" spans="1:28" ht="14.4" x14ac:dyDescent="0.3">
      <c r="A239" s="429" t="s">
        <v>971</v>
      </c>
      <c r="B239" s="199" t="str">
        <f>VLOOKUP(A239,'PUR-PARTY MASTER'!$B$6:$J$250,2,FALSE)</f>
        <v>Abdulhusain Abdulally Hakim</v>
      </c>
      <c r="C239" s="403">
        <v>20019405</v>
      </c>
      <c r="D239" s="398">
        <v>43153</v>
      </c>
      <c r="E239" s="329">
        <f t="shared" si="29"/>
        <v>230751.35999999999</v>
      </c>
      <c r="F239" s="199" t="str">
        <f>VLOOKUP(A239,'PUR-PARTY MASTER'!$B$6:$J$250,3,FALSE)</f>
        <v>27-Maharashatra</v>
      </c>
      <c r="G239" s="199" t="str">
        <f>VLOOKUP(A239,'PUR-PARTY MASTER'!$B$6:$J$250,4,FALSE)</f>
        <v>N</v>
      </c>
      <c r="H239" s="199" t="str">
        <f>VLOOKUP(A239,'PUR-PARTY MASTER'!$B$6:$J$250,5,FALSE)</f>
        <v>Regular</v>
      </c>
      <c r="I239" s="199">
        <f>VLOOKUP(A239,'PUR-PARTY MASTER'!$B$6:$J$250,6,FALSE)</f>
        <v>0</v>
      </c>
      <c r="J239" s="201">
        <v>18</v>
      </c>
      <c r="K239" s="400">
        <v>195552</v>
      </c>
      <c r="L239" s="202">
        <f t="shared" si="30"/>
        <v>0</v>
      </c>
      <c r="M239" s="202">
        <f t="shared" si="31"/>
        <v>17599.68</v>
      </c>
      <c r="N239" s="202">
        <f t="shared" si="32"/>
        <v>17599.68</v>
      </c>
      <c r="O239" s="8">
        <v>0</v>
      </c>
      <c r="P239" s="341" t="s">
        <v>177</v>
      </c>
      <c r="Q239" s="329">
        <f t="shared" si="33"/>
        <v>0</v>
      </c>
      <c r="R239" s="329">
        <f t="shared" si="34"/>
        <v>17599.68</v>
      </c>
      <c r="S239" s="329">
        <f t="shared" si="35"/>
        <v>17599.68</v>
      </c>
      <c r="T239" s="8">
        <f t="shared" si="36"/>
        <v>0</v>
      </c>
      <c r="U239" s="199">
        <f>VLOOKUP(A239,'PUR-PARTY MASTER'!$B$6:$J$250,7,FALSE)</f>
        <v>2</v>
      </c>
      <c r="V239" s="199" t="str">
        <f>VLOOKUP(A239,'PUR-PARTY MASTER'!$B$6:$J$250,8,FALSE)</f>
        <v>Local Pur</v>
      </c>
      <c r="W239" s="199" t="s">
        <v>894</v>
      </c>
      <c r="X239" s="404">
        <v>8414</v>
      </c>
      <c r="Y239" s="201" t="str">
        <f>VLOOKUP(X239,'PUR-HSN MASTER'!$A$6:$D$247,2,FALSE)</f>
        <v>Wall Fan</v>
      </c>
      <c r="Z239" s="201" t="str">
        <f>VLOOKUP(X239,'PUR-HSN MASTER'!$A$6:$D$247,3,FALSE)</f>
        <v>NOS-NUMBERS</v>
      </c>
      <c r="AA239" s="334" t="str">
        <f>VLOOKUP(X239,'PUR-HSN MASTER'!$A$6:$D$247,4,FALSE)</f>
        <v>Goods</v>
      </c>
      <c r="AB239" s="401">
        <v>4</v>
      </c>
    </row>
    <row r="240" spans="1:28" ht="14.4" x14ac:dyDescent="0.3">
      <c r="A240" s="429" t="s">
        <v>973</v>
      </c>
      <c r="B240" s="199" t="str">
        <f>VLOOKUP(A240,'PUR-PARTY MASTER'!$B$6:$J$250,2,FALSE)</f>
        <v>Zenith Engineering</v>
      </c>
      <c r="C240" s="403" t="s">
        <v>1438</v>
      </c>
      <c r="D240" s="398">
        <v>43138</v>
      </c>
      <c r="E240" s="329">
        <f t="shared" si="29"/>
        <v>2206600</v>
      </c>
      <c r="F240" s="199" t="str">
        <f>VLOOKUP(A240,'PUR-PARTY MASTER'!$B$6:$J$250,3,FALSE)</f>
        <v>27-Maharashatra</v>
      </c>
      <c r="G240" s="199" t="str">
        <f>VLOOKUP(A240,'PUR-PARTY MASTER'!$B$6:$J$250,4,FALSE)</f>
        <v>N</v>
      </c>
      <c r="H240" s="199" t="str">
        <f>VLOOKUP(A240,'PUR-PARTY MASTER'!$B$6:$J$250,5,FALSE)</f>
        <v>Regular</v>
      </c>
      <c r="I240" s="199">
        <f>VLOOKUP(A240,'PUR-PARTY MASTER'!$B$6:$J$250,6,FALSE)</f>
        <v>0</v>
      </c>
      <c r="J240" s="201">
        <v>18</v>
      </c>
      <c r="K240" s="400">
        <v>1870000</v>
      </c>
      <c r="L240" s="202">
        <f t="shared" si="30"/>
        <v>0</v>
      </c>
      <c r="M240" s="202">
        <f t="shared" si="31"/>
        <v>168300</v>
      </c>
      <c r="N240" s="202">
        <f t="shared" si="32"/>
        <v>168300</v>
      </c>
      <c r="O240" s="8">
        <v>0</v>
      </c>
      <c r="P240" s="341" t="s">
        <v>177</v>
      </c>
      <c r="Q240" s="329">
        <f t="shared" si="33"/>
        <v>0</v>
      </c>
      <c r="R240" s="329">
        <f t="shared" si="34"/>
        <v>168300</v>
      </c>
      <c r="S240" s="329">
        <f t="shared" si="35"/>
        <v>168300</v>
      </c>
      <c r="T240" s="8">
        <f t="shared" si="36"/>
        <v>0</v>
      </c>
      <c r="U240" s="199">
        <f>VLOOKUP(A240,'PUR-PARTY MASTER'!$B$6:$J$250,7,FALSE)</f>
        <v>2</v>
      </c>
      <c r="V240" s="199" t="str">
        <f>VLOOKUP(A240,'PUR-PARTY MASTER'!$B$6:$J$250,8,FALSE)</f>
        <v>Local Pur</v>
      </c>
      <c r="W240" s="199" t="s">
        <v>894</v>
      </c>
      <c r="X240" s="404" t="s">
        <v>951</v>
      </c>
      <c r="Y240" s="201" t="str">
        <f>VLOOKUP(X240,'PUR-HSN MASTER'!$A$6:$D$247,2,FALSE)</f>
        <v>Monorail Conveyor</v>
      </c>
      <c r="Z240" s="201" t="str">
        <f>VLOOKUP(X240,'PUR-HSN MASTER'!$A$6:$D$247,3,FALSE)</f>
        <v>NOS-NUMBERS</v>
      </c>
      <c r="AA240" s="334" t="str">
        <f>VLOOKUP(X240,'PUR-HSN MASTER'!$A$6:$D$247,4,FALSE)</f>
        <v>Goods</v>
      </c>
      <c r="AB240" s="401">
        <v>1</v>
      </c>
    </row>
    <row r="241" spans="1:28" ht="14.4" x14ac:dyDescent="0.3">
      <c r="A241" s="429" t="s">
        <v>334</v>
      </c>
      <c r="B241" s="199" t="str">
        <f>VLOOKUP(A241,'PUR-PARTY MASTER'!$B$6:$J$250,2,FALSE)</f>
        <v>Aeroaids Corporation</v>
      </c>
      <c r="C241" s="403" t="s">
        <v>1439</v>
      </c>
      <c r="D241" s="398">
        <v>43153</v>
      </c>
      <c r="E241" s="329">
        <f t="shared" si="29"/>
        <v>11360</v>
      </c>
      <c r="F241" s="199" t="str">
        <f>VLOOKUP(A241,'PUR-PARTY MASTER'!$B$6:$J$250,3,FALSE)</f>
        <v>27-Maharashatra</v>
      </c>
      <c r="G241" s="199" t="str">
        <f>VLOOKUP(A241,'PUR-PARTY MASTER'!$B$6:$J$250,4,FALSE)</f>
        <v>N</v>
      </c>
      <c r="H241" s="199" t="str">
        <f>VLOOKUP(A241,'PUR-PARTY MASTER'!$B$6:$J$250,5,FALSE)</f>
        <v>Regular</v>
      </c>
      <c r="I241" s="199">
        <f>VLOOKUP(A241,'PUR-PARTY MASTER'!$B$6:$J$250,6,FALSE)</f>
        <v>0</v>
      </c>
      <c r="J241" s="201">
        <v>28</v>
      </c>
      <c r="K241" s="400">
        <v>8875</v>
      </c>
      <c r="L241" s="202">
        <f t="shared" si="30"/>
        <v>0</v>
      </c>
      <c r="M241" s="202">
        <f t="shared" si="31"/>
        <v>1242.5000000000002</v>
      </c>
      <c r="N241" s="202">
        <f t="shared" si="32"/>
        <v>1242.5000000000002</v>
      </c>
      <c r="O241" s="8">
        <v>0</v>
      </c>
      <c r="P241" s="341" t="s">
        <v>177</v>
      </c>
      <c r="Q241" s="329">
        <f t="shared" si="33"/>
        <v>0</v>
      </c>
      <c r="R241" s="329">
        <f t="shared" si="34"/>
        <v>1242.5000000000002</v>
      </c>
      <c r="S241" s="329">
        <f t="shared" si="35"/>
        <v>1242.5000000000002</v>
      </c>
      <c r="T241" s="8">
        <f t="shared" si="36"/>
        <v>0</v>
      </c>
      <c r="U241" s="199">
        <f>VLOOKUP(A241,'PUR-PARTY MASTER'!$B$6:$J$250,7,FALSE)</f>
        <v>2</v>
      </c>
      <c r="V241" s="199" t="str">
        <f>VLOOKUP(A241,'PUR-PARTY MASTER'!$B$6:$J$250,8,FALSE)</f>
        <v>Local Pur</v>
      </c>
      <c r="W241" s="199" t="s">
        <v>897</v>
      </c>
      <c r="X241" s="404">
        <v>32082090</v>
      </c>
      <c r="Y241" s="201" t="str">
        <f>VLOOKUP(X241,'PUR-HSN MASTER'!$A$6:$D$247,2,FALSE)</f>
        <v>Others ( Paint &amp; Varnishes)</v>
      </c>
      <c r="Z241" s="201" t="str">
        <f>VLOOKUP(X241,'PUR-HSN MASTER'!$A$6:$D$247,3,FALSE)</f>
        <v>KLR-KILOLITRE</v>
      </c>
      <c r="AA241" s="334" t="str">
        <f>VLOOKUP(X241,'PUR-HSN MASTER'!$A$6:$D$247,4,FALSE)</f>
        <v>Goods</v>
      </c>
      <c r="AB241" s="401">
        <v>50</v>
      </c>
    </row>
    <row r="242" spans="1:28" ht="14.4" x14ac:dyDescent="0.3">
      <c r="A242" s="429" t="s">
        <v>345</v>
      </c>
      <c r="B242" s="199" t="str">
        <f>VLOOKUP(A242,'PUR-PARTY MASTER'!$B$6:$J$250,2,FALSE)</f>
        <v>Premier Sales Corporation</v>
      </c>
      <c r="C242" s="403" t="s">
        <v>1440</v>
      </c>
      <c r="D242" s="398">
        <v>43155</v>
      </c>
      <c r="E242" s="329">
        <f t="shared" si="29"/>
        <v>1699.1999999999998</v>
      </c>
      <c r="F242" s="199" t="str">
        <f>VLOOKUP(A242,'PUR-PARTY MASTER'!$B$6:$J$250,3,FALSE)</f>
        <v>27-Maharashatra</v>
      </c>
      <c r="G242" s="199" t="str">
        <f>VLOOKUP(A242,'PUR-PARTY MASTER'!$B$6:$J$250,4,FALSE)</f>
        <v>N</v>
      </c>
      <c r="H242" s="199" t="str">
        <f>VLOOKUP(A242,'PUR-PARTY MASTER'!$B$6:$J$250,5,FALSE)</f>
        <v>Regular</v>
      </c>
      <c r="I242" s="199">
        <f>VLOOKUP(A242,'PUR-PARTY MASTER'!$B$6:$J$250,6,FALSE)</f>
        <v>0</v>
      </c>
      <c r="J242" s="201">
        <v>18</v>
      </c>
      <c r="K242" s="400">
        <v>1440</v>
      </c>
      <c r="L242" s="202">
        <f t="shared" si="30"/>
        <v>0</v>
      </c>
      <c r="M242" s="202">
        <f t="shared" si="31"/>
        <v>129.6</v>
      </c>
      <c r="N242" s="202">
        <f t="shared" si="32"/>
        <v>129.6</v>
      </c>
      <c r="O242" s="8">
        <v>0</v>
      </c>
      <c r="P242" s="341" t="s">
        <v>177</v>
      </c>
      <c r="Q242" s="329">
        <f t="shared" si="33"/>
        <v>0</v>
      </c>
      <c r="R242" s="329">
        <f t="shared" si="34"/>
        <v>129.6</v>
      </c>
      <c r="S242" s="329">
        <f t="shared" si="35"/>
        <v>129.6</v>
      </c>
      <c r="T242" s="8">
        <f t="shared" si="36"/>
        <v>0</v>
      </c>
      <c r="U242" s="199">
        <f>VLOOKUP(A242,'PUR-PARTY MASTER'!$B$6:$J$250,7,FALSE)</f>
        <v>2</v>
      </c>
      <c r="V242" s="199" t="str">
        <f>VLOOKUP(A242,'PUR-PARTY MASTER'!$B$6:$J$250,8,FALSE)</f>
        <v>Local Pur</v>
      </c>
      <c r="W242" s="199" t="s">
        <v>894</v>
      </c>
      <c r="X242" s="404" t="s">
        <v>544</v>
      </c>
      <c r="Y242" s="201" t="str">
        <f>VLOOKUP(X242,'PUR-HSN MASTER'!$A$6:$D$247,2,FALSE)</f>
        <v>Parts &amp; Accessories Of Motor Vehicles Other</v>
      </c>
      <c r="Z242" s="201" t="str">
        <f>VLOOKUP(X242,'PUR-HSN MASTER'!$A$6:$D$247,3,FALSE)</f>
        <v>NOS-NUMBERS</v>
      </c>
      <c r="AA242" s="334" t="str">
        <f>VLOOKUP(X242,'PUR-HSN MASTER'!$A$6:$D$247,4,FALSE)</f>
        <v>Goods</v>
      </c>
      <c r="AB242" s="401">
        <v>72</v>
      </c>
    </row>
    <row r="243" spans="1:28" ht="14.4" x14ac:dyDescent="0.3">
      <c r="A243" s="429" t="s">
        <v>345</v>
      </c>
      <c r="B243" s="199" t="str">
        <f>VLOOKUP(A243,'PUR-PARTY MASTER'!$B$6:$J$250,2,FALSE)</f>
        <v>Premier Sales Corporation</v>
      </c>
      <c r="C243" s="403" t="s">
        <v>1441</v>
      </c>
      <c r="D243" s="398">
        <v>43155</v>
      </c>
      <c r="E243" s="329">
        <f t="shared" si="29"/>
        <v>1939.92</v>
      </c>
      <c r="F243" s="199" t="str">
        <f>VLOOKUP(A243,'PUR-PARTY MASTER'!$B$6:$J$250,3,FALSE)</f>
        <v>27-Maharashatra</v>
      </c>
      <c r="G243" s="199" t="str">
        <f>VLOOKUP(A243,'PUR-PARTY MASTER'!$B$6:$J$250,4,FALSE)</f>
        <v>N</v>
      </c>
      <c r="H243" s="199" t="str">
        <f>VLOOKUP(A243,'PUR-PARTY MASTER'!$B$6:$J$250,5,FALSE)</f>
        <v>Regular</v>
      </c>
      <c r="I243" s="199">
        <f>VLOOKUP(A243,'PUR-PARTY MASTER'!$B$6:$J$250,6,FALSE)</f>
        <v>0</v>
      </c>
      <c r="J243" s="201">
        <v>18</v>
      </c>
      <c r="K243" s="400">
        <v>1644</v>
      </c>
      <c r="L243" s="202">
        <f t="shared" si="30"/>
        <v>0</v>
      </c>
      <c r="M243" s="202">
        <f t="shared" si="31"/>
        <v>147.96</v>
      </c>
      <c r="N243" s="202">
        <f t="shared" si="32"/>
        <v>147.96</v>
      </c>
      <c r="O243" s="8">
        <v>0</v>
      </c>
      <c r="P243" s="341" t="s">
        <v>177</v>
      </c>
      <c r="Q243" s="329">
        <f t="shared" si="33"/>
        <v>0</v>
      </c>
      <c r="R243" s="329">
        <f t="shared" si="34"/>
        <v>147.96</v>
      </c>
      <c r="S243" s="329">
        <f t="shared" si="35"/>
        <v>147.96</v>
      </c>
      <c r="T243" s="8">
        <f t="shared" si="36"/>
        <v>0</v>
      </c>
      <c r="U243" s="199">
        <f>VLOOKUP(A243,'PUR-PARTY MASTER'!$B$6:$J$250,7,FALSE)</f>
        <v>2</v>
      </c>
      <c r="V243" s="199" t="str">
        <f>VLOOKUP(A243,'PUR-PARTY MASTER'!$B$6:$J$250,8,FALSE)</f>
        <v>Local Pur</v>
      </c>
      <c r="W243" s="199" t="s">
        <v>894</v>
      </c>
      <c r="X243" s="404" t="s">
        <v>544</v>
      </c>
      <c r="Y243" s="201" t="str">
        <f>VLOOKUP(X243,'PUR-HSN MASTER'!$A$6:$D$247,2,FALSE)</f>
        <v>Parts &amp; Accessories Of Motor Vehicles Other</v>
      </c>
      <c r="Z243" s="201" t="str">
        <f>VLOOKUP(X243,'PUR-HSN MASTER'!$A$6:$D$247,3,FALSE)</f>
        <v>NOS-NUMBERS</v>
      </c>
      <c r="AA243" s="334" t="str">
        <f>VLOOKUP(X243,'PUR-HSN MASTER'!$A$6:$D$247,4,FALSE)</f>
        <v>Goods</v>
      </c>
      <c r="AB243" s="401">
        <v>274</v>
      </c>
    </row>
    <row r="244" spans="1:28" ht="14.4" x14ac:dyDescent="0.3">
      <c r="A244" s="429" t="s">
        <v>345</v>
      </c>
      <c r="B244" s="199" t="str">
        <f>VLOOKUP(A244,'PUR-PARTY MASTER'!$B$6:$J$250,2,FALSE)</f>
        <v>Premier Sales Corporation</v>
      </c>
      <c r="C244" s="403" t="s">
        <v>1441</v>
      </c>
      <c r="D244" s="398">
        <v>43155</v>
      </c>
      <c r="E244" s="329">
        <f t="shared" si="29"/>
        <v>1062</v>
      </c>
      <c r="F244" s="199" t="str">
        <f>VLOOKUP(A244,'PUR-PARTY MASTER'!$B$6:$J$250,3,FALSE)</f>
        <v>27-Maharashatra</v>
      </c>
      <c r="G244" s="199" t="str">
        <f>VLOOKUP(A244,'PUR-PARTY MASTER'!$B$6:$J$250,4,FALSE)</f>
        <v>N</v>
      </c>
      <c r="H244" s="199" t="str">
        <f>VLOOKUP(A244,'PUR-PARTY MASTER'!$B$6:$J$250,5,FALSE)</f>
        <v>Regular</v>
      </c>
      <c r="I244" s="199">
        <f>VLOOKUP(A244,'PUR-PARTY MASTER'!$B$6:$J$250,6,FALSE)</f>
        <v>0</v>
      </c>
      <c r="J244" s="201">
        <v>18</v>
      </c>
      <c r="K244" s="400">
        <v>900</v>
      </c>
      <c r="L244" s="202">
        <f t="shared" si="30"/>
        <v>0</v>
      </c>
      <c r="M244" s="202">
        <f t="shared" si="31"/>
        <v>81</v>
      </c>
      <c r="N244" s="202">
        <f t="shared" si="32"/>
        <v>81</v>
      </c>
      <c r="O244" s="8">
        <v>0</v>
      </c>
      <c r="P244" s="341" t="s">
        <v>177</v>
      </c>
      <c r="Q244" s="329">
        <f t="shared" si="33"/>
        <v>0</v>
      </c>
      <c r="R244" s="329">
        <f t="shared" si="34"/>
        <v>81</v>
      </c>
      <c r="S244" s="329">
        <f t="shared" si="35"/>
        <v>81</v>
      </c>
      <c r="T244" s="8">
        <f t="shared" si="36"/>
        <v>0</v>
      </c>
      <c r="U244" s="199">
        <f>VLOOKUP(A244,'PUR-PARTY MASTER'!$B$6:$J$250,7,FALSE)</f>
        <v>2</v>
      </c>
      <c r="V244" s="199" t="str">
        <f>VLOOKUP(A244,'PUR-PARTY MASTER'!$B$6:$J$250,8,FALSE)</f>
        <v>Local Pur</v>
      </c>
      <c r="W244" s="199" t="s">
        <v>894</v>
      </c>
      <c r="X244" s="404">
        <v>64011090</v>
      </c>
      <c r="Y244" s="201" t="str">
        <f>VLOOKUP(X244,'PUR-HSN MASTER'!$A$6:$D$247,2,FALSE)</f>
        <v>Sefety Shoe</v>
      </c>
      <c r="Z244" s="201" t="str">
        <f>VLOOKUP(X244,'PUR-HSN MASTER'!$A$6:$D$247,3,FALSE)</f>
        <v>NOS-NUMBERS</v>
      </c>
      <c r="AA244" s="334" t="str">
        <f>VLOOKUP(X244,'PUR-HSN MASTER'!$A$6:$D$247,4,FALSE)</f>
        <v>Goods</v>
      </c>
      <c r="AB244" s="401">
        <v>2</v>
      </c>
    </row>
    <row r="245" spans="1:28" ht="14.4" x14ac:dyDescent="0.3">
      <c r="A245" s="429" t="s">
        <v>345</v>
      </c>
      <c r="B245" s="199" t="str">
        <f>VLOOKUP(A245,'PUR-PARTY MASTER'!$B$6:$J$250,2,FALSE)</f>
        <v>Premier Sales Corporation</v>
      </c>
      <c r="C245" s="403" t="s">
        <v>1442</v>
      </c>
      <c r="D245" s="398">
        <v>43155</v>
      </c>
      <c r="E245" s="329">
        <f t="shared" si="29"/>
        <v>12757.5</v>
      </c>
      <c r="F245" s="199" t="str">
        <f>VLOOKUP(A245,'PUR-PARTY MASTER'!$B$6:$J$250,3,FALSE)</f>
        <v>27-Maharashatra</v>
      </c>
      <c r="G245" s="199" t="str">
        <f>VLOOKUP(A245,'PUR-PARTY MASTER'!$B$6:$J$250,4,FALSE)</f>
        <v>N</v>
      </c>
      <c r="H245" s="199" t="str">
        <f>VLOOKUP(A245,'PUR-PARTY MASTER'!$B$6:$J$250,5,FALSE)</f>
        <v>Regular</v>
      </c>
      <c r="I245" s="199">
        <f>VLOOKUP(A245,'PUR-PARTY MASTER'!$B$6:$J$250,6,FALSE)</f>
        <v>0</v>
      </c>
      <c r="J245" s="201">
        <v>5</v>
      </c>
      <c r="K245" s="400">
        <v>12150</v>
      </c>
      <c r="L245" s="202">
        <f t="shared" si="30"/>
        <v>0</v>
      </c>
      <c r="M245" s="202">
        <f t="shared" si="31"/>
        <v>303.75</v>
      </c>
      <c r="N245" s="202">
        <f t="shared" si="32"/>
        <v>303.75</v>
      </c>
      <c r="O245" s="8">
        <v>0</v>
      </c>
      <c r="P245" s="341" t="s">
        <v>177</v>
      </c>
      <c r="Q245" s="329">
        <f t="shared" si="33"/>
        <v>0</v>
      </c>
      <c r="R245" s="329">
        <f t="shared" si="34"/>
        <v>303.75</v>
      </c>
      <c r="S245" s="329">
        <f t="shared" si="35"/>
        <v>303.75</v>
      </c>
      <c r="T245" s="8">
        <f t="shared" si="36"/>
        <v>0</v>
      </c>
      <c r="U245" s="199">
        <f>VLOOKUP(A245,'PUR-PARTY MASTER'!$B$6:$J$250,7,FALSE)</f>
        <v>2</v>
      </c>
      <c r="V245" s="199" t="str">
        <f>VLOOKUP(A245,'PUR-PARTY MASTER'!$B$6:$J$250,8,FALSE)</f>
        <v>Local Pur</v>
      </c>
      <c r="W245" s="199" t="s">
        <v>898</v>
      </c>
      <c r="X245" s="404">
        <v>5407</v>
      </c>
      <c r="Y245" s="201" t="str">
        <f>VLOOKUP(X245,'PUR-HSN MASTER'!$A$6:$D$247,2,FALSE)</f>
        <v>Cloth Filter</v>
      </c>
      <c r="Z245" s="201" t="str">
        <f>VLOOKUP(X245,'PUR-HSN MASTER'!$A$6:$D$247,3,FALSE)</f>
        <v>MTR-METERS</v>
      </c>
      <c r="AA245" s="334" t="str">
        <f>VLOOKUP(X245,'PUR-HSN MASTER'!$A$6:$D$247,4,FALSE)</f>
        <v>Goods</v>
      </c>
      <c r="AB245" s="401">
        <v>45</v>
      </c>
    </row>
    <row r="246" spans="1:28" ht="14.4" x14ac:dyDescent="0.3">
      <c r="A246" s="429" t="s">
        <v>345</v>
      </c>
      <c r="B246" s="199" t="str">
        <f>VLOOKUP(A246,'PUR-PARTY MASTER'!$B$6:$J$250,2,FALSE)</f>
        <v>Premier Sales Corporation</v>
      </c>
      <c r="C246" s="403" t="s">
        <v>1443</v>
      </c>
      <c r="D246" s="398">
        <v>43155</v>
      </c>
      <c r="E246" s="329">
        <f t="shared" si="29"/>
        <v>2912</v>
      </c>
      <c r="F246" s="199" t="str">
        <f>VLOOKUP(A246,'PUR-PARTY MASTER'!$B$6:$J$250,3,FALSE)</f>
        <v>27-Maharashatra</v>
      </c>
      <c r="G246" s="199" t="str">
        <f>VLOOKUP(A246,'PUR-PARTY MASTER'!$B$6:$J$250,4,FALSE)</f>
        <v>N</v>
      </c>
      <c r="H246" s="199" t="str">
        <f>VLOOKUP(A246,'PUR-PARTY MASTER'!$B$6:$J$250,5,FALSE)</f>
        <v>Regular</v>
      </c>
      <c r="I246" s="199">
        <f>VLOOKUP(A246,'PUR-PARTY MASTER'!$B$6:$J$250,6,FALSE)</f>
        <v>0</v>
      </c>
      <c r="J246" s="201">
        <v>12</v>
      </c>
      <c r="K246" s="400">
        <v>2600</v>
      </c>
      <c r="L246" s="202">
        <f t="shared" si="30"/>
        <v>0</v>
      </c>
      <c r="M246" s="202">
        <f t="shared" si="31"/>
        <v>156</v>
      </c>
      <c r="N246" s="202">
        <f t="shared" si="32"/>
        <v>156</v>
      </c>
      <c r="O246" s="8">
        <v>0</v>
      </c>
      <c r="P246" s="341" t="s">
        <v>177</v>
      </c>
      <c r="Q246" s="329">
        <f t="shared" si="33"/>
        <v>0</v>
      </c>
      <c r="R246" s="329">
        <f t="shared" si="34"/>
        <v>156</v>
      </c>
      <c r="S246" s="329">
        <f t="shared" si="35"/>
        <v>156</v>
      </c>
      <c r="T246" s="8">
        <f t="shared" si="36"/>
        <v>0</v>
      </c>
      <c r="U246" s="199">
        <f>VLOOKUP(A246,'PUR-PARTY MASTER'!$B$6:$J$250,7,FALSE)</f>
        <v>2</v>
      </c>
      <c r="V246" s="199" t="str">
        <f>VLOOKUP(A246,'PUR-PARTY MASTER'!$B$6:$J$250,8,FALSE)</f>
        <v>Local Pur</v>
      </c>
      <c r="W246" s="199" t="s">
        <v>902</v>
      </c>
      <c r="X246" s="404">
        <v>40151100</v>
      </c>
      <c r="Y246" s="201" t="str">
        <f>VLOOKUP(X246,'PUR-HSN MASTER'!$A$6:$D$247,2,FALSE)</f>
        <v>Hand Glove</v>
      </c>
      <c r="Z246" s="201" t="str">
        <f>VLOOKUP(X246,'PUR-HSN MASTER'!$A$6:$D$247,3,FALSE)</f>
        <v>NOS-NUMBERS</v>
      </c>
      <c r="AA246" s="334" t="str">
        <f>VLOOKUP(X246,'PUR-HSN MASTER'!$A$6:$D$247,4,FALSE)</f>
        <v>Goods</v>
      </c>
      <c r="AB246" s="401">
        <v>1000</v>
      </c>
    </row>
    <row r="247" spans="1:28" ht="14.4" x14ac:dyDescent="0.3">
      <c r="A247" s="429" t="s">
        <v>23</v>
      </c>
      <c r="B247" s="199" t="str">
        <f>VLOOKUP(A247,'PUR-PARTY MASTER'!$B$6:$J$250,2,FALSE)</f>
        <v>Varroc Polymers Pvt Ltd,</v>
      </c>
      <c r="C247" s="403">
        <v>2041076012</v>
      </c>
      <c r="D247" s="398">
        <v>43155</v>
      </c>
      <c r="E247" s="329">
        <f t="shared" si="29"/>
        <v>5558.7840000000006</v>
      </c>
      <c r="F247" s="199" t="str">
        <f>VLOOKUP(A247,'PUR-PARTY MASTER'!$B$6:$J$250,3,FALSE)</f>
        <v>27-Maharashatra</v>
      </c>
      <c r="G247" s="199" t="str">
        <f>VLOOKUP(A247,'PUR-PARTY MASTER'!$B$6:$J$250,4,FALSE)</f>
        <v>N</v>
      </c>
      <c r="H247" s="199" t="str">
        <f>VLOOKUP(A247,'PUR-PARTY MASTER'!$B$6:$J$250,5,FALSE)</f>
        <v>Regular</v>
      </c>
      <c r="I247" s="199">
        <f>VLOOKUP(A247,'PUR-PARTY MASTER'!$B$6:$J$250,6,FALSE)</f>
        <v>0</v>
      </c>
      <c r="J247" s="201">
        <v>28</v>
      </c>
      <c r="K247" s="400">
        <v>4342.8</v>
      </c>
      <c r="L247" s="202">
        <f t="shared" si="30"/>
        <v>0</v>
      </c>
      <c r="M247" s="202">
        <f t="shared" si="31"/>
        <v>607.99200000000008</v>
      </c>
      <c r="N247" s="202">
        <f t="shared" si="32"/>
        <v>607.99200000000008</v>
      </c>
      <c r="O247" s="8">
        <v>0</v>
      </c>
      <c r="P247" s="341" t="s">
        <v>177</v>
      </c>
      <c r="Q247" s="329">
        <f t="shared" si="33"/>
        <v>0</v>
      </c>
      <c r="R247" s="329">
        <f t="shared" si="34"/>
        <v>607.99200000000008</v>
      </c>
      <c r="S247" s="329">
        <f t="shared" si="35"/>
        <v>607.99200000000008</v>
      </c>
      <c r="T247" s="8">
        <f t="shared" si="36"/>
        <v>0</v>
      </c>
      <c r="U247" s="199">
        <f>VLOOKUP(A247,'PUR-PARTY MASTER'!$B$6:$J$250,7,FALSE)</f>
        <v>2</v>
      </c>
      <c r="V247" s="199" t="str">
        <f>VLOOKUP(A247,'PUR-PARTY MASTER'!$B$6:$J$250,8,FALSE)</f>
        <v>Local Pur</v>
      </c>
      <c r="W247" s="199" t="s">
        <v>897</v>
      </c>
      <c r="X247" s="404">
        <v>87141090</v>
      </c>
      <c r="Y247" s="201" t="str">
        <f>VLOOKUP(X247,'PUR-HSN MASTER'!$A$6:$D$247,2,FALSE)</f>
        <v>Parts &amp; Accessories Of Motor Vehicles Other</v>
      </c>
      <c r="Z247" s="201" t="str">
        <f>VLOOKUP(X247,'PUR-HSN MASTER'!$A$6:$D$247,3,FALSE)</f>
        <v>NOS-NUMBERS</v>
      </c>
      <c r="AA247" s="334" t="str">
        <f>VLOOKUP(X247,'PUR-HSN MASTER'!$A$6:$D$247,4,FALSE)</f>
        <v>Goods</v>
      </c>
      <c r="AB247" s="401">
        <v>210</v>
      </c>
    </row>
    <row r="248" spans="1:28" ht="14.4" x14ac:dyDescent="0.3">
      <c r="A248" s="429" t="s">
        <v>23</v>
      </c>
      <c r="B248" s="199" t="str">
        <f>VLOOKUP(A248,'PUR-PARTY MASTER'!$B$6:$J$250,2,FALSE)</f>
        <v>Varroc Polymers Pvt Ltd,</v>
      </c>
      <c r="C248" s="403">
        <v>2041076011</v>
      </c>
      <c r="D248" s="398">
        <v>43155</v>
      </c>
      <c r="E248" s="329">
        <f t="shared" si="29"/>
        <v>5558.7840000000006</v>
      </c>
      <c r="F248" s="199" t="str">
        <f>VLOOKUP(A248,'PUR-PARTY MASTER'!$B$6:$J$250,3,FALSE)</f>
        <v>27-Maharashatra</v>
      </c>
      <c r="G248" s="199" t="str">
        <f>VLOOKUP(A248,'PUR-PARTY MASTER'!$B$6:$J$250,4,FALSE)</f>
        <v>N</v>
      </c>
      <c r="H248" s="199" t="str">
        <f>VLOOKUP(A248,'PUR-PARTY MASTER'!$B$6:$J$250,5,FALSE)</f>
        <v>Regular</v>
      </c>
      <c r="I248" s="199">
        <f>VLOOKUP(A248,'PUR-PARTY MASTER'!$B$6:$J$250,6,FALSE)</f>
        <v>0</v>
      </c>
      <c r="J248" s="201">
        <v>28</v>
      </c>
      <c r="K248" s="400">
        <v>4342.8</v>
      </c>
      <c r="L248" s="202">
        <f t="shared" si="30"/>
        <v>0</v>
      </c>
      <c r="M248" s="202">
        <f t="shared" si="31"/>
        <v>607.99200000000008</v>
      </c>
      <c r="N248" s="202">
        <f t="shared" si="32"/>
        <v>607.99200000000008</v>
      </c>
      <c r="O248" s="8">
        <v>0</v>
      </c>
      <c r="P248" s="341" t="s">
        <v>177</v>
      </c>
      <c r="Q248" s="329">
        <f t="shared" si="33"/>
        <v>0</v>
      </c>
      <c r="R248" s="329">
        <f t="shared" si="34"/>
        <v>607.99200000000008</v>
      </c>
      <c r="S248" s="329">
        <f t="shared" si="35"/>
        <v>607.99200000000008</v>
      </c>
      <c r="T248" s="8">
        <f t="shared" si="36"/>
        <v>0</v>
      </c>
      <c r="U248" s="199">
        <f>VLOOKUP(A248,'PUR-PARTY MASTER'!$B$6:$J$250,7,FALSE)</f>
        <v>2</v>
      </c>
      <c r="V248" s="199" t="str">
        <f>VLOOKUP(A248,'PUR-PARTY MASTER'!$B$6:$J$250,8,FALSE)</f>
        <v>Local Pur</v>
      </c>
      <c r="W248" s="199" t="s">
        <v>897</v>
      </c>
      <c r="X248" s="404">
        <v>87141090</v>
      </c>
      <c r="Y248" s="201" t="str">
        <f>VLOOKUP(X248,'PUR-HSN MASTER'!$A$6:$D$247,2,FALSE)</f>
        <v>Parts &amp; Accessories Of Motor Vehicles Other</v>
      </c>
      <c r="Z248" s="201" t="str">
        <f>VLOOKUP(X248,'PUR-HSN MASTER'!$A$6:$D$247,3,FALSE)</f>
        <v>NOS-NUMBERS</v>
      </c>
      <c r="AA248" s="334" t="str">
        <f>VLOOKUP(X248,'PUR-HSN MASTER'!$A$6:$D$247,4,FALSE)</f>
        <v>Goods</v>
      </c>
      <c r="AB248" s="401">
        <v>210</v>
      </c>
    </row>
    <row r="249" spans="1:28" ht="14.4" x14ac:dyDescent="0.3">
      <c r="A249" s="429" t="s">
        <v>350</v>
      </c>
      <c r="B249" s="199" t="str">
        <f>VLOOKUP(A249,'PUR-PARTY MASTER'!$B$6:$J$250,2,FALSE)</f>
        <v>Micro Plast</v>
      </c>
      <c r="C249" s="403" t="s">
        <v>1444</v>
      </c>
      <c r="D249" s="398">
        <v>43155</v>
      </c>
      <c r="E249" s="329">
        <f t="shared" si="29"/>
        <v>61028.352000000006</v>
      </c>
      <c r="F249" s="199" t="str">
        <f>VLOOKUP(A249,'PUR-PARTY MASTER'!$B$6:$J$250,3,FALSE)</f>
        <v>27-Maharashatra</v>
      </c>
      <c r="G249" s="199" t="str">
        <f>VLOOKUP(A249,'PUR-PARTY MASTER'!$B$6:$J$250,4,FALSE)</f>
        <v>N</v>
      </c>
      <c r="H249" s="199" t="str">
        <f>VLOOKUP(A249,'PUR-PARTY MASTER'!$B$6:$J$250,5,FALSE)</f>
        <v>Regular</v>
      </c>
      <c r="I249" s="199">
        <f>VLOOKUP(A249,'PUR-PARTY MASTER'!$B$6:$J$250,6,FALSE)</f>
        <v>0</v>
      </c>
      <c r="J249" s="201">
        <v>28</v>
      </c>
      <c r="K249" s="400">
        <v>47678.400000000001</v>
      </c>
      <c r="L249" s="202">
        <f t="shared" si="30"/>
        <v>0</v>
      </c>
      <c r="M249" s="202">
        <f t="shared" si="31"/>
        <v>6674.9760000000006</v>
      </c>
      <c r="N249" s="202">
        <f t="shared" si="32"/>
        <v>6674.9760000000006</v>
      </c>
      <c r="O249" s="8">
        <v>0</v>
      </c>
      <c r="P249" s="341" t="s">
        <v>177</v>
      </c>
      <c r="Q249" s="329">
        <f t="shared" si="33"/>
        <v>0</v>
      </c>
      <c r="R249" s="329">
        <f t="shared" si="34"/>
        <v>6674.9760000000006</v>
      </c>
      <c r="S249" s="329">
        <f t="shared" si="35"/>
        <v>6674.9760000000006</v>
      </c>
      <c r="T249" s="8">
        <f t="shared" si="36"/>
        <v>0</v>
      </c>
      <c r="U249" s="199">
        <f>VLOOKUP(A249,'PUR-PARTY MASTER'!$B$6:$J$250,7,FALSE)</f>
        <v>2</v>
      </c>
      <c r="V249" s="199" t="str">
        <f>VLOOKUP(A249,'PUR-PARTY MASTER'!$B$6:$J$250,8,FALSE)</f>
        <v>Local Pur</v>
      </c>
      <c r="W249" s="199" t="s">
        <v>897</v>
      </c>
      <c r="X249" s="404">
        <v>87082900</v>
      </c>
      <c r="Y249" s="201" t="str">
        <f>VLOOKUP(X249,'PUR-HSN MASTER'!$A$6:$D$247,2,FALSE)</f>
        <v>Parts &amp; Accessories Of Motor Vehicles Other</v>
      </c>
      <c r="Z249" s="201" t="str">
        <f>VLOOKUP(X249,'PUR-HSN MASTER'!$A$6:$D$247,3,FALSE)</f>
        <v>NOS-NUMBERS</v>
      </c>
      <c r="AA249" s="334" t="str">
        <f>VLOOKUP(X249,'PUR-HSN MASTER'!$A$6:$D$247,4,FALSE)</f>
        <v>Goods</v>
      </c>
      <c r="AB249" s="401">
        <v>1120</v>
      </c>
    </row>
    <row r="250" spans="1:28" ht="14.4" x14ac:dyDescent="0.3">
      <c r="A250" s="429" t="s">
        <v>23</v>
      </c>
      <c r="B250" s="199" t="str">
        <f>VLOOKUP(A250,'PUR-PARTY MASTER'!$B$6:$J$250,2,FALSE)</f>
        <v>Varroc Polymers Pvt Ltd,</v>
      </c>
      <c r="C250" s="403">
        <v>2041075888</v>
      </c>
      <c r="D250" s="398">
        <v>43155</v>
      </c>
      <c r="E250" s="329">
        <f t="shared" si="29"/>
        <v>30138.624</v>
      </c>
      <c r="F250" s="199" t="str">
        <f>VLOOKUP(A250,'PUR-PARTY MASTER'!$B$6:$J$250,3,FALSE)</f>
        <v>27-Maharashatra</v>
      </c>
      <c r="G250" s="199" t="str">
        <f>VLOOKUP(A250,'PUR-PARTY MASTER'!$B$6:$J$250,4,FALSE)</f>
        <v>N</v>
      </c>
      <c r="H250" s="199" t="str">
        <f>VLOOKUP(A250,'PUR-PARTY MASTER'!$B$6:$J$250,5,FALSE)</f>
        <v>Regular</v>
      </c>
      <c r="I250" s="199">
        <f>VLOOKUP(A250,'PUR-PARTY MASTER'!$B$6:$J$250,6,FALSE)</f>
        <v>0</v>
      </c>
      <c r="J250" s="201">
        <v>28</v>
      </c>
      <c r="K250" s="400">
        <v>23545.8</v>
      </c>
      <c r="L250" s="202">
        <f t="shared" si="30"/>
        <v>0</v>
      </c>
      <c r="M250" s="202">
        <f t="shared" si="31"/>
        <v>3296.4120000000003</v>
      </c>
      <c r="N250" s="202">
        <f t="shared" si="32"/>
        <v>3296.4120000000003</v>
      </c>
      <c r="O250" s="8">
        <v>0</v>
      </c>
      <c r="P250" s="341" t="s">
        <v>177</v>
      </c>
      <c r="Q250" s="329">
        <f t="shared" si="33"/>
        <v>0</v>
      </c>
      <c r="R250" s="329">
        <f t="shared" si="34"/>
        <v>3296.4120000000003</v>
      </c>
      <c r="S250" s="329">
        <f t="shared" si="35"/>
        <v>3296.4120000000003</v>
      </c>
      <c r="T250" s="8">
        <f t="shared" si="36"/>
        <v>0</v>
      </c>
      <c r="U250" s="199">
        <f>VLOOKUP(A250,'PUR-PARTY MASTER'!$B$6:$J$250,7,FALSE)</f>
        <v>2</v>
      </c>
      <c r="V250" s="199" t="str">
        <f>VLOOKUP(A250,'PUR-PARTY MASTER'!$B$6:$J$250,8,FALSE)</f>
        <v>Local Pur</v>
      </c>
      <c r="W250" s="199" t="s">
        <v>897</v>
      </c>
      <c r="X250" s="404">
        <v>87141090</v>
      </c>
      <c r="Y250" s="201" t="str">
        <f>VLOOKUP(X250,'PUR-HSN MASTER'!$A$6:$D$247,2,FALSE)</f>
        <v>Parts &amp; Accessories Of Motor Vehicles Other</v>
      </c>
      <c r="Z250" s="201" t="str">
        <f>VLOOKUP(X250,'PUR-HSN MASTER'!$A$6:$D$247,3,FALSE)</f>
        <v>NOS-NUMBERS</v>
      </c>
      <c r="AA250" s="334" t="str">
        <f>VLOOKUP(X250,'PUR-HSN MASTER'!$A$6:$D$247,4,FALSE)</f>
        <v>Goods</v>
      </c>
      <c r="AB250" s="401">
        <v>635</v>
      </c>
    </row>
    <row r="251" spans="1:28" ht="14.4" x14ac:dyDescent="0.3">
      <c r="A251" s="429" t="s">
        <v>23</v>
      </c>
      <c r="B251" s="199" t="str">
        <f>VLOOKUP(A251,'PUR-PARTY MASTER'!$B$6:$J$250,2,FALSE)</f>
        <v>Varroc Polymers Pvt Ltd,</v>
      </c>
      <c r="C251" s="403">
        <v>2041075889</v>
      </c>
      <c r="D251" s="398">
        <v>43155</v>
      </c>
      <c r="E251" s="329">
        <f t="shared" si="29"/>
        <v>30138.624</v>
      </c>
      <c r="F251" s="199" t="str">
        <f>VLOOKUP(A251,'PUR-PARTY MASTER'!$B$6:$J$250,3,FALSE)</f>
        <v>27-Maharashatra</v>
      </c>
      <c r="G251" s="199" t="str">
        <f>VLOOKUP(A251,'PUR-PARTY MASTER'!$B$6:$J$250,4,FALSE)</f>
        <v>N</v>
      </c>
      <c r="H251" s="199" t="str">
        <f>VLOOKUP(A251,'PUR-PARTY MASTER'!$B$6:$J$250,5,FALSE)</f>
        <v>Regular</v>
      </c>
      <c r="I251" s="199">
        <f>VLOOKUP(A251,'PUR-PARTY MASTER'!$B$6:$J$250,6,FALSE)</f>
        <v>0</v>
      </c>
      <c r="J251" s="201">
        <v>28</v>
      </c>
      <c r="K251" s="400">
        <v>23545.8</v>
      </c>
      <c r="L251" s="202">
        <f t="shared" si="30"/>
        <v>0</v>
      </c>
      <c r="M251" s="202">
        <f t="shared" si="31"/>
        <v>3296.4120000000003</v>
      </c>
      <c r="N251" s="202">
        <f t="shared" si="32"/>
        <v>3296.4120000000003</v>
      </c>
      <c r="O251" s="8">
        <v>0</v>
      </c>
      <c r="P251" s="341" t="s">
        <v>177</v>
      </c>
      <c r="Q251" s="329">
        <f t="shared" si="33"/>
        <v>0</v>
      </c>
      <c r="R251" s="329">
        <f t="shared" si="34"/>
        <v>3296.4120000000003</v>
      </c>
      <c r="S251" s="329">
        <f t="shared" si="35"/>
        <v>3296.4120000000003</v>
      </c>
      <c r="T251" s="8">
        <f t="shared" si="36"/>
        <v>0</v>
      </c>
      <c r="U251" s="199">
        <f>VLOOKUP(A251,'PUR-PARTY MASTER'!$B$6:$J$250,7,FALSE)</f>
        <v>2</v>
      </c>
      <c r="V251" s="199" t="str">
        <f>VLOOKUP(A251,'PUR-PARTY MASTER'!$B$6:$J$250,8,FALSE)</f>
        <v>Local Pur</v>
      </c>
      <c r="W251" s="199" t="s">
        <v>897</v>
      </c>
      <c r="X251" s="404">
        <v>87141090</v>
      </c>
      <c r="Y251" s="201" t="str">
        <f>VLOOKUP(X251,'PUR-HSN MASTER'!$A$6:$D$247,2,FALSE)</f>
        <v>Parts &amp; Accessories Of Motor Vehicles Other</v>
      </c>
      <c r="Z251" s="201" t="str">
        <f>VLOOKUP(X251,'PUR-HSN MASTER'!$A$6:$D$247,3,FALSE)</f>
        <v>NOS-NUMBERS</v>
      </c>
      <c r="AA251" s="334" t="str">
        <f>VLOOKUP(X251,'PUR-HSN MASTER'!$A$6:$D$247,4,FALSE)</f>
        <v>Goods</v>
      </c>
      <c r="AB251" s="401">
        <v>635</v>
      </c>
    </row>
    <row r="252" spans="1:28" ht="14.4" x14ac:dyDescent="0.3">
      <c r="A252" s="429" t="s">
        <v>23</v>
      </c>
      <c r="B252" s="199" t="str">
        <f>VLOOKUP(A252,'PUR-PARTY MASTER'!$B$6:$J$250,2,FALSE)</f>
        <v>Varroc Polymers Pvt Ltd,</v>
      </c>
      <c r="C252" s="403">
        <v>2041075997</v>
      </c>
      <c r="D252" s="398">
        <v>43155</v>
      </c>
      <c r="E252" s="329">
        <f t="shared" si="29"/>
        <v>9967.1040000000012</v>
      </c>
      <c r="F252" s="199" t="str">
        <f>VLOOKUP(A252,'PUR-PARTY MASTER'!$B$6:$J$250,3,FALSE)</f>
        <v>27-Maharashatra</v>
      </c>
      <c r="G252" s="199" t="str">
        <f>VLOOKUP(A252,'PUR-PARTY MASTER'!$B$6:$J$250,4,FALSE)</f>
        <v>N</v>
      </c>
      <c r="H252" s="199" t="str">
        <f>VLOOKUP(A252,'PUR-PARTY MASTER'!$B$6:$J$250,5,FALSE)</f>
        <v>Regular</v>
      </c>
      <c r="I252" s="199">
        <f>VLOOKUP(A252,'PUR-PARTY MASTER'!$B$6:$J$250,6,FALSE)</f>
        <v>0</v>
      </c>
      <c r="J252" s="201">
        <v>28</v>
      </c>
      <c r="K252" s="400">
        <v>7786.8</v>
      </c>
      <c r="L252" s="202">
        <f t="shared" si="30"/>
        <v>0</v>
      </c>
      <c r="M252" s="202">
        <f t="shared" si="31"/>
        <v>1090.152</v>
      </c>
      <c r="N252" s="202">
        <f t="shared" si="32"/>
        <v>1090.152</v>
      </c>
      <c r="O252" s="8">
        <v>0</v>
      </c>
      <c r="P252" s="341" t="s">
        <v>177</v>
      </c>
      <c r="Q252" s="329">
        <f t="shared" si="33"/>
        <v>0</v>
      </c>
      <c r="R252" s="329">
        <f t="shared" si="34"/>
        <v>1090.152</v>
      </c>
      <c r="S252" s="329">
        <f t="shared" si="35"/>
        <v>1090.152</v>
      </c>
      <c r="T252" s="8">
        <f t="shared" si="36"/>
        <v>0</v>
      </c>
      <c r="U252" s="199">
        <f>VLOOKUP(A252,'PUR-PARTY MASTER'!$B$6:$J$250,7,FALSE)</f>
        <v>2</v>
      </c>
      <c r="V252" s="199" t="str">
        <f>VLOOKUP(A252,'PUR-PARTY MASTER'!$B$6:$J$250,8,FALSE)</f>
        <v>Local Pur</v>
      </c>
      <c r="W252" s="199" t="s">
        <v>897</v>
      </c>
      <c r="X252" s="404">
        <v>87141090</v>
      </c>
      <c r="Y252" s="201" t="str">
        <f>VLOOKUP(X252,'PUR-HSN MASTER'!$A$6:$D$247,2,FALSE)</f>
        <v>Parts &amp; Accessories Of Motor Vehicles Other</v>
      </c>
      <c r="Z252" s="201" t="str">
        <f>VLOOKUP(X252,'PUR-HSN MASTER'!$A$6:$D$247,3,FALSE)</f>
        <v>NOS-NUMBERS</v>
      </c>
      <c r="AA252" s="334" t="str">
        <f>VLOOKUP(X252,'PUR-HSN MASTER'!$A$6:$D$247,4,FALSE)</f>
        <v>Goods</v>
      </c>
      <c r="AB252" s="401">
        <v>210</v>
      </c>
    </row>
    <row r="253" spans="1:28" ht="14.4" x14ac:dyDescent="0.3">
      <c r="A253" s="429" t="s">
        <v>23</v>
      </c>
      <c r="B253" s="199" t="str">
        <f>VLOOKUP(A253,'PUR-PARTY MASTER'!$B$6:$J$250,2,FALSE)</f>
        <v>Varroc Polymers Pvt Ltd,</v>
      </c>
      <c r="C253" s="403">
        <v>2041075998</v>
      </c>
      <c r="D253" s="398">
        <v>43155</v>
      </c>
      <c r="E253" s="329">
        <f t="shared" si="29"/>
        <v>9967.1040000000012</v>
      </c>
      <c r="F253" s="199" t="str">
        <f>VLOOKUP(A253,'PUR-PARTY MASTER'!$B$6:$J$250,3,FALSE)</f>
        <v>27-Maharashatra</v>
      </c>
      <c r="G253" s="199" t="str">
        <f>VLOOKUP(A253,'PUR-PARTY MASTER'!$B$6:$J$250,4,FALSE)</f>
        <v>N</v>
      </c>
      <c r="H253" s="199" t="str">
        <f>VLOOKUP(A253,'PUR-PARTY MASTER'!$B$6:$J$250,5,FALSE)</f>
        <v>Regular</v>
      </c>
      <c r="I253" s="199">
        <f>VLOOKUP(A253,'PUR-PARTY MASTER'!$B$6:$J$250,6,FALSE)</f>
        <v>0</v>
      </c>
      <c r="J253" s="201">
        <v>28</v>
      </c>
      <c r="K253" s="400">
        <v>7786.8</v>
      </c>
      <c r="L253" s="202">
        <f t="shared" si="30"/>
        <v>0</v>
      </c>
      <c r="M253" s="202">
        <f t="shared" si="31"/>
        <v>1090.152</v>
      </c>
      <c r="N253" s="202">
        <f t="shared" si="32"/>
        <v>1090.152</v>
      </c>
      <c r="O253" s="8">
        <v>0</v>
      </c>
      <c r="P253" s="341" t="s">
        <v>177</v>
      </c>
      <c r="Q253" s="329">
        <f t="shared" si="33"/>
        <v>0</v>
      </c>
      <c r="R253" s="329">
        <f t="shared" si="34"/>
        <v>1090.152</v>
      </c>
      <c r="S253" s="329">
        <f t="shared" si="35"/>
        <v>1090.152</v>
      </c>
      <c r="T253" s="8">
        <f t="shared" si="36"/>
        <v>0</v>
      </c>
      <c r="U253" s="199">
        <f>VLOOKUP(A253,'PUR-PARTY MASTER'!$B$6:$J$250,7,FALSE)</f>
        <v>2</v>
      </c>
      <c r="V253" s="199" t="str">
        <f>VLOOKUP(A253,'PUR-PARTY MASTER'!$B$6:$J$250,8,FALSE)</f>
        <v>Local Pur</v>
      </c>
      <c r="W253" s="199" t="s">
        <v>897</v>
      </c>
      <c r="X253" s="404">
        <v>87141090</v>
      </c>
      <c r="Y253" s="201" t="str">
        <f>VLOOKUP(X253,'PUR-HSN MASTER'!$A$6:$D$247,2,FALSE)</f>
        <v>Parts &amp; Accessories Of Motor Vehicles Other</v>
      </c>
      <c r="Z253" s="201" t="str">
        <f>VLOOKUP(X253,'PUR-HSN MASTER'!$A$6:$D$247,3,FALSE)</f>
        <v>NOS-NUMBERS</v>
      </c>
      <c r="AA253" s="334" t="str">
        <f>VLOOKUP(X253,'PUR-HSN MASTER'!$A$6:$D$247,4,FALSE)</f>
        <v>Goods</v>
      </c>
      <c r="AB253" s="401">
        <v>210</v>
      </c>
    </row>
    <row r="254" spans="1:28" ht="14.4" x14ac:dyDescent="0.3">
      <c r="A254" s="429" t="s">
        <v>23</v>
      </c>
      <c r="B254" s="199" t="str">
        <f>VLOOKUP(A254,'PUR-PARTY MASTER'!$B$6:$J$250,2,FALSE)</f>
        <v>Varroc Polymers Pvt Ltd,</v>
      </c>
      <c r="C254" s="403">
        <v>2041075890</v>
      </c>
      <c r="D254" s="398">
        <v>43155</v>
      </c>
      <c r="E254" s="329">
        <f t="shared" si="29"/>
        <v>9820.7999999999993</v>
      </c>
      <c r="F254" s="199" t="str">
        <f>VLOOKUP(A254,'PUR-PARTY MASTER'!$B$6:$J$250,3,FALSE)</f>
        <v>27-Maharashatra</v>
      </c>
      <c r="G254" s="199" t="str">
        <f>VLOOKUP(A254,'PUR-PARTY MASTER'!$B$6:$J$250,4,FALSE)</f>
        <v>N</v>
      </c>
      <c r="H254" s="199" t="str">
        <f>VLOOKUP(A254,'PUR-PARTY MASTER'!$B$6:$J$250,5,FALSE)</f>
        <v>Regular</v>
      </c>
      <c r="I254" s="199">
        <f>VLOOKUP(A254,'PUR-PARTY MASTER'!$B$6:$J$250,6,FALSE)</f>
        <v>0</v>
      </c>
      <c r="J254" s="201">
        <v>28</v>
      </c>
      <c r="K254" s="400">
        <v>7672.5</v>
      </c>
      <c r="L254" s="202">
        <f t="shared" si="30"/>
        <v>0</v>
      </c>
      <c r="M254" s="202">
        <f t="shared" si="31"/>
        <v>1074.1500000000001</v>
      </c>
      <c r="N254" s="202">
        <f t="shared" si="32"/>
        <v>1074.1500000000001</v>
      </c>
      <c r="O254" s="8">
        <v>0</v>
      </c>
      <c r="P254" s="341" t="s">
        <v>177</v>
      </c>
      <c r="Q254" s="329">
        <f t="shared" si="33"/>
        <v>0</v>
      </c>
      <c r="R254" s="329">
        <f t="shared" si="34"/>
        <v>1074.1500000000001</v>
      </c>
      <c r="S254" s="329">
        <f t="shared" si="35"/>
        <v>1074.1500000000001</v>
      </c>
      <c r="T254" s="8">
        <f t="shared" si="36"/>
        <v>0</v>
      </c>
      <c r="U254" s="199">
        <f>VLOOKUP(A254,'PUR-PARTY MASTER'!$B$6:$J$250,7,FALSE)</f>
        <v>2</v>
      </c>
      <c r="V254" s="199" t="str">
        <f>VLOOKUP(A254,'PUR-PARTY MASTER'!$B$6:$J$250,8,FALSE)</f>
        <v>Local Pur</v>
      </c>
      <c r="W254" s="199" t="s">
        <v>897</v>
      </c>
      <c r="X254" s="404">
        <v>87141090</v>
      </c>
      <c r="Y254" s="201" t="str">
        <f>VLOOKUP(X254,'PUR-HSN MASTER'!$A$6:$D$247,2,FALSE)</f>
        <v>Parts &amp; Accessories Of Motor Vehicles Other</v>
      </c>
      <c r="Z254" s="201" t="str">
        <f>VLOOKUP(X254,'PUR-HSN MASTER'!$A$6:$D$247,3,FALSE)</f>
        <v>NOS-NUMBERS</v>
      </c>
      <c r="AA254" s="334" t="str">
        <f>VLOOKUP(X254,'PUR-HSN MASTER'!$A$6:$D$247,4,FALSE)</f>
        <v>Goods</v>
      </c>
      <c r="AB254" s="401">
        <v>150</v>
      </c>
    </row>
    <row r="255" spans="1:28" ht="14.4" x14ac:dyDescent="0.3">
      <c r="A255" s="429" t="s">
        <v>23</v>
      </c>
      <c r="B255" s="199" t="str">
        <f>VLOOKUP(A255,'PUR-PARTY MASTER'!$B$6:$J$250,2,FALSE)</f>
        <v>Varroc Polymers Pvt Ltd,</v>
      </c>
      <c r="C255" s="403">
        <v>2041075891</v>
      </c>
      <c r="D255" s="398">
        <v>43155</v>
      </c>
      <c r="E255" s="329">
        <f t="shared" si="29"/>
        <v>8056.32</v>
      </c>
      <c r="F255" s="199" t="str">
        <f>VLOOKUP(A255,'PUR-PARTY MASTER'!$B$6:$J$250,3,FALSE)</f>
        <v>27-Maharashatra</v>
      </c>
      <c r="G255" s="199" t="str">
        <f>VLOOKUP(A255,'PUR-PARTY MASTER'!$B$6:$J$250,4,FALSE)</f>
        <v>N</v>
      </c>
      <c r="H255" s="199" t="str">
        <f>VLOOKUP(A255,'PUR-PARTY MASTER'!$B$6:$J$250,5,FALSE)</f>
        <v>Regular</v>
      </c>
      <c r="I255" s="199">
        <f>VLOOKUP(A255,'PUR-PARTY MASTER'!$B$6:$J$250,6,FALSE)</f>
        <v>0</v>
      </c>
      <c r="J255" s="201">
        <v>28</v>
      </c>
      <c r="K255" s="400">
        <v>6294</v>
      </c>
      <c r="L255" s="202">
        <f t="shared" si="30"/>
        <v>0</v>
      </c>
      <c r="M255" s="202">
        <f t="shared" si="31"/>
        <v>881.16000000000008</v>
      </c>
      <c r="N255" s="202">
        <f t="shared" si="32"/>
        <v>881.16000000000008</v>
      </c>
      <c r="O255" s="8">
        <v>0</v>
      </c>
      <c r="P255" s="341" t="s">
        <v>177</v>
      </c>
      <c r="Q255" s="329">
        <f t="shared" si="33"/>
        <v>0</v>
      </c>
      <c r="R255" s="329">
        <f t="shared" si="34"/>
        <v>881.16000000000008</v>
      </c>
      <c r="S255" s="329">
        <f t="shared" si="35"/>
        <v>881.16000000000008</v>
      </c>
      <c r="T255" s="8">
        <f t="shared" si="36"/>
        <v>0</v>
      </c>
      <c r="U255" s="199">
        <f>VLOOKUP(A255,'PUR-PARTY MASTER'!$B$6:$J$250,7,FALSE)</f>
        <v>2</v>
      </c>
      <c r="V255" s="199" t="str">
        <f>VLOOKUP(A255,'PUR-PARTY MASTER'!$B$6:$J$250,8,FALSE)</f>
        <v>Local Pur</v>
      </c>
      <c r="W255" s="199" t="s">
        <v>897</v>
      </c>
      <c r="X255" s="404">
        <v>39199090</v>
      </c>
      <c r="Y255" s="201" t="str">
        <f>VLOOKUP(X255,'PUR-HSN MASTER'!$A$6:$D$247,2,FALSE)</f>
        <v>Parts &amp; Accessories Of Motor Vehicles Other</v>
      </c>
      <c r="Z255" s="201" t="str">
        <f>VLOOKUP(X255,'PUR-HSN MASTER'!$A$6:$D$247,3,FALSE)</f>
        <v>KLR-KILOLITRE</v>
      </c>
      <c r="AA255" s="334" t="str">
        <f>VLOOKUP(X255,'PUR-HSN MASTER'!$A$6:$D$247,4,FALSE)</f>
        <v>Goods</v>
      </c>
      <c r="AB255" s="401">
        <v>150</v>
      </c>
    </row>
    <row r="256" spans="1:28" ht="14.4" x14ac:dyDescent="0.3">
      <c r="A256" s="429" t="s">
        <v>23</v>
      </c>
      <c r="B256" s="199" t="str">
        <f>VLOOKUP(A256,'PUR-PARTY MASTER'!$B$6:$J$250,2,FALSE)</f>
        <v>Varroc Polymers Pvt Ltd,</v>
      </c>
      <c r="C256" s="403">
        <v>2041075895</v>
      </c>
      <c r="D256" s="398">
        <v>43155</v>
      </c>
      <c r="E256" s="329">
        <f t="shared" si="29"/>
        <v>4583.04</v>
      </c>
      <c r="F256" s="199" t="str">
        <f>VLOOKUP(A256,'PUR-PARTY MASTER'!$B$6:$J$250,3,FALSE)</f>
        <v>27-Maharashatra</v>
      </c>
      <c r="G256" s="199" t="str">
        <f>VLOOKUP(A256,'PUR-PARTY MASTER'!$B$6:$J$250,4,FALSE)</f>
        <v>N</v>
      </c>
      <c r="H256" s="199" t="str">
        <f>VLOOKUP(A256,'PUR-PARTY MASTER'!$B$6:$J$250,5,FALSE)</f>
        <v>Regular</v>
      </c>
      <c r="I256" s="199">
        <f>VLOOKUP(A256,'PUR-PARTY MASTER'!$B$6:$J$250,6,FALSE)</f>
        <v>0</v>
      </c>
      <c r="J256" s="201">
        <v>28</v>
      </c>
      <c r="K256" s="400">
        <v>3580.5</v>
      </c>
      <c r="L256" s="202">
        <f t="shared" si="30"/>
        <v>0</v>
      </c>
      <c r="M256" s="202">
        <f t="shared" si="31"/>
        <v>501.27000000000004</v>
      </c>
      <c r="N256" s="202">
        <f t="shared" si="32"/>
        <v>501.27000000000004</v>
      </c>
      <c r="O256" s="8">
        <v>0</v>
      </c>
      <c r="P256" s="341" t="s">
        <v>177</v>
      </c>
      <c r="Q256" s="329">
        <f t="shared" si="33"/>
        <v>0</v>
      </c>
      <c r="R256" s="329">
        <f t="shared" si="34"/>
        <v>501.27000000000004</v>
      </c>
      <c r="S256" s="329">
        <f t="shared" si="35"/>
        <v>501.27000000000004</v>
      </c>
      <c r="T256" s="8">
        <f t="shared" si="36"/>
        <v>0</v>
      </c>
      <c r="U256" s="199">
        <f>VLOOKUP(A256,'PUR-PARTY MASTER'!$B$6:$J$250,7,FALSE)</f>
        <v>2</v>
      </c>
      <c r="V256" s="199" t="str">
        <f>VLOOKUP(A256,'PUR-PARTY MASTER'!$B$6:$J$250,8,FALSE)</f>
        <v>Local Pur</v>
      </c>
      <c r="W256" s="199" t="s">
        <v>897</v>
      </c>
      <c r="X256" s="404">
        <v>87141090</v>
      </c>
      <c r="Y256" s="201" t="str">
        <f>VLOOKUP(X256,'PUR-HSN MASTER'!$A$6:$D$247,2,FALSE)</f>
        <v>Parts &amp; Accessories Of Motor Vehicles Other</v>
      </c>
      <c r="Z256" s="201" t="str">
        <f>VLOOKUP(X256,'PUR-HSN MASTER'!$A$6:$D$247,3,FALSE)</f>
        <v>NOS-NUMBERS</v>
      </c>
      <c r="AA256" s="334" t="str">
        <f>VLOOKUP(X256,'PUR-HSN MASTER'!$A$6:$D$247,4,FALSE)</f>
        <v>Goods</v>
      </c>
      <c r="AB256" s="401">
        <v>70</v>
      </c>
    </row>
    <row r="257" spans="1:28" ht="14.4" x14ac:dyDescent="0.3">
      <c r="A257" s="429" t="s">
        <v>23</v>
      </c>
      <c r="B257" s="199" t="str">
        <f>VLOOKUP(A257,'PUR-PARTY MASTER'!$B$6:$J$250,2,FALSE)</f>
        <v>Varroc Polymers Pvt Ltd,</v>
      </c>
      <c r="C257" s="403">
        <v>2041075996</v>
      </c>
      <c r="D257" s="398">
        <v>43155</v>
      </c>
      <c r="E257" s="329">
        <f t="shared" si="29"/>
        <v>3759.616</v>
      </c>
      <c r="F257" s="199" t="str">
        <f>VLOOKUP(A257,'PUR-PARTY MASTER'!$B$6:$J$250,3,FALSE)</f>
        <v>27-Maharashatra</v>
      </c>
      <c r="G257" s="199" t="str">
        <f>VLOOKUP(A257,'PUR-PARTY MASTER'!$B$6:$J$250,4,FALSE)</f>
        <v>N</v>
      </c>
      <c r="H257" s="199" t="str">
        <f>VLOOKUP(A257,'PUR-PARTY MASTER'!$B$6:$J$250,5,FALSE)</f>
        <v>Regular</v>
      </c>
      <c r="I257" s="199">
        <f>VLOOKUP(A257,'PUR-PARTY MASTER'!$B$6:$J$250,6,FALSE)</f>
        <v>0</v>
      </c>
      <c r="J257" s="201">
        <v>28</v>
      </c>
      <c r="K257" s="400">
        <v>2937.2</v>
      </c>
      <c r="L257" s="202">
        <f t="shared" si="30"/>
        <v>0</v>
      </c>
      <c r="M257" s="202">
        <f t="shared" si="31"/>
        <v>411.20800000000003</v>
      </c>
      <c r="N257" s="202">
        <f t="shared" si="32"/>
        <v>411.20800000000003</v>
      </c>
      <c r="O257" s="8">
        <v>0</v>
      </c>
      <c r="P257" s="341" t="s">
        <v>177</v>
      </c>
      <c r="Q257" s="329">
        <f t="shared" si="33"/>
        <v>0</v>
      </c>
      <c r="R257" s="329">
        <f t="shared" si="34"/>
        <v>411.20800000000003</v>
      </c>
      <c r="S257" s="329">
        <f t="shared" si="35"/>
        <v>411.20800000000003</v>
      </c>
      <c r="T257" s="8">
        <f t="shared" si="36"/>
        <v>0</v>
      </c>
      <c r="U257" s="199">
        <f>VLOOKUP(A257,'PUR-PARTY MASTER'!$B$6:$J$250,7,FALSE)</f>
        <v>2</v>
      </c>
      <c r="V257" s="199" t="str">
        <f>VLOOKUP(A257,'PUR-PARTY MASTER'!$B$6:$J$250,8,FALSE)</f>
        <v>Local Pur</v>
      </c>
      <c r="W257" s="199" t="s">
        <v>897</v>
      </c>
      <c r="X257" s="404">
        <v>39199090</v>
      </c>
      <c r="Y257" s="201" t="str">
        <f>VLOOKUP(X257,'PUR-HSN MASTER'!$A$6:$D$247,2,FALSE)</f>
        <v>Parts &amp; Accessories Of Motor Vehicles Other</v>
      </c>
      <c r="Z257" s="201" t="str">
        <f>VLOOKUP(X257,'PUR-HSN MASTER'!$A$6:$D$247,3,FALSE)</f>
        <v>KLR-KILOLITRE</v>
      </c>
      <c r="AA257" s="334" t="str">
        <f>VLOOKUP(X257,'PUR-HSN MASTER'!$A$6:$D$247,4,FALSE)</f>
        <v>Goods</v>
      </c>
      <c r="AB257" s="401">
        <v>70</v>
      </c>
    </row>
    <row r="258" spans="1:28" ht="14.4" x14ac:dyDescent="0.3">
      <c r="A258" s="429" t="s">
        <v>335</v>
      </c>
      <c r="B258" s="199" t="str">
        <f>VLOOKUP(A258,'PUR-PARTY MASTER'!$B$6:$J$250,2,FALSE)</f>
        <v>Atharva Polymers Pvt Ltd,</v>
      </c>
      <c r="C258" s="403" t="s">
        <v>1445</v>
      </c>
      <c r="D258" s="398">
        <v>43155</v>
      </c>
      <c r="E258" s="329">
        <f t="shared" si="29"/>
        <v>73033.216</v>
      </c>
      <c r="F258" s="199" t="str">
        <f>VLOOKUP(A258,'PUR-PARTY MASTER'!$B$6:$J$250,3,FALSE)</f>
        <v>27-Maharashatra</v>
      </c>
      <c r="G258" s="199" t="str">
        <f>VLOOKUP(A258,'PUR-PARTY MASTER'!$B$6:$J$250,4,FALSE)</f>
        <v>N</v>
      </c>
      <c r="H258" s="199" t="str">
        <f>VLOOKUP(A258,'PUR-PARTY MASTER'!$B$6:$J$250,5,FALSE)</f>
        <v>Regular</v>
      </c>
      <c r="I258" s="199">
        <f>VLOOKUP(A258,'PUR-PARTY MASTER'!$B$6:$J$250,6,FALSE)</f>
        <v>0</v>
      </c>
      <c r="J258" s="201">
        <v>28</v>
      </c>
      <c r="K258" s="400">
        <f>56916.5+140.7</f>
        <v>57057.2</v>
      </c>
      <c r="L258" s="202">
        <f t="shared" si="30"/>
        <v>0</v>
      </c>
      <c r="M258" s="202">
        <f t="shared" si="31"/>
        <v>7988.0080000000007</v>
      </c>
      <c r="N258" s="202">
        <f t="shared" si="32"/>
        <v>7988.0080000000007</v>
      </c>
      <c r="O258" s="8">
        <v>0</v>
      </c>
      <c r="P258" s="341" t="s">
        <v>177</v>
      </c>
      <c r="Q258" s="329">
        <f t="shared" si="33"/>
        <v>0</v>
      </c>
      <c r="R258" s="329">
        <f t="shared" si="34"/>
        <v>7988.0080000000007</v>
      </c>
      <c r="S258" s="329">
        <f t="shared" si="35"/>
        <v>7988.0080000000007</v>
      </c>
      <c r="T258" s="8">
        <f t="shared" si="36"/>
        <v>0</v>
      </c>
      <c r="U258" s="199">
        <f>VLOOKUP(A258,'PUR-PARTY MASTER'!$B$6:$J$250,7,FALSE)</f>
        <v>2</v>
      </c>
      <c r="V258" s="199" t="str">
        <f>VLOOKUP(A258,'PUR-PARTY MASTER'!$B$6:$J$250,8,FALSE)</f>
        <v>Local Pur</v>
      </c>
      <c r="W258" s="199" t="s">
        <v>897</v>
      </c>
      <c r="X258" s="404">
        <v>87141900</v>
      </c>
      <c r="Y258" s="201" t="str">
        <f>VLOOKUP(X258,'PUR-HSN MASTER'!$A$6:$D$247,2,FALSE)</f>
        <v>Parts &amp; Accessories Of Motor Vehicles Other</v>
      </c>
      <c r="Z258" s="201" t="str">
        <f>VLOOKUP(X258,'PUR-HSN MASTER'!$A$6:$D$247,3,FALSE)</f>
        <v>KLR-KILOLITRE</v>
      </c>
      <c r="AA258" s="334" t="str">
        <f>VLOOKUP(X258,'PUR-HSN MASTER'!$A$6:$D$247,4,FALSE)</f>
        <v>Goods</v>
      </c>
      <c r="AB258" s="401">
        <v>1340</v>
      </c>
    </row>
    <row r="259" spans="1:28" ht="14.4" x14ac:dyDescent="0.3">
      <c r="A259" s="429" t="s">
        <v>335</v>
      </c>
      <c r="B259" s="199" t="str">
        <f>VLOOKUP(A259,'PUR-PARTY MASTER'!$B$6:$J$250,2,FALSE)</f>
        <v>Atharva Polymers Pvt Ltd,</v>
      </c>
      <c r="C259" s="403" t="s">
        <v>1446</v>
      </c>
      <c r="D259" s="398">
        <v>43156</v>
      </c>
      <c r="E259" s="329">
        <f t="shared" si="29"/>
        <v>80118.527999999991</v>
      </c>
      <c r="F259" s="199" t="str">
        <f>VLOOKUP(A259,'PUR-PARTY MASTER'!$B$6:$J$250,3,FALSE)</f>
        <v>27-Maharashatra</v>
      </c>
      <c r="G259" s="199" t="str">
        <f>VLOOKUP(A259,'PUR-PARTY MASTER'!$B$6:$J$250,4,FALSE)</f>
        <v>N</v>
      </c>
      <c r="H259" s="199" t="str">
        <f>VLOOKUP(A259,'PUR-PARTY MASTER'!$B$6:$J$250,5,FALSE)</f>
        <v>Regular</v>
      </c>
      <c r="I259" s="199">
        <f>VLOOKUP(A259,'PUR-PARTY MASTER'!$B$6:$J$250,6,FALSE)</f>
        <v>0</v>
      </c>
      <c r="J259" s="201">
        <v>28</v>
      </c>
      <c r="K259" s="400">
        <f>62438.25+154.35</f>
        <v>62592.6</v>
      </c>
      <c r="L259" s="202">
        <f t="shared" si="30"/>
        <v>0</v>
      </c>
      <c r="M259" s="202">
        <f t="shared" si="31"/>
        <v>8762.9639999999999</v>
      </c>
      <c r="N259" s="202">
        <f t="shared" si="32"/>
        <v>8762.9639999999999</v>
      </c>
      <c r="O259" s="8">
        <v>0</v>
      </c>
      <c r="P259" s="341" t="s">
        <v>177</v>
      </c>
      <c r="Q259" s="329">
        <f t="shared" si="33"/>
        <v>0</v>
      </c>
      <c r="R259" s="329">
        <f t="shared" si="34"/>
        <v>8762.9639999999999</v>
      </c>
      <c r="S259" s="329">
        <f t="shared" si="35"/>
        <v>8762.9639999999999</v>
      </c>
      <c r="T259" s="8">
        <f t="shared" si="36"/>
        <v>0</v>
      </c>
      <c r="U259" s="199">
        <f>VLOOKUP(A259,'PUR-PARTY MASTER'!$B$6:$J$250,7,FALSE)</f>
        <v>2</v>
      </c>
      <c r="V259" s="199" t="str">
        <f>VLOOKUP(A259,'PUR-PARTY MASTER'!$B$6:$J$250,8,FALSE)</f>
        <v>Local Pur</v>
      </c>
      <c r="W259" s="199" t="s">
        <v>897</v>
      </c>
      <c r="X259" s="404">
        <v>87141900</v>
      </c>
      <c r="Y259" s="201" t="str">
        <f>VLOOKUP(X259,'PUR-HSN MASTER'!$A$6:$D$247,2,FALSE)</f>
        <v>Parts &amp; Accessories Of Motor Vehicles Other</v>
      </c>
      <c r="Z259" s="201" t="str">
        <f>VLOOKUP(X259,'PUR-HSN MASTER'!$A$6:$D$247,3,FALSE)</f>
        <v>KLR-KILOLITRE</v>
      </c>
      <c r="AA259" s="334" t="str">
        <f>VLOOKUP(X259,'PUR-HSN MASTER'!$A$6:$D$247,4,FALSE)</f>
        <v>Goods</v>
      </c>
      <c r="AB259" s="401">
        <v>1470</v>
      </c>
    </row>
    <row r="260" spans="1:28" ht="14.4" x14ac:dyDescent="0.3">
      <c r="A260" s="429" t="s">
        <v>350</v>
      </c>
      <c r="B260" s="199" t="str">
        <f>VLOOKUP(A260,'PUR-PARTY MASTER'!$B$6:$J$250,2,FALSE)</f>
        <v>Micro Plast</v>
      </c>
      <c r="C260" s="403" t="s">
        <v>1447</v>
      </c>
      <c r="D260" s="398">
        <v>43156</v>
      </c>
      <c r="E260" s="329">
        <f t="shared" si="29"/>
        <v>56669.184000000008</v>
      </c>
      <c r="F260" s="199" t="str">
        <f>VLOOKUP(A260,'PUR-PARTY MASTER'!$B$6:$J$250,3,FALSE)</f>
        <v>27-Maharashatra</v>
      </c>
      <c r="G260" s="199" t="str">
        <f>VLOOKUP(A260,'PUR-PARTY MASTER'!$B$6:$J$250,4,FALSE)</f>
        <v>N</v>
      </c>
      <c r="H260" s="199" t="str">
        <f>VLOOKUP(A260,'PUR-PARTY MASTER'!$B$6:$J$250,5,FALSE)</f>
        <v>Regular</v>
      </c>
      <c r="I260" s="199">
        <f>VLOOKUP(A260,'PUR-PARTY MASTER'!$B$6:$J$250,6,FALSE)</f>
        <v>0</v>
      </c>
      <c r="J260" s="201">
        <v>28</v>
      </c>
      <c r="K260" s="400">
        <v>44272.800000000003</v>
      </c>
      <c r="L260" s="202">
        <f t="shared" si="30"/>
        <v>0</v>
      </c>
      <c r="M260" s="202">
        <f t="shared" si="31"/>
        <v>6198.1920000000009</v>
      </c>
      <c r="N260" s="202">
        <f t="shared" si="32"/>
        <v>6198.1920000000009</v>
      </c>
      <c r="O260" s="8">
        <v>0</v>
      </c>
      <c r="P260" s="341" t="s">
        <v>177</v>
      </c>
      <c r="Q260" s="329">
        <f t="shared" si="33"/>
        <v>0</v>
      </c>
      <c r="R260" s="329">
        <f t="shared" si="34"/>
        <v>6198.1920000000009</v>
      </c>
      <c r="S260" s="329">
        <f t="shared" si="35"/>
        <v>6198.1920000000009</v>
      </c>
      <c r="T260" s="8">
        <f t="shared" si="36"/>
        <v>0</v>
      </c>
      <c r="U260" s="199">
        <f>VLOOKUP(A260,'PUR-PARTY MASTER'!$B$6:$J$250,7,FALSE)</f>
        <v>2</v>
      </c>
      <c r="V260" s="199" t="str">
        <f>VLOOKUP(A260,'PUR-PARTY MASTER'!$B$6:$J$250,8,FALSE)</f>
        <v>Local Pur</v>
      </c>
      <c r="W260" s="199" t="s">
        <v>897</v>
      </c>
      <c r="X260" s="404">
        <v>87082900</v>
      </c>
      <c r="Y260" s="201" t="str">
        <f>VLOOKUP(X260,'PUR-HSN MASTER'!$A$6:$D$247,2,FALSE)</f>
        <v>Parts &amp; Accessories Of Motor Vehicles Other</v>
      </c>
      <c r="Z260" s="201" t="str">
        <f>VLOOKUP(X260,'PUR-HSN MASTER'!$A$6:$D$247,3,FALSE)</f>
        <v>NOS-NUMBERS</v>
      </c>
      <c r="AA260" s="334" t="str">
        <f>VLOOKUP(X260,'PUR-HSN MASTER'!$A$6:$D$247,4,FALSE)</f>
        <v>Goods</v>
      </c>
      <c r="AB260" s="401">
        <v>1040</v>
      </c>
    </row>
    <row r="261" spans="1:28" ht="14.4" x14ac:dyDescent="0.3">
      <c r="A261" s="429" t="s">
        <v>973</v>
      </c>
      <c r="B261" s="199" t="str">
        <f>VLOOKUP(A261,'PUR-PARTY MASTER'!$B$6:$J$250,2,FALSE)</f>
        <v>Zenith Engineering</v>
      </c>
      <c r="C261" s="403" t="s">
        <v>1448</v>
      </c>
      <c r="D261" s="398">
        <v>43157</v>
      </c>
      <c r="E261" s="329">
        <f t="shared" si="29"/>
        <v>133045</v>
      </c>
      <c r="F261" s="199" t="str">
        <f>VLOOKUP(A261,'PUR-PARTY MASTER'!$B$6:$J$250,3,FALSE)</f>
        <v>27-Maharashatra</v>
      </c>
      <c r="G261" s="199" t="str">
        <f>VLOOKUP(A261,'PUR-PARTY MASTER'!$B$6:$J$250,4,FALSE)</f>
        <v>N</v>
      </c>
      <c r="H261" s="199" t="str">
        <f>VLOOKUP(A261,'PUR-PARTY MASTER'!$B$6:$J$250,5,FALSE)</f>
        <v>Regular</v>
      </c>
      <c r="I261" s="199">
        <f>VLOOKUP(A261,'PUR-PARTY MASTER'!$B$6:$J$250,6,FALSE)</f>
        <v>0</v>
      </c>
      <c r="J261" s="201">
        <v>18</v>
      </c>
      <c r="K261" s="400">
        <v>112750</v>
      </c>
      <c r="L261" s="202">
        <f t="shared" si="30"/>
        <v>0</v>
      </c>
      <c r="M261" s="202">
        <f t="shared" si="31"/>
        <v>10147.5</v>
      </c>
      <c r="N261" s="202">
        <f t="shared" si="32"/>
        <v>10147.5</v>
      </c>
      <c r="O261" s="8">
        <v>0</v>
      </c>
      <c r="P261" s="341" t="s">
        <v>177</v>
      </c>
      <c r="Q261" s="329">
        <f t="shared" si="33"/>
        <v>0</v>
      </c>
      <c r="R261" s="329">
        <f t="shared" si="34"/>
        <v>10147.5</v>
      </c>
      <c r="S261" s="329">
        <f t="shared" si="35"/>
        <v>10147.5</v>
      </c>
      <c r="T261" s="8">
        <f t="shared" si="36"/>
        <v>0</v>
      </c>
      <c r="U261" s="199">
        <f>VLOOKUP(A261,'PUR-PARTY MASTER'!$B$6:$J$250,7,FALSE)</f>
        <v>2</v>
      </c>
      <c r="V261" s="199" t="str">
        <f>VLOOKUP(A261,'PUR-PARTY MASTER'!$B$6:$J$250,8,FALSE)</f>
        <v>Local Pur</v>
      </c>
      <c r="W261" s="199" t="s">
        <v>894</v>
      </c>
      <c r="X261" s="404" t="s">
        <v>951</v>
      </c>
      <c r="Y261" s="201" t="str">
        <f>VLOOKUP(X261,'PUR-HSN MASTER'!$A$6:$D$247,2,FALSE)</f>
        <v>Monorail Conveyor</v>
      </c>
      <c r="Z261" s="201" t="str">
        <f>VLOOKUP(X261,'PUR-HSN MASTER'!$A$6:$D$247,3,FALSE)</f>
        <v>NOS-NUMBERS</v>
      </c>
      <c r="AA261" s="334" t="str">
        <f>VLOOKUP(X261,'PUR-HSN MASTER'!$A$6:$D$247,4,FALSE)</f>
        <v>Goods</v>
      </c>
      <c r="AB261" s="401">
        <v>1025</v>
      </c>
    </row>
    <row r="262" spans="1:28" ht="14.4" x14ac:dyDescent="0.3">
      <c r="A262" s="429" t="s">
        <v>355</v>
      </c>
      <c r="B262" s="199" t="str">
        <f>VLOOKUP(A262,'PUR-PARTY MASTER'!$B$6:$J$250,2,FALSE)</f>
        <v>Deep Enterprises</v>
      </c>
      <c r="C262" s="403" t="s">
        <v>1449</v>
      </c>
      <c r="D262" s="398">
        <v>43154</v>
      </c>
      <c r="E262" s="329">
        <f t="shared" si="29"/>
        <v>3917.6000000000004</v>
      </c>
      <c r="F262" s="199" t="str">
        <f>VLOOKUP(A262,'PUR-PARTY MASTER'!$B$6:$J$250,3,FALSE)</f>
        <v>27-Maharashatra</v>
      </c>
      <c r="G262" s="199" t="str">
        <f>VLOOKUP(A262,'PUR-PARTY MASTER'!$B$6:$J$250,4,FALSE)</f>
        <v>N</v>
      </c>
      <c r="H262" s="199" t="str">
        <f>VLOOKUP(A262,'PUR-PARTY MASTER'!$B$6:$J$250,5,FALSE)</f>
        <v>Regular</v>
      </c>
      <c r="I262" s="199">
        <f>VLOOKUP(A262,'PUR-PARTY MASTER'!$B$6:$J$250,6,FALSE)</f>
        <v>0</v>
      </c>
      <c r="J262" s="201">
        <v>18</v>
      </c>
      <c r="K262" s="400">
        <v>3320</v>
      </c>
      <c r="L262" s="202">
        <f t="shared" si="30"/>
        <v>0</v>
      </c>
      <c r="M262" s="202">
        <f t="shared" si="31"/>
        <v>298.8</v>
      </c>
      <c r="N262" s="202">
        <f t="shared" si="32"/>
        <v>298.8</v>
      </c>
      <c r="O262" s="8">
        <v>0</v>
      </c>
      <c r="P262" s="341" t="s">
        <v>177</v>
      </c>
      <c r="Q262" s="329">
        <f t="shared" si="33"/>
        <v>0</v>
      </c>
      <c r="R262" s="329">
        <f t="shared" si="34"/>
        <v>298.8</v>
      </c>
      <c r="S262" s="329">
        <f t="shared" si="35"/>
        <v>298.8</v>
      </c>
      <c r="T262" s="8">
        <f t="shared" si="36"/>
        <v>0</v>
      </c>
      <c r="U262" s="199">
        <f>VLOOKUP(A262,'PUR-PARTY MASTER'!$B$6:$J$250,7,FALSE)</f>
        <v>2</v>
      </c>
      <c r="V262" s="199" t="str">
        <f>VLOOKUP(A262,'PUR-PARTY MASTER'!$B$6:$J$250,8,FALSE)</f>
        <v>Local Pur</v>
      </c>
      <c r="W262" s="199" t="s">
        <v>894</v>
      </c>
      <c r="X262" s="404">
        <v>48211090</v>
      </c>
      <c r="Y262" s="201" t="str">
        <f>VLOOKUP(X262,'PUR-HSN MASTER'!$A$6:$D$247,2,FALSE)</f>
        <v>Pre-Dispatch</v>
      </c>
      <c r="Z262" s="201" t="str">
        <f>VLOOKUP(X262,'PUR-HSN MASTER'!$A$6:$D$247,3,FALSE)</f>
        <v>NOS-NUMBERS</v>
      </c>
      <c r="AA262" s="334" t="str">
        <f>VLOOKUP(X262,'PUR-HSN MASTER'!$A$6:$D$247,4,FALSE)</f>
        <v>Goods</v>
      </c>
      <c r="AB262" s="401">
        <v>32</v>
      </c>
    </row>
    <row r="263" spans="1:28" ht="14.4" x14ac:dyDescent="0.3">
      <c r="A263" s="429" t="s">
        <v>355</v>
      </c>
      <c r="B263" s="199" t="str">
        <f>VLOOKUP(A263,'PUR-PARTY MASTER'!$B$6:$J$250,2,FALSE)</f>
        <v>Deep Enterprises</v>
      </c>
      <c r="C263" s="403" t="s">
        <v>1449</v>
      </c>
      <c r="D263" s="398">
        <v>43154</v>
      </c>
      <c r="E263" s="329">
        <f t="shared" si="29"/>
        <v>1481.4899999999998</v>
      </c>
      <c r="F263" s="199" t="str">
        <f>VLOOKUP(A263,'PUR-PARTY MASTER'!$B$6:$J$250,3,FALSE)</f>
        <v>27-Maharashatra</v>
      </c>
      <c r="G263" s="199" t="str">
        <f>VLOOKUP(A263,'PUR-PARTY MASTER'!$B$6:$J$250,4,FALSE)</f>
        <v>N</v>
      </c>
      <c r="H263" s="199" t="str">
        <f>VLOOKUP(A263,'PUR-PARTY MASTER'!$B$6:$J$250,5,FALSE)</f>
        <v>Regular</v>
      </c>
      <c r="I263" s="199">
        <f>VLOOKUP(A263,'PUR-PARTY MASTER'!$B$6:$J$250,6,FALSE)</f>
        <v>0</v>
      </c>
      <c r="J263" s="201">
        <v>18</v>
      </c>
      <c r="K263" s="400">
        <v>1255.5</v>
      </c>
      <c r="L263" s="202">
        <f t="shared" si="30"/>
        <v>0</v>
      </c>
      <c r="M263" s="202">
        <f t="shared" si="31"/>
        <v>112.99499999999999</v>
      </c>
      <c r="N263" s="202">
        <f t="shared" si="32"/>
        <v>112.99499999999999</v>
      </c>
      <c r="O263" s="8">
        <v>0</v>
      </c>
      <c r="P263" s="341" t="s">
        <v>177</v>
      </c>
      <c r="Q263" s="329">
        <f t="shared" si="33"/>
        <v>0</v>
      </c>
      <c r="R263" s="329">
        <f t="shared" si="34"/>
        <v>112.99499999999999</v>
      </c>
      <c r="S263" s="329">
        <f t="shared" si="35"/>
        <v>112.99499999999999</v>
      </c>
      <c r="T263" s="8">
        <f t="shared" si="36"/>
        <v>0</v>
      </c>
      <c r="U263" s="199">
        <f>VLOOKUP(A263,'PUR-PARTY MASTER'!$B$6:$J$250,7,FALSE)</f>
        <v>2</v>
      </c>
      <c r="V263" s="199" t="str">
        <f>VLOOKUP(A263,'PUR-PARTY MASTER'!$B$6:$J$250,8,FALSE)</f>
        <v>Local Pur</v>
      </c>
      <c r="W263" s="199" t="s">
        <v>894</v>
      </c>
      <c r="X263" s="404">
        <v>48211020</v>
      </c>
      <c r="Y263" s="201" t="str">
        <f>VLOOKUP(X263,'PUR-HSN MASTER'!$A$6:$D$247,2,FALSE)</f>
        <v>LABELS</v>
      </c>
      <c r="Z263" s="201" t="str">
        <f>VLOOKUP(X263,'PUR-HSN MASTER'!$A$6:$D$247,3,FALSE)</f>
        <v>NOS-NUMBERS</v>
      </c>
      <c r="AA263" s="334" t="str">
        <f>VLOOKUP(X263,'PUR-HSN MASTER'!$A$6:$D$247,4,FALSE)</f>
        <v>Goods</v>
      </c>
      <c r="AB263" s="401">
        <v>5022</v>
      </c>
    </row>
    <row r="264" spans="1:28" ht="14.4" x14ac:dyDescent="0.3">
      <c r="A264" s="429" t="s">
        <v>23</v>
      </c>
      <c r="B264" s="199" t="str">
        <f>VLOOKUP(A264,'PUR-PARTY MASTER'!$B$6:$J$250,2,FALSE)</f>
        <v>Varroc Polymers Pvt Ltd,</v>
      </c>
      <c r="C264" s="403">
        <v>2041076376</v>
      </c>
      <c r="D264" s="398">
        <v>43157</v>
      </c>
      <c r="E264" s="329">
        <f t="shared" ref="E264:E326" si="37">+K264+L264+M264+N264+O264</f>
        <v>7941.1200000000008</v>
      </c>
      <c r="F264" s="199" t="str">
        <f>VLOOKUP(A264,'PUR-PARTY MASTER'!$B$6:$J$250,3,FALSE)</f>
        <v>27-Maharashatra</v>
      </c>
      <c r="G264" s="199" t="str">
        <f>VLOOKUP(A264,'PUR-PARTY MASTER'!$B$6:$J$250,4,FALSE)</f>
        <v>N</v>
      </c>
      <c r="H264" s="199" t="str">
        <f>VLOOKUP(A264,'PUR-PARTY MASTER'!$B$6:$J$250,5,FALSE)</f>
        <v>Regular</v>
      </c>
      <c r="I264" s="199">
        <f>VLOOKUP(A264,'PUR-PARTY MASTER'!$B$6:$J$250,6,FALSE)</f>
        <v>0</v>
      </c>
      <c r="J264" s="201">
        <v>28</v>
      </c>
      <c r="K264" s="400">
        <v>6204</v>
      </c>
      <c r="L264" s="202">
        <f t="shared" ref="L264:L326" si="38">+IF(U264=1,0,IF(M264=0,J264*K264/100,0))</f>
        <v>0</v>
      </c>
      <c r="M264" s="202">
        <f t="shared" ref="M264:M326" si="39">+IF(U264=1,0,IF(V264="Local Pur",IF(J264=18,K264*0.09,IF(J264=12,K264*0.06,IF(J264=5,K264*0.025,IF(J264=28,K264*0.14,IF(J264=3,K264*0.015,0))))),0))</f>
        <v>868.56000000000006</v>
      </c>
      <c r="N264" s="202">
        <f t="shared" ref="N264:N326" si="40">+IF(O264=1,0,IF(V264="Local Pur",IF(J264=18,K264*0.09,IF(J264=12,K264*0.06,IF(J264=5,K264*0.025,IF(J264=28,K264*0.14,IF(J264=3,K264*0.015,0))))),0))</f>
        <v>868.56000000000006</v>
      </c>
      <c r="O264" s="8">
        <v>0</v>
      </c>
      <c r="P264" s="341" t="s">
        <v>177</v>
      </c>
      <c r="Q264" s="329">
        <f t="shared" ref="Q264:Q326" si="41">+L264</f>
        <v>0</v>
      </c>
      <c r="R264" s="329">
        <f t="shared" ref="R264:R326" si="42">+M264</f>
        <v>868.56000000000006</v>
      </c>
      <c r="S264" s="329">
        <f t="shared" ref="S264:S326" si="43">+N264</f>
        <v>868.56000000000006</v>
      </c>
      <c r="T264" s="8">
        <f t="shared" ref="T264:T326" si="44">+O264</f>
        <v>0</v>
      </c>
      <c r="U264" s="199">
        <f>VLOOKUP(A264,'PUR-PARTY MASTER'!$B$6:$J$250,7,FALSE)</f>
        <v>2</v>
      </c>
      <c r="V264" s="199" t="str">
        <f>VLOOKUP(A264,'PUR-PARTY MASTER'!$B$6:$J$250,8,FALSE)</f>
        <v>Local Pur</v>
      </c>
      <c r="W264" s="199" t="s">
        <v>897</v>
      </c>
      <c r="X264" s="404">
        <v>87141090</v>
      </c>
      <c r="Y264" s="201" t="str">
        <f>VLOOKUP(X264,'PUR-HSN MASTER'!$A$6:$D$247,2,FALSE)</f>
        <v>Parts &amp; Accessories Of Motor Vehicles Other</v>
      </c>
      <c r="Z264" s="201" t="str">
        <f>VLOOKUP(X264,'PUR-HSN MASTER'!$A$6:$D$247,3,FALSE)</f>
        <v>NOS-NUMBERS</v>
      </c>
      <c r="AA264" s="334" t="str">
        <f>VLOOKUP(X264,'PUR-HSN MASTER'!$A$6:$D$247,4,FALSE)</f>
        <v>Goods</v>
      </c>
      <c r="AB264" s="401">
        <v>300</v>
      </c>
    </row>
    <row r="265" spans="1:28" ht="14.4" x14ac:dyDescent="0.3">
      <c r="A265" s="429" t="s">
        <v>23</v>
      </c>
      <c r="B265" s="199" t="str">
        <f>VLOOKUP(A265,'PUR-PARTY MASTER'!$B$6:$J$250,2,FALSE)</f>
        <v>Varroc Polymers Pvt Ltd,</v>
      </c>
      <c r="C265" s="403">
        <v>2041076393</v>
      </c>
      <c r="D265" s="398">
        <v>43157</v>
      </c>
      <c r="E265" s="329">
        <f t="shared" si="37"/>
        <v>6617.6</v>
      </c>
      <c r="F265" s="199" t="str">
        <f>VLOOKUP(A265,'PUR-PARTY MASTER'!$B$6:$J$250,3,FALSE)</f>
        <v>27-Maharashatra</v>
      </c>
      <c r="G265" s="199" t="str">
        <f>VLOOKUP(A265,'PUR-PARTY MASTER'!$B$6:$J$250,4,FALSE)</f>
        <v>N</v>
      </c>
      <c r="H265" s="199" t="str">
        <f>VLOOKUP(A265,'PUR-PARTY MASTER'!$B$6:$J$250,5,FALSE)</f>
        <v>Regular</v>
      </c>
      <c r="I265" s="199">
        <f>VLOOKUP(A265,'PUR-PARTY MASTER'!$B$6:$J$250,6,FALSE)</f>
        <v>0</v>
      </c>
      <c r="J265" s="201">
        <v>28</v>
      </c>
      <c r="K265" s="400">
        <v>5170</v>
      </c>
      <c r="L265" s="202">
        <f t="shared" si="38"/>
        <v>0</v>
      </c>
      <c r="M265" s="202">
        <f t="shared" si="39"/>
        <v>723.80000000000007</v>
      </c>
      <c r="N265" s="202">
        <f t="shared" si="40"/>
        <v>723.80000000000007</v>
      </c>
      <c r="O265" s="8">
        <v>0</v>
      </c>
      <c r="P265" s="341" t="s">
        <v>177</v>
      </c>
      <c r="Q265" s="329">
        <f t="shared" si="41"/>
        <v>0</v>
      </c>
      <c r="R265" s="329">
        <f t="shared" si="42"/>
        <v>723.80000000000007</v>
      </c>
      <c r="S265" s="329">
        <f t="shared" si="43"/>
        <v>723.80000000000007</v>
      </c>
      <c r="T265" s="8">
        <f t="shared" si="44"/>
        <v>0</v>
      </c>
      <c r="U265" s="199">
        <f>VLOOKUP(A265,'PUR-PARTY MASTER'!$B$6:$J$250,7,FALSE)</f>
        <v>2</v>
      </c>
      <c r="V265" s="199" t="str">
        <f>VLOOKUP(A265,'PUR-PARTY MASTER'!$B$6:$J$250,8,FALSE)</f>
        <v>Local Pur</v>
      </c>
      <c r="W265" s="199" t="s">
        <v>897</v>
      </c>
      <c r="X265" s="404">
        <v>87141090</v>
      </c>
      <c r="Y265" s="201" t="str">
        <f>VLOOKUP(X265,'PUR-HSN MASTER'!$A$6:$D$247,2,FALSE)</f>
        <v>Parts &amp; Accessories Of Motor Vehicles Other</v>
      </c>
      <c r="Z265" s="201" t="str">
        <f>VLOOKUP(X265,'PUR-HSN MASTER'!$A$6:$D$247,3,FALSE)</f>
        <v>NOS-NUMBERS</v>
      </c>
      <c r="AA265" s="334" t="str">
        <f>VLOOKUP(X265,'PUR-HSN MASTER'!$A$6:$D$247,4,FALSE)</f>
        <v>Goods</v>
      </c>
      <c r="AB265" s="401">
        <v>250</v>
      </c>
    </row>
    <row r="266" spans="1:28" ht="14.4" x14ac:dyDescent="0.3">
      <c r="A266" s="429" t="s">
        <v>24</v>
      </c>
      <c r="B266" s="199" t="str">
        <f>VLOOKUP(A266,'PUR-PARTY MASTER'!$B$6:$J$250,2,FALSE)</f>
        <v>Tata Autocomp Systems LTD.(X1)</v>
      </c>
      <c r="C266" s="403" t="s">
        <v>1450</v>
      </c>
      <c r="D266" s="398">
        <v>43157</v>
      </c>
      <c r="E266" s="329">
        <f t="shared" si="37"/>
        <v>7696.3840000000009</v>
      </c>
      <c r="F266" s="199" t="str">
        <f>VLOOKUP(A266,'PUR-PARTY MASTER'!$B$6:$J$250,3,FALSE)</f>
        <v>27-Maharashatra</v>
      </c>
      <c r="G266" s="199" t="str">
        <f>VLOOKUP(A266,'PUR-PARTY MASTER'!$B$6:$J$250,4,FALSE)</f>
        <v>N</v>
      </c>
      <c r="H266" s="199" t="str">
        <f>VLOOKUP(A266,'PUR-PARTY MASTER'!$B$6:$J$250,5,FALSE)</f>
        <v>Regular</v>
      </c>
      <c r="I266" s="199">
        <f>VLOOKUP(A266,'PUR-PARTY MASTER'!$B$6:$J$250,6,FALSE)</f>
        <v>0</v>
      </c>
      <c r="J266" s="201">
        <v>28</v>
      </c>
      <c r="K266" s="400">
        <v>6012.8</v>
      </c>
      <c r="L266" s="202">
        <f t="shared" si="38"/>
        <v>0</v>
      </c>
      <c r="M266" s="202">
        <f t="shared" si="39"/>
        <v>841.79200000000014</v>
      </c>
      <c r="N266" s="202">
        <f t="shared" si="40"/>
        <v>841.79200000000014</v>
      </c>
      <c r="O266" s="8">
        <v>0</v>
      </c>
      <c r="P266" s="341" t="s">
        <v>177</v>
      </c>
      <c r="Q266" s="329">
        <f t="shared" si="41"/>
        <v>0</v>
      </c>
      <c r="R266" s="329">
        <f t="shared" si="42"/>
        <v>841.79200000000014</v>
      </c>
      <c r="S266" s="329">
        <f t="shared" si="43"/>
        <v>841.79200000000014</v>
      </c>
      <c r="T266" s="8">
        <f t="shared" si="44"/>
        <v>0</v>
      </c>
      <c r="U266" s="199">
        <f>VLOOKUP(A266,'PUR-PARTY MASTER'!$B$6:$J$250,7,FALSE)</f>
        <v>2</v>
      </c>
      <c r="V266" s="199" t="str">
        <f>VLOOKUP(A266,'PUR-PARTY MASTER'!$B$6:$J$250,8,FALSE)</f>
        <v>Local Pur</v>
      </c>
      <c r="W266" s="199" t="s">
        <v>897</v>
      </c>
      <c r="X266" s="404">
        <v>87089900</v>
      </c>
      <c r="Y266" s="201" t="str">
        <f>VLOOKUP(X266,'PUR-HSN MASTER'!$A$6:$D$247,2,FALSE)</f>
        <v>Parts &amp; Accessories Of Motor Vehicles Other</v>
      </c>
      <c r="Z266" s="201" t="str">
        <f>VLOOKUP(X266,'PUR-HSN MASTER'!$A$6:$D$247,3,FALSE)</f>
        <v>NOS-NUMBERS</v>
      </c>
      <c r="AA266" s="334" t="str">
        <f>VLOOKUP(X266,'PUR-HSN MASTER'!$A$6:$D$247,4,FALSE)</f>
        <v>Goods</v>
      </c>
      <c r="AB266" s="401">
        <v>40</v>
      </c>
    </row>
    <row r="267" spans="1:28" ht="14.4" x14ac:dyDescent="0.3">
      <c r="A267" s="429" t="s">
        <v>24</v>
      </c>
      <c r="B267" s="199" t="str">
        <f>VLOOKUP(A267,'PUR-PARTY MASTER'!$B$6:$J$250,2,FALSE)</f>
        <v>Tata Autocomp Systems LTD.(X1)</v>
      </c>
      <c r="C267" s="403" t="s">
        <v>1450</v>
      </c>
      <c r="D267" s="398">
        <v>43157</v>
      </c>
      <c r="E267" s="329">
        <f t="shared" si="37"/>
        <v>14674.7392</v>
      </c>
      <c r="F267" s="199" t="str">
        <f>VLOOKUP(A267,'PUR-PARTY MASTER'!$B$6:$J$250,3,FALSE)</f>
        <v>27-Maharashatra</v>
      </c>
      <c r="G267" s="199" t="str">
        <f>VLOOKUP(A267,'PUR-PARTY MASTER'!$B$6:$J$250,4,FALSE)</f>
        <v>N</v>
      </c>
      <c r="H267" s="199" t="str">
        <f>VLOOKUP(A267,'PUR-PARTY MASTER'!$B$6:$J$250,5,FALSE)</f>
        <v>Regular</v>
      </c>
      <c r="I267" s="199">
        <f>VLOOKUP(A267,'PUR-PARTY MASTER'!$B$6:$J$250,6,FALSE)</f>
        <v>0</v>
      </c>
      <c r="J267" s="201">
        <v>28</v>
      </c>
      <c r="K267" s="400">
        <v>11464.64</v>
      </c>
      <c r="L267" s="202">
        <f t="shared" si="38"/>
        <v>0</v>
      </c>
      <c r="M267" s="202">
        <f t="shared" si="39"/>
        <v>1605.0496000000001</v>
      </c>
      <c r="N267" s="202">
        <f t="shared" si="40"/>
        <v>1605.0496000000001</v>
      </c>
      <c r="O267" s="8">
        <v>0</v>
      </c>
      <c r="P267" s="341" t="s">
        <v>177</v>
      </c>
      <c r="Q267" s="329">
        <f t="shared" si="41"/>
        <v>0</v>
      </c>
      <c r="R267" s="329">
        <f t="shared" si="42"/>
        <v>1605.0496000000001</v>
      </c>
      <c r="S267" s="329">
        <f t="shared" si="43"/>
        <v>1605.0496000000001</v>
      </c>
      <c r="T267" s="8">
        <f t="shared" si="44"/>
        <v>0</v>
      </c>
      <c r="U267" s="199">
        <f>VLOOKUP(A267,'PUR-PARTY MASTER'!$B$6:$J$250,7,FALSE)</f>
        <v>2</v>
      </c>
      <c r="V267" s="199" t="str">
        <f>VLOOKUP(A267,'PUR-PARTY MASTER'!$B$6:$J$250,8,FALSE)</f>
        <v>Local Pur</v>
      </c>
      <c r="W267" s="199" t="s">
        <v>897</v>
      </c>
      <c r="X267" s="404">
        <v>87081090</v>
      </c>
      <c r="Y267" s="201" t="str">
        <f>VLOOKUP(X267,'PUR-HSN MASTER'!$A$6:$D$247,2,FALSE)</f>
        <v>Parts &amp; Accessories Of Motor Vehicles Other</v>
      </c>
      <c r="Z267" s="201" t="str">
        <f>VLOOKUP(X267,'PUR-HSN MASTER'!$A$6:$D$247,3,FALSE)</f>
        <v>NOS-NUMBERS</v>
      </c>
      <c r="AA267" s="334" t="str">
        <f>VLOOKUP(X267,'PUR-HSN MASTER'!$A$6:$D$247,4,FALSE)</f>
        <v>Goods</v>
      </c>
      <c r="AB267" s="401">
        <v>88</v>
      </c>
    </row>
    <row r="268" spans="1:28" ht="14.4" x14ac:dyDescent="0.3">
      <c r="A268" s="429" t="s">
        <v>24</v>
      </c>
      <c r="B268" s="199" t="str">
        <f>VLOOKUP(A268,'PUR-PARTY MASTER'!$B$6:$J$250,2,FALSE)</f>
        <v>Tata Autocomp Systems LTD.(X1)</v>
      </c>
      <c r="C268" s="403" t="s">
        <v>1450</v>
      </c>
      <c r="D268" s="398">
        <v>43157</v>
      </c>
      <c r="E268" s="329">
        <f t="shared" si="37"/>
        <v>8003.5839999999998</v>
      </c>
      <c r="F268" s="199" t="str">
        <f>VLOOKUP(A268,'PUR-PARTY MASTER'!$B$6:$J$250,3,FALSE)</f>
        <v>27-Maharashatra</v>
      </c>
      <c r="G268" s="199" t="str">
        <f>VLOOKUP(A268,'PUR-PARTY MASTER'!$B$6:$J$250,4,FALSE)</f>
        <v>N</v>
      </c>
      <c r="H268" s="199" t="str">
        <f>VLOOKUP(A268,'PUR-PARTY MASTER'!$B$6:$J$250,5,FALSE)</f>
        <v>Regular</v>
      </c>
      <c r="I268" s="199">
        <f>VLOOKUP(A268,'PUR-PARTY MASTER'!$B$6:$J$250,6,FALSE)</f>
        <v>0</v>
      </c>
      <c r="J268" s="201">
        <v>28</v>
      </c>
      <c r="K268" s="400">
        <v>6252.8</v>
      </c>
      <c r="L268" s="202">
        <f t="shared" si="38"/>
        <v>0</v>
      </c>
      <c r="M268" s="202">
        <f t="shared" si="39"/>
        <v>875.39200000000005</v>
      </c>
      <c r="N268" s="202">
        <f t="shared" si="40"/>
        <v>875.39200000000005</v>
      </c>
      <c r="O268" s="8">
        <v>0</v>
      </c>
      <c r="P268" s="341" t="s">
        <v>177</v>
      </c>
      <c r="Q268" s="329">
        <f t="shared" si="41"/>
        <v>0</v>
      </c>
      <c r="R268" s="329">
        <f t="shared" si="42"/>
        <v>875.39200000000005</v>
      </c>
      <c r="S268" s="329">
        <f t="shared" si="43"/>
        <v>875.39200000000005</v>
      </c>
      <c r="T268" s="8">
        <f t="shared" si="44"/>
        <v>0</v>
      </c>
      <c r="U268" s="199">
        <f>VLOOKUP(A268,'PUR-PARTY MASTER'!$B$6:$J$250,7,FALSE)</f>
        <v>2</v>
      </c>
      <c r="V268" s="199" t="str">
        <f>VLOOKUP(A268,'PUR-PARTY MASTER'!$B$6:$J$250,8,FALSE)</f>
        <v>Local Pur</v>
      </c>
      <c r="W268" s="199" t="s">
        <v>897</v>
      </c>
      <c r="X268" s="404">
        <v>87082900</v>
      </c>
      <c r="Y268" s="201" t="str">
        <f>VLOOKUP(X268,'PUR-HSN MASTER'!$A$6:$D$247,2,FALSE)</f>
        <v>Parts &amp; Accessories Of Motor Vehicles Other</v>
      </c>
      <c r="Z268" s="201" t="str">
        <f>VLOOKUP(X268,'PUR-HSN MASTER'!$A$6:$D$247,3,FALSE)</f>
        <v>NOS-NUMBERS</v>
      </c>
      <c r="AA268" s="334" t="str">
        <f>VLOOKUP(X268,'PUR-HSN MASTER'!$A$6:$D$247,4,FALSE)</f>
        <v>Goods</v>
      </c>
      <c r="AB268" s="401">
        <v>40</v>
      </c>
    </row>
    <row r="269" spans="1:28" ht="14.4" x14ac:dyDescent="0.3">
      <c r="A269" s="429" t="s">
        <v>350</v>
      </c>
      <c r="B269" s="199" t="str">
        <f>VLOOKUP(A269,'PUR-PARTY MASTER'!$B$6:$J$250,2,FALSE)</f>
        <v>Micro Plast</v>
      </c>
      <c r="C269" s="403" t="s">
        <v>1451</v>
      </c>
      <c r="D269" s="398">
        <v>43157</v>
      </c>
      <c r="E269" s="329">
        <f t="shared" si="37"/>
        <v>27244.800000000003</v>
      </c>
      <c r="F269" s="199" t="str">
        <f>VLOOKUP(A269,'PUR-PARTY MASTER'!$B$6:$J$250,3,FALSE)</f>
        <v>27-Maharashatra</v>
      </c>
      <c r="G269" s="199" t="str">
        <f>VLOOKUP(A269,'PUR-PARTY MASTER'!$B$6:$J$250,4,FALSE)</f>
        <v>N</v>
      </c>
      <c r="H269" s="199" t="str">
        <f>VLOOKUP(A269,'PUR-PARTY MASTER'!$B$6:$J$250,5,FALSE)</f>
        <v>Regular</v>
      </c>
      <c r="I269" s="199">
        <f>VLOOKUP(A269,'PUR-PARTY MASTER'!$B$6:$J$250,6,FALSE)</f>
        <v>0</v>
      </c>
      <c r="J269" s="201">
        <v>28</v>
      </c>
      <c r="K269" s="400">
        <v>21285</v>
      </c>
      <c r="L269" s="202">
        <f t="shared" si="38"/>
        <v>0</v>
      </c>
      <c r="M269" s="202">
        <f t="shared" si="39"/>
        <v>2979.9</v>
      </c>
      <c r="N269" s="202">
        <f t="shared" si="40"/>
        <v>2979.9</v>
      </c>
      <c r="O269" s="8">
        <v>0</v>
      </c>
      <c r="P269" s="341" t="s">
        <v>177</v>
      </c>
      <c r="Q269" s="329">
        <f t="shared" si="41"/>
        <v>0</v>
      </c>
      <c r="R269" s="329">
        <f t="shared" si="42"/>
        <v>2979.9</v>
      </c>
      <c r="S269" s="329">
        <f t="shared" si="43"/>
        <v>2979.9</v>
      </c>
      <c r="T269" s="8">
        <f t="shared" si="44"/>
        <v>0</v>
      </c>
      <c r="U269" s="199">
        <f>VLOOKUP(A269,'PUR-PARTY MASTER'!$B$6:$J$250,7,FALSE)</f>
        <v>2</v>
      </c>
      <c r="V269" s="199" t="str">
        <f>VLOOKUP(A269,'PUR-PARTY MASTER'!$B$6:$J$250,8,FALSE)</f>
        <v>Local Pur</v>
      </c>
      <c r="W269" s="199" t="s">
        <v>897</v>
      </c>
      <c r="X269" s="404">
        <v>87082900</v>
      </c>
      <c r="Y269" s="201" t="str">
        <f>VLOOKUP(X269,'PUR-HSN MASTER'!$A$6:$D$247,2,FALSE)</f>
        <v>Parts &amp; Accessories Of Motor Vehicles Other</v>
      </c>
      <c r="Z269" s="201" t="str">
        <f>VLOOKUP(X269,'PUR-HSN MASTER'!$A$6:$D$247,3,FALSE)</f>
        <v>NOS-NUMBERS</v>
      </c>
      <c r="AA269" s="334" t="str">
        <f>VLOOKUP(X269,'PUR-HSN MASTER'!$A$6:$D$247,4,FALSE)</f>
        <v>Goods</v>
      </c>
      <c r="AB269" s="401">
        <v>50</v>
      </c>
    </row>
    <row r="270" spans="1:28" ht="14.4" x14ac:dyDescent="0.3">
      <c r="A270" s="429" t="s">
        <v>23</v>
      </c>
      <c r="B270" s="199" t="str">
        <f>VLOOKUP(A270,'PUR-PARTY MASTER'!$B$6:$J$250,2,FALSE)</f>
        <v>Varroc Polymers Pvt Ltd,</v>
      </c>
      <c r="C270" s="403">
        <v>2041076377</v>
      </c>
      <c r="D270" s="398">
        <v>43157</v>
      </c>
      <c r="E270" s="329">
        <f t="shared" si="37"/>
        <v>13094.400000000001</v>
      </c>
      <c r="F270" s="199" t="str">
        <f>VLOOKUP(A270,'PUR-PARTY MASTER'!$B$6:$J$250,3,FALSE)</f>
        <v>27-Maharashatra</v>
      </c>
      <c r="G270" s="199" t="str">
        <f>VLOOKUP(A270,'PUR-PARTY MASTER'!$B$6:$J$250,4,FALSE)</f>
        <v>N</v>
      </c>
      <c r="H270" s="199" t="str">
        <f>VLOOKUP(A270,'PUR-PARTY MASTER'!$B$6:$J$250,5,FALSE)</f>
        <v>Regular</v>
      </c>
      <c r="I270" s="199">
        <f>VLOOKUP(A270,'PUR-PARTY MASTER'!$B$6:$J$250,6,FALSE)</f>
        <v>0</v>
      </c>
      <c r="J270" s="201">
        <v>28</v>
      </c>
      <c r="K270" s="400">
        <v>10230</v>
      </c>
      <c r="L270" s="202">
        <f t="shared" si="38"/>
        <v>0</v>
      </c>
      <c r="M270" s="202">
        <f t="shared" si="39"/>
        <v>1432.2</v>
      </c>
      <c r="N270" s="202">
        <f t="shared" si="40"/>
        <v>1432.2</v>
      </c>
      <c r="O270" s="8">
        <v>0</v>
      </c>
      <c r="P270" s="341" t="s">
        <v>177</v>
      </c>
      <c r="Q270" s="329">
        <f t="shared" si="41"/>
        <v>0</v>
      </c>
      <c r="R270" s="329">
        <f t="shared" si="42"/>
        <v>1432.2</v>
      </c>
      <c r="S270" s="329">
        <f t="shared" si="43"/>
        <v>1432.2</v>
      </c>
      <c r="T270" s="8">
        <f t="shared" si="44"/>
        <v>0</v>
      </c>
      <c r="U270" s="199">
        <f>VLOOKUP(A270,'PUR-PARTY MASTER'!$B$6:$J$250,7,FALSE)</f>
        <v>2</v>
      </c>
      <c r="V270" s="199" t="str">
        <f>VLOOKUP(A270,'PUR-PARTY MASTER'!$B$6:$J$250,8,FALSE)</f>
        <v>Local Pur</v>
      </c>
      <c r="W270" s="199" t="s">
        <v>897</v>
      </c>
      <c r="X270" s="404">
        <v>87141090</v>
      </c>
      <c r="Y270" s="201" t="str">
        <f>VLOOKUP(X270,'PUR-HSN MASTER'!$A$6:$D$247,2,FALSE)</f>
        <v>Parts &amp; Accessories Of Motor Vehicles Other</v>
      </c>
      <c r="Z270" s="201" t="str">
        <f>VLOOKUP(X270,'PUR-HSN MASTER'!$A$6:$D$247,3,FALSE)</f>
        <v>NOS-NUMBERS</v>
      </c>
      <c r="AA270" s="334" t="str">
        <f>VLOOKUP(X270,'PUR-HSN MASTER'!$A$6:$D$247,4,FALSE)</f>
        <v>Goods</v>
      </c>
      <c r="AB270" s="401">
        <v>200</v>
      </c>
    </row>
    <row r="271" spans="1:28" ht="14.4" x14ac:dyDescent="0.3">
      <c r="A271" s="429" t="s">
        <v>23</v>
      </c>
      <c r="B271" s="199" t="str">
        <f>VLOOKUP(A271,'PUR-PARTY MASTER'!$B$6:$J$250,2,FALSE)</f>
        <v>Varroc Polymers Pvt Ltd,</v>
      </c>
      <c r="C271" s="403">
        <v>2041076378</v>
      </c>
      <c r="D271" s="398">
        <v>43157</v>
      </c>
      <c r="E271" s="329">
        <f t="shared" si="37"/>
        <v>5639.424</v>
      </c>
      <c r="F271" s="199" t="str">
        <f>VLOOKUP(A271,'PUR-PARTY MASTER'!$B$6:$J$250,3,FALSE)</f>
        <v>27-Maharashatra</v>
      </c>
      <c r="G271" s="199" t="str">
        <f>VLOOKUP(A271,'PUR-PARTY MASTER'!$B$6:$J$250,4,FALSE)</f>
        <v>N</v>
      </c>
      <c r="H271" s="199" t="str">
        <f>VLOOKUP(A271,'PUR-PARTY MASTER'!$B$6:$J$250,5,FALSE)</f>
        <v>Regular</v>
      </c>
      <c r="I271" s="199">
        <f>VLOOKUP(A271,'PUR-PARTY MASTER'!$B$6:$J$250,6,FALSE)</f>
        <v>0</v>
      </c>
      <c r="J271" s="201">
        <v>28</v>
      </c>
      <c r="K271" s="400">
        <v>4405.8</v>
      </c>
      <c r="L271" s="202">
        <f t="shared" si="38"/>
        <v>0</v>
      </c>
      <c r="M271" s="202">
        <f t="shared" si="39"/>
        <v>616.81200000000013</v>
      </c>
      <c r="N271" s="202">
        <f t="shared" si="40"/>
        <v>616.81200000000013</v>
      </c>
      <c r="O271" s="8">
        <v>0</v>
      </c>
      <c r="P271" s="341" t="s">
        <v>177</v>
      </c>
      <c r="Q271" s="329">
        <f t="shared" si="41"/>
        <v>0</v>
      </c>
      <c r="R271" s="329">
        <f t="shared" si="42"/>
        <v>616.81200000000013</v>
      </c>
      <c r="S271" s="329">
        <f t="shared" si="43"/>
        <v>616.81200000000013</v>
      </c>
      <c r="T271" s="8">
        <f t="shared" si="44"/>
        <v>0</v>
      </c>
      <c r="U271" s="199">
        <f>VLOOKUP(A271,'PUR-PARTY MASTER'!$B$6:$J$250,7,FALSE)</f>
        <v>2</v>
      </c>
      <c r="V271" s="199" t="str">
        <f>VLOOKUP(A271,'PUR-PARTY MASTER'!$B$6:$J$250,8,FALSE)</f>
        <v>Local Pur</v>
      </c>
      <c r="W271" s="199" t="s">
        <v>897</v>
      </c>
      <c r="X271" s="404">
        <v>39199090</v>
      </c>
      <c r="Y271" s="201" t="str">
        <f>VLOOKUP(X271,'PUR-HSN MASTER'!$A$6:$D$247,2,FALSE)</f>
        <v>Parts &amp; Accessories Of Motor Vehicles Other</v>
      </c>
      <c r="Z271" s="201" t="str">
        <f>VLOOKUP(X271,'PUR-HSN MASTER'!$A$6:$D$247,3,FALSE)</f>
        <v>KLR-KILOLITRE</v>
      </c>
      <c r="AA271" s="334" t="str">
        <f>VLOOKUP(X271,'PUR-HSN MASTER'!$A$6:$D$247,4,FALSE)</f>
        <v>Goods</v>
      </c>
      <c r="AB271" s="401">
        <v>105</v>
      </c>
    </row>
    <row r="272" spans="1:28" ht="14.4" x14ac:dyDescent="0.3">
      <c r="A272" s="429" t="s">
        <v>335</v>
      </c>
      <c r="B272" s="199" t="str">
        <f>VLOOKUP(A272,'PUR-PARTY MASTER'!$B$6:$J$250,2,FALSE)</f>
        <v>Atharva Polymers Pvt Ltd,</v>
      </c>
      <c r="C272" s="403" t="s">
        <v>1452</v>
      </c>
      <c r="D272" s="398">
        <v>43157</v>
      </c>
      <c r="E272" s="329">
        <f t="shared" si="37"/>
        <v>44385.343999999997</v>
      </c>
      <c r="F272" s="199" t="str">
        <f>VLOOKUP(A272,'PUR-PARTY MASTER'!$B$6:$J$250,3,FALSE)</f>
        <v>27-Maharashatra</v>
      </c>
      <c r="G272" s="199" t="str">
        <f>VLOOKUP(A272,'PUR-PARTY MASTER'!$B$6:$J$250,4,FALSE)</f>
        <v>N</v>
      </c>
      <c r="H272" s="199" t="str">
        <f>VLOOKUP(A272,'PUR-PARTY MASTER'!$B$6:$J$250,5,FALSE)</f>
        <v>Regular</v>
      </c>
      <c r="I272" s="199">
        <f>VLOOKUP(A272,'PUR-PARTY MASTER'!$B$6:$J$250,6,FALSE)</f>
        <v>0</v>
      </c>
      <c r="J272" s="201">
        <v>28</v>
      </c>
      <c r="K272" s="400">
        <f>34591.5+84.55</f>
        <v>34676.050000000003</v>
      </c>
      <c r="L272" s="202">
        <f t="shared" si="38"/>
        <v>0</v>
      </c>
      <c r="M272" s="202">
        <f t="shared" si="39"/>
        <v>4854.6470000000008</v>
      </c>
      <c r="N272" s="202">
        <f t="shared" si="40"/>
        <v>4854.6470000000008</v>
      </c>
      <c r="O272" s="8">
        <v>0</v>
      </c>
      <c r="P272" s="341" t="s">
        <v>177</v>
      </c>
      <c r="Q272" s="329">
        <f t="shared" si="41"/>
        <v>0</v>
      </c>
      <c r="R272" s="329">
        <f t="shared" si="42"/>
        <v>4854.6470000000008</v>
      </c>
      <c r="S272" s="329">
        <f t="shared" si="43"/>
        <v>4854.6470000000008</v>
      </c>
      <c r="T272" s="8">
        <f t="shared" si="44"/>
        <v>0</v>
      </c>
      <c r="U272" s="199">
        <f>VLOOKUP(A272,'PUR-PARTY MASTER'!$B$6:$J$250,7,FALSE)</f>
        <v>2</v>
      </c>
      <c r="V272" s="199" t="str">
        <f>VLOOKUP(A272,'PUR-PARTY MASTER'!$B$6:$J$250,8,FALSE)</f>
        <v>Local Pur</v>
      </c>
      <c r="W272" s="199" t="s">
        <v>897</v>
      </c>
      <c r="X272" s="404">
        <v>87141900</v>
      </c>
      <c r="Y272" s="201" t="str">
        <f>VLOOKUP(X272,'PUR-HSN MASTER'!$A$6:$D$247,2,FALSE)</f>
        <v>Parts &amp; Accessories Of Motor Vehicles Other</v>
      </c>
      <c r="Z272" s="201" t="str">
        <f>VLOOKUP(X272,'PUR-HSN MASTER'!$A$6:$D$247,3,FALSE)</f>
        <v>KLR-KILOLITRE</v>
      </c>
      <c r="AA272" s="334" t="str">
        <f>VLOOKUP(X272,'PUR-HSN MASTER'!$A$6:$D$247,4,FALSE)</f>
        <v>Goods</v>
      </c>
      <c r="AB272" s="401">
        <v>815</v>
      </c>
    </row>
    <row r="273" spans="1:28" ht="14.4" x14ac:dyDescent="0.3">
      <c r="A273" s="429" t="s">
        <v>353</v>
      </c>
      <c r="B273" s="199" t="str">
        <f>VLOOKUP(A273,'PUR-PARTY MASTER'!$B$6:$J$250,2,FALSE)</f>
        <v>Sam Systems</v>
      </c>
      <c r="C273" s="403" t="s">
        <v>1453</v>
      </c>
      <c r="D273" s="398">
        <v>43158</v>
      </c>
      <c r="E273" s="329">
        <f t="shared" si="37"/>
        <v>354</v>
      </c>
      <c r="F273" s="199" t="str">
        <f>VLOOKUP(A273,'PUR-PARTY MASTER'!$B$6:$J$250,3,FALSE)</f>
        <v>27-Maharashatra</v>
      </c>
      <c r="G273" s="199" t="str">
        <f>VLOOKUP(A273,'PUR-PARTY MASTER'!$B$6:$J$250,4,FALSE)</f>
        <v>N</v>
      </c>
      <c r="H273" s="199" t="str">
        <f>VLOOKUP(A273,'PUR-PARTY MASTER'!$B$6:$J$250,5,FALSE)</f>
        <v>Regular</v>
      </c>
      <c r="I273" s="199">
        <f>VLOOKUP(A273,'PUR-PARTY MASTER'!$B$6:$J$250,6,FALSE)</f>
        <v>0</v>
      </c>
      <c r="J273" s="201">
        <v>18</v>
      </c>
      <c r="K273" s="400">
        <v>300</v>
      </c>
      <c r="L273" s="202">
        <f t="shared" si="38"/>
        <v>0</v>
      </c>
      <c r="M273" s="202">
        <f t="shared" si="39"/>
        <v>27</v>
      </c>
      <c r="N273" s="202">
        <f t="shared" si="40"/>
        <v>27</v>
      </c>
      <c r="O273" s="8">
        <v>0</v>
      </c>
      <c r="P273" s="341" t="s">
        <v>177</v>
      </c>
      <c r="Q273" s="329">
        <f t="shared" si="41"/>
        <v>0</v>
      </c>
      <c r="R273" s="329">
        <f t="shared" si="42"/>
        <v>27</v>
      </c>
      <c r="S273" s="329">
        <f t="shared" si="43"/>
        <v>27</v>
      </c>
      <c r="T273" s="8">
        <f t="shared" si="44"/>
        <v>0</v>
      </c>
      <c r="U273" s="199">
        <f>VLOOKUP(A273,'PUR-PARTY MASTER'!$B$6:$J$250,7,FALSE)</f>
        <v>2</v>
      </c>
      <c r="V273" s="199" t="str">
        <f>VLOOKUP(A273,'PUR-PARTY MASTER'!$B$6:$J$250,8,FALSE)</f>
        <v>Local Pur</v>
      </c>
      <c r="W273" s="199" t="s">
        <v>894</v>
      </c>
      <c r="X273" s="404">
        <v>37079090</v>
      </c>
      <c r="Y273" s="201" t="str">
        <f>VLOOKUP(X273,'PUR-HSN MASTER'!$A$6:$D$247,2,FALSE)</f>
        <v>Parts &amp; Accessories Of Other Cover</v>
      </c>
      <c r="Z273" s="201" t="str">
        <f>VLOOKUP(X273,'PUR-HSN MASTER'!$A$6:$D$247,3,FALSE)</f>
        <v>NOS-NUMBERS</v>
      </c>
      <c r="AA273" s="334" t="str">
        <f>VLOOKUP(X273,'PUR-HSN MASTER'!$A$6:$D$247,4,FALSE)</f>
        <v>Goods</v>
      </c>
      <c r="AB273" s="401">
        <v>1</v>
      </c>
    </row>
    <row r="274" spans="1:28" ht="14.4" x14ac:dyDescent="0.3">
      <c r="A274" s="429" t="s">
        <v>333</v>
      </c>
      <c r="B274" s="199" t="str">
        <f>VLOOKUP(A274,'PUR-PARTY MASTER'!$B$6:$J$250,2,FALSE)</f>
        <v>Aditya Enteprises</v>
      </c>
      <c r="C274" s="403">
        <v>5014</v>
      </c>
      <c r="D274" s="398">
        <v>43158</v>
      </c>
      <c r="E274" s="329">
        <f t="shared" si="37"/>
        <v>12560.356600000001</v>
      </c>
      <c r="F274" s="199" t="str">
        <f>VLOOKUP(A274,'PUR-PARTY MASTER'!$B$6:$J$250,3,FALSE)</f>
        <v>27-Maharashatra</v>
      </c>
      <c r="G274" s="199" t="str">
        <f>VLOOKUP(A274,'PUR-PARTY MASTER'!$B$6:$J$250,4,FALSE)</f>
        <v>N</v>
      </c>
      <c r="H274" s="199" t="str">
        <f>VLOOKUP(A274,'PUR-PARTY MASTER'!$B$6:$J$250,5,FALSE)</f>
        <v>Regular</v>
      </c>
      <c r="I274" s="199">
        <f>VLOOKUP(A274,'PUR-PARTY MASTER'!$B$6:$J$250,6,FALSE)</f>
        <v>0</v>
      </c>
      <c r="J274" s="201">
        <v>18</v>
      </c>
      <c r="K274" s="400">
        <v>10644.37</v>
      </c>
      <c r="L274" s="202">
        <f t="shared" si="38"/>
        <v>0</v>
      </c>
      <c r="M274" s="202">
        <f t="shared" si="39"/>
        <v>957.99330000000009</v>
      </c>
      <c r="N274" s="202">
        <f t="shared" si="40"/>
        <v>957.99330000000009</v>
      </c>
      <c r="O274" s="8">
        <v>0</v>
      </c>
      <c r="P274" s="341" t="s">
        <v>177</v>
      </c>
      <c r="Q274" s="329">
        <f t="shared" si="41"/>
        <v>0</v>
      </c>
      <c r="R274" s="329">
        <f t="shared" si="42"/>
        <v>957.99330000000009</v>
      </c>
      <c r="S274" s="329">
        <f t="shared" si="43"/>
        <v>957.99330000000009</v>
      </c>
      <c r="T274" s="8">
        <f t="shared" si="44"/>
        <v>0</v>
      </c>
      <c r="U274" s="199">
        <f>VLOOKUP(A274,'PUR-PARTY MASTER'!$B$6:$J$250,7,FALSE)</f>
        <v>2</v>
      </c>
      <c r="V274" s="199" t="str">
        <f>VLOOKUP(A274,'PUR-PARTY MASTER'!$B$6:$J$250,8,FALSE)</f>
        <v>Local Pur</v>
      </c>
      <c r="W274" s="199" t="s">
        <v>894</v>
      </c>
      <c r="X274" s="404">
        <v>85129000</v>
      </c>
      <c r="Y274" s="201" t="str">
        <f>VLOOKUP(X274,'PUR-HSN MASTER'!$A$6:$D$247,2,FALSE)</f>
        <v>Lighting &amp; Fitting</v>
      </c>
      <c r="Z274" s="201" t="str">
        <f>VLOOKUP(X274,'PUR-HSN MASTER'!$A$6:$D$247,3,FALSE)</f>
        <v>NOS-NUMBERS</v>
      </c>
      <c r="AA274" s="334" t="str">
        <f>VLOOKUP(X274,'PUR-HSN MASTER'!$A$6:$D$247,4,FALSE)</f>
        <v>Goods</v>
      </c>
      <c r="AB274" s="401">
        <v>463</v>
      </c>
    </row>
    <row r="275" spans="1:28" ht="14.4" x14ac:dyDescent="0.3">
      <c r="A275" s="429" t="s">
        <v>862</v>
      </c>
      <c r="B275" s="199" t="str">
        <f>VLOOKUP(A275,'PUR-PARTY MASTER'!$B$6:$J$250,2,FALSE)</f>
        <v xml:space="preserve">Varroc Engineering Ltd </v>
      </c>
      <c r="C275" s="403">
        <v>2240001717</v>
      </c>
      <c r="D275" s="398">
        <v>43158</v>
      </c>
      <c r="E275" s="329">
        <f t="shared" si="37"/>
        <v>7091.7119999999995</v>
      </c>
      <c r="F275" s="199" t="str">
        <f>VLOOKUP(A275,'PUR-PARTY MASTER'!$B$6:$J$250,3,FALSE)</f>
        <v>27-Maharashatra</v>
      </c>
      <c r="G275" s="199" t="str">
        <f>VLOOKUP(A275,'PUR-PARTY MASTER'!$B$6:$J$250,4,FALSE)</f>
        <v>N</v>
      </c>
      <c r="H275" s="199" t="str">
        <f>VLOOKUP(A275,'PUR-PARTY MASTER'!$B$6:$J$250,5,FALSE)</f>
        <v>Regular</v>
      </c>
      <c r="I275" s="199">
        <f>VLOOKUP(A275,'PUR-PARTY MASTER'!$B$6:$J$250,6,FALSE)</f>
        <v>0</v>
      </c>
      <c r="J275" s="201">
        <v>28</v>
      </c>
      <c r="K275" s="400">
        <v>5540.4</v>
      </c>
      <c r="L275" s="202">
        <f t="shared" si="38"/>
        <v>0</v>
      </c>
      <c r="M275" s="202">
        <f t="shared" si="39"/>
        <v>775.65600000000006</v>
      </c>
      <c r="N275" s="202">
        <f t="shared" si="40"/>
        <v>775.65600000000006</v>
      </c>
      <c r="O275" s="8">
        <v>0</v>
      </c>
      <c r="P275" s="341" t="s">
        <v>177</v>
      </c>
      <c r="Q275" s="329">
        <f t="shared" si="41"/>
        <v>0</v>
      </c>
      <c r="R275" s="329">
        <f t="shared" si="42"/>
        <v>775.65600000000006</v>
      </c>
      <c r="S275" s="329">
        <f t="shared" si="43"/>
        <v>775.65600000000006</v>
      </c>
      <c r="T275" s="8">
        <f t="shared" si="44"/>
        <v>0</v>
      </c>
      <c r="U275" s="199">
        <f>VLOOKUP(A275,'PUR-PARTY MASTER'!$B$6:$J$250,7,FALSE)</f>
        <v>2</v>
      </c>
      <c r="V275" s="199" t="str">
        <f>VLOOKUP(A275,'PUR-PARTY MASTER'!$B$6:$J$250,8,FALSE)</f>
        <v>Local Pur</v>
      </c>
      <c r="W275" s="199" t="s">
        <v>897</v>
      </c>
      <c r="X275" s="404">
        <v>87142090</v>
      </c>
      <c r="Y275" s="201" t="str">
        <f>VLOOKUP(X275,'PUR-HSN MASTER'!$A$6:$D$247,2,FALSE)</f>
        <v>Parts &amp; Accessories Of Motor Vehicles Other</v>
      </c>
      <c r="Z275" s="201" t="str">
        <f>VLOOKUP(X275,'PUR-HSN MASTER'!$A$6:$D$247,3,FALSE)</f>
        <v>NOS-NUMBERS</v>
      </c>
      <c r="AA275" s="334" t="str">
        <f>VLOOKUP(X275,'PUR-HSN MASTER'!$A$6:$D$247,4,FALSE)</f>
        <v>Goods</v>
      </c>
      <c r="AB275" s="401">
        <v>648</v>
      </c>
    </row>
    <row r="276" spans="1:28" ht="14.4" x14ac:dyDescent="0.3">
      <c r="A276" s="429" t="s">
        <v>862</v>
      </c>
      <c r="B276" s="199" t="str">
        <f>VLOOKUP(A276,'PUR-PARTY MASTER'!$B$6:$J$250,2,FALSE)</f>
        <v xml:space="preserve">Varroc Engineering Ltd </v>
      </c>
      <c r="C276" s="403">
        <v>2240001721</v>
      </c>
      <c r="D276" s="398">
        <v>43158</v>
      </c>
      <c r="E276" s="329">
        <f t="shared" si="37"/>
        <v>42885.887999999999</v>
      </c>
      <c r="F276" s="199" t="str">
        <f>VLOOKUP(A276,'PUR-PARTY MASTER'!$B$6:$J$250,3,FALSE)</f>
        <v>27-Maharashatra</v>
      </c>
      <c r="G276" s="199" t="str">
        <f>VLOOKUP(A276,'PUR-PARTY MASTER'!$B$6:$J$250,4,FALSE)</f>
        <v>N</v>
      </c>
      <c r="H276" s="199" t="str">
        <f>VLOOKUP(A276,'PUR-PARTY MASTER'!$B$6:$J$250,5,FALSE)</f>
        <v>Regular</v>
      </c>
      <c r="I276" s="199">
        <f>VLOOKUP(A276,'PUR-PARTY MASTER'!$B$6:$J$250,6,FALSE)</f>
        <v>0</v>
      </c>
      <c r="J276" s="201">
        <v>28</v>
      </c>
      <c r="K276" s="400">
        <v>33504.6</v>
      </c>
      <c r="L276" s="202">
        <f t="shared" si="38"/>
        <v>0</v>
      </c>
      <c r="M276" s="202">
        <f t="shared" si="39"/>
        <v>4690.6440000000002</v>
      </c>
      <c r="N276" s="202">
        <f t="shared" si="40"/>
        <v>4690.6440000000002</v>
      </c>
      <c r="O276" s="8">
        <v>0</v>
      </c>
      <c r="P276" s="341" t="s">
        <v>177</v>
      </c>
      <c r="Q276" s="329">
        <f t="shared" si="41"/>
        <v>0</v>
      </c>
      <c r="R276" s="329">
        <f t="shared" si="42"/>
        <v>4690.6440000000002</v>
      </c>
      <c r="S276" s="329">
        <f t="shared" si="43"/>
        <v>4690.6440000000002</v>
      </c>
      <c r="T276" s="8">
        <f t="shared" si="44"/>
        <v>0</v>
      </c>
      <c r="U276" s="199">
        <f>VLOOKUP(A276,'PUR-PARTY MASTER'!$B$6:$J$250,7,FALSE)</f>
        <v>2</v>
      </c>
      <c r="V276" s="199" t="str">
        <f>VLOOKUP(A276,'PUR-PARTY MASTER'!$B$6:$J$250,8,FALSE)</f>
        <v>Local Pur</v>
      </c>
      <c r="W276" s="199" t="s">
        <v>897</v>
      </c>
      <c r="X276" s="404">
        <v>87142090</v>
      </c>
      <c r="Y276" s="201" t="str">
        <f>VLOOKUP(X276,'PUR-HSN MASTER'!$A$6:$D$247,2,FALSE)</f>
        <v>Parts &amp; Accessories Of Motor Vehicles Other</v>
      </c>
      <c r="Z276" s="201" t="str">
        <f>VLOOKUP(X276,'PUR-HSN MASTER'!$A$6:$D$247,3,FALSE)</f>
        <v>NOS-NUMBERS</v>
      </c>
      <c r="AA276" s="334" t="str">
        <f>VLOOKUP(X276,'PUR-HSN MASTER'!$A$6:$D$247,4,FALSE)</f>
        <v>Goods</v>
      </c>
      <c r="AB276" s="401">
        <v>1140</v>
      </c>
    </row>
    <row r="277" spans="1:28" ht="14.4" x14ac:dyDescent="0.3">
      <c r="A277" s="429" t="s">
        <v>27</v>
      </c>
      <c r="B277" s="199" t="str">
        <f>VLOOKUP(A277,'PUR-PARTY MASTER'!$B$6:$J$250,2,FALSE)</f>
        <v>Rinder India Pvt Ltd.</v>
      </c>
      <c r="C277" s="403">
        <v>2701824317</v>
      </c>
      <c r="D277" s="398">
        <v>43158</v>
      </c>
      <c r="E277" s="329">
        <f t="shared" si="37"/>
        <v>50115.072000000007</v>
      </c>
      <c r="F277" s="199" t="str">
        <f>VLOOKUP(A277,'PUR-PARTY MASTER'!$B$6:$J$250,3,FALSE)</f>
        <v>27-Maharashatra</v>
      </c>
      <c r="G277" s="199" t="str">
        <f>VLOOKUP(A277,'PUR-PARTY MASTER'!$B$6:$J$250,4,FALSE)</f>
        <v>N</v>
      </c>
      <c r="H277" s="199" t="str">
        <f>VLOOKUP(A277,'PUR-PARTY MASTER'!$B$6:$J$250,5,FALSE)</f>
        <v>Regular</v>
      </c>
      <c r="I277" s="199">
        <f>VLOOKUP(A277,'PUR-PARTY MASTER'!$B$6:$J$250,6,FALSE)</f>
        <v>0</v>
      </c>
      <c r="J277" s="201">
        <v>18</v>
      </c>
      <c r="K277" s="400">
        <v>42470.400000000001</v>
      </c>
      <c r="L277" s="202">
        <f t="shared" si="38"/>
        <v>0</v>
      </c>
      <c r="M277" s="202">
        <f t="shared" si="39"/>
        <v>3822.3359999999998</v>
      </c>
      <c r="N277" s="202">
        <f t="shared" si="40"/>
        <v>3822.3359999999998</v>
      </c>
      <c r="O277" s="8">
        <v>0</v>
      </c>
      <c r="P277" s="341" t="s">
        <v>177</v>
      </c>
      <c r="Q277" s="329">
        <f t="shared" si="41"/>
        <v>0</v>
      </c>
      <c r="R277" s="329">
        <f t="shared" si="42"/>
        <v>3822.3359999999998</v>
      </c>
      <c r="S277" s="329">
        <f t="shared" si="43"/>
        <v>3822.3359999999998</v>
      </c>
      <c r="T277" s="8">
        <f t="shared" si="44"/>
        <v>0</v>
      </c>
      <c r="U277" s="199">
        <f>VLOOKUP(A277,'PUR-PARTY MASTER'!$B$6:$J$250,7,FALSE)</f>
        <v>2</v>
      </c>
      <c r="V277" s="199" t="str">
        <f>VLOOKUP(A277,'PUR-PARTY MASTER'!$B$6:$J$250,8,FALSE)</f>
        <v>Local Pur</v>
      </c>
      <c r="W277" s="199" t="s">
        <v>894</v>
      </c>
      <c r="X277" s="404">
        <v>85129000</v>
      </c>
      <c r="Y277" s="201" t="str">
        <f>VLOOKUP(X277,'PUR-HSN MASTER'!$A$6:$D$247,2,FALSE)</f>
        <v>Lighting &amp; Fitting</v>
      </c>
      <c r="Z277" s="201" t="str">
        <f>VLOOKUP(X277,'PUR-HSN MASTER'!$A$6:$D$247,3,FALSE)</f>
        <v>NOS-NUMBERS</v>
      </c>
      <c r="AA277" s="334" t="str">
        <f>VLOOKUP(X277,'PUR-HSN MASTER'!$A$6:$D$247,4,FALSE)</f>
        <v>Goods</v>
      </c>
      <c r="AB277" s="401">
        <v>3840</v>
      </c>
    </row>
    <row r="278" spans="1:28" ht="14.4" x14ac:dyDescent="0.3">
      <c r="A278" s="429" t="s">
        <v>23</v>
      </c>
      <c r="B278" s="199" t="str">
        <f>VLOOKUP(A278,'PUR-PARTY MASTER'!$B$6:$J$250,2,FALSE)</f>
        <v>Varroc Polymers Pvt Ltd,</v>
      </c>
      <c r="C278" s="403">
        <v>2041076882</v>
      </c>
      <c r="D278" s="398">
        <v>43158</v>
      </c>
      <c r="E278" s="329">
        <f t="shared" si="37"/>
        <v>2040.6399999999999</v>
      </c>
      <c r="F278" s="199" t="str">
        <f>VLOOKUP(A278,'PUR-PARTY MASTER'!$B$6:$J$250,3,FALSE)</f>
        <v>27-Maharashatra</v>
      </c>
      <c r="G278" s="199" t="str">
        <f>VLOOKUP(A278,'PUR-PARTY MASTER'!$B$6:$J$250,4,FALSE)</f>
        <v>N</v>
      </c>
      <c r="H278" s="199" t="str">
        <f>VLOOKUP(A278,'PUR-PARTY MASTER'!$B$6:$J$250,5,FALSE)</f>
        <v>Regular</v>
      </c>
      <c r="I278" s="199">
        <f>VLOOKUP(A278,'PUR-PARTY MASTER'!$B$6:$J$250,6,FALSE)</f>
        <v>0</v>
      </c>
      <c r="J278" s="201">
        <v>28</v>
      </c>
      <c r="K278" s="400">
        <v>1594.25</v>
      </c>
      <c r="L278" s="202">
        <f t="shared" si="38"/>
        <v>0</v>
      </c>
      <c r="M278" s="202">
        <f t="shared" si="39"/>
        <v>223.19500000000002</v>
      </c>
      <c r="N278" s="202">
        <f t="shared" si="40"/>
        <v>223.19500000000002</v>
      </c>
      <c r="O278" s="8">
        <v>0</v>
      </c>
      <c r="P278" s="341" t="s">
        <v>177</v>
      </c>
      <c r="Q278" s="329">
        <f t="shared" si="41"/>
        <v>0</v>
      </c>
      <c r="R278" s="329">
        <f t="shared" si="42"/>
        <v>223.19500000000002</v>
      </c>
      <c r="S278" s="329">
        <f t="shared" si="43"/>
        <v>223.19500000000002</v>
      </c>
      <c r="T278" s="8">
        <f t="shared" si="44"/>
        <v>0</v>
      </c>
      <c r="U278" s="199">
        <f>VLOOKUP(A278,'PUR-PARTY MASTER'!$B$6:$J$250,7,FALSE)</f>
        <v>2</v>
      </c>
      <c r="V278" s="199" t="str">
        <f>VLOOKUP(A278,'PUR-PARTY MASTER'!$B$6:$J$250,8,FALSE)</f>
        <v>Local Pur</v>
      </c>
      <c r="W278" s="199" t="s">
        <v>897</v>
      </c>
      <c r="X278" s="404">
        <v>87081090</v>
      </c>
      <c r="Y278" s="201" t="str">
        <f>VLOOKUP(X278,'PUR-HSN MASTER'!$A$6:$D$247,2,FALSE)</f>
        <v>Parts &amp; Accessories Of Motor Vehicles Other</v>
      </c>
      <c r="Z278" s="201" t="str">
        <f>VLOOKUP(X278,'PUR-HSN MASTER'!$A$6:$D$247,3,FALSE)</f>
        <v>NOS-NUMBERS</v>
      </c>
      <c r="AA278" s="334" t="str">
        <f>VLOOKUP(X278,'PUR-HSN MASTER'!$A$6:$D$247,4,FALSE)</f>
        <v>Goods</v>
      </c>
      <c r="AB278" s="401">
        <v>35</v>
      </c>
    </row>
    <row r="279" spans="1:28" ht="14.4" x14ac:dyDescent="0.3">
      <c r="A279" s="429" t="s">
        <v>23</v>
      </c>
      <c r="B279" s="199" t="str">
        <f>VLOOKUP(A279,'PUR-PARTY MASTER'!$B$6:$J$250,2,FALSE)</f>
        <v>Varroc Polymers Pvt Ltd,</v>
      </c>
      <c r="C279" s="403">
        <v>2041076881</v>
      </c>
      <c r="D279" s="398">
        <v>43158</v>
      </c>
      <c r="E279" s="329">
        <f t="shared" si="37"/>
        <v>2019.1360000000002</v>
      </c>
      <c r="F279" s="199" t="str">
        <f>VLOOKUP(A279,'PUR-PARTY MASTER'!$B$6:$J$250,3,FALSE)</f>
        <v>27-Maharashatra</v>
      </c>
      <c r="G279" s="199" t="str">
        <f>VLOOKUP(A279,'PUR-PARTY MASTER'!$B$6:$J$250,4,FALSE)</f>
        <v>N</v>
      </c>
      <c r="H279" s="199" t="str">
        <f>VLOOKUP(A279,'PUR-PARTY MASTER'!$B$6:$J$250,5,FALSE)</f>
        <v>Regular</v>
      </c>
      <c r="I279" s="199">
        <f>VLOOKUP(A279,'PUR-PARTY MASTER'!$B$6:$J$250,6,FALSE)</f>
        <v>0</v>
      </c>
      <c r="J279" s="201">
        <v>28</v>
      </c>
      <c r="K279" s="400">
        <v>1577.45</v>
      </c>
      <c r="L279" s="202">
        <f t="shared" si="38"/>
        <v>0</v>
      </c>
      <c r="M279" s="202">
        <f t="shared" si="39"/>
        <v>220.84300000000002</v>
      </c>
      <c r="N279" s="202">
        <f t="shared" si="40"/>
        <v>220.84300000000002</v>
      </c>
      <c r="O279" s="8">
        <v>0</v>
      </c>
      <c r="P279" s="341" t="s">
        <v>177</v>
      </c>
      <c r="Q279" s="329">
        <f t="shared" si="41"/>
        <v>0</v>
      </c>
      <c r="R279" s="329">
        <f t="shared" si="42"/>
        <v>220.84300000000002</v>
      </c>
      <c r="S279" s="329">
        <f t="shared" si="43"/>
        <v>220.84300000000002</v>
      </c>
      <c r="T279" s="8">
        <f t="shared" si="44"/>
        <v>0</v>
      </c>
      <c r="U279" s="199">
        <f>VLOOKUP(A279,'PUR-PARTY MASTER'!$B$6:$J$250,7,FALSE)</f>
        <v>2</v>
      </c>
      <c r="V279" s="199" t="str">
        <f>VLOOKUP(A279,'PUR-PARTY MASTER'!$B$6:$J$250,8,FALSE)</f>
        <v>Local Pur</v>
      </c>
      <c r="W279" s="199" t="s">
        <v>897</v>
      </c>
      <c r="X279" s="404">
        <v>87081090</v>
      </c>
      <c r="Y279" s="201" t="str">
        <f>VLOOKUP(X279,'PUR-HSN MASTER'!$A$6:$D$247,2,FALSE)</f>
        <v>Parts &amp; Accessories Of Motor Vehicles Other</v>
      </c>
      <c r="Z279" s="201" t="str">
        <f>VLOOKUP(X279,'PUR-HSN MASTER'!$A$6:$D$247,3,FALSE)</f>
        <v>NOS-NUMBERS</v>
      </c>
      <c r="AA279" s="334" t="str">
        <f>VLOOKUP(X279,'PUR-HSN MASTER'!$A$6:$D$247,4,FALSE)</f>
        <v>Goods</v>
      </c>
      <c r="AB279" s="401">
        <v>35</v>
      </c>
    </row>
    <row r="280" spans="1:28" ht="14.4" x14ac:dyDescent="0.3">
      <c r="A280" s="429" t="s">
        <v>23</v>
      </c>
      <c r="B280" s="199" t="str">
        <f>VLOOKUP(A280,'PUR-PARTY MASTER'!$B$6:$J$250,2,FALSE)</f>
        <v>Varroc Polymers Pvt Ltd,</v>
      </c>
      <c r="C280" s="403">
        <v>2041077137</v>
      </c>
      <c r="D280" s="398">
        <v>43159</v>
      </c>
      <c r="E280" s="329">
        <f t="shared" si="37"/>
        <v>4764.6720000000005</v>
      </c>
      <c r="F280" s="199" t="str">
        <f>VLOOKUP(A280,'PUR-PARTY MASTER'!$B$6:$J$250,3,FALSE)</f>
        <v>27-Maharashatra</v>
      </c>
      <c r="G280" s="199" t="str">
        <f>VLOOKUP(A280,'PUR-PARTY MASTER'!$B$6:$J$250,4,FALSE)</f>
        <v>N</v>
      </c>
      <c r="H280" s="199" t="str">
        <f>VLOOKUP(A280,'PUR-PARTY MASTER'!$B$6:$J$250,5,FALSE)</f>
        <v>Regular</v>
      </c>
      <c r="I280" s="199">
        <f>VLOOKUP(A280,'PUR-PARTY MASTER'!$B$6:$J$250,6,FALSE)</f>
        <v>0</v>
      </c>
      <c r="J280" s="201">
        <v>28</v>
      </c>
      <c r="K280" s="400">
        <v>3722.4</v>
      </c>
      <c r="L280" s="202">
        <f t="shared" si="38"/>
        <v>0</v>
      </c>
      <c r="M280" s="202">
        <f t="shared" si="39"/>
        <v>521.13600000000008</v>
      </c>
      <c r="N280" s="202">
        <f t="shared" si="40"/>
        <v>521.13600000000008</v>
      </c>
      <c r="O280" s="8">
        <v>0</v>
      </c>
      <c r="P280" s="341" t="s">
        <v>177</v>
      </c>
      <c r="Q280" s="329">
        <f t="shared" si="41"/>
        <v>0</v>
      </c>
      <c r="R280" s="329">
        <f t="shared" si="42"/>
        <v>521.13600000000008</v>
      </c>
      <c r="S280" s="329">
        <f t="shared" si="43"/>
        <v>521.13600000000008</v>
      </c>
      <c r="T280" s="8">
        <f t="shared" si="44"/>
        <v>0</v>
      </c>
      <c r="U280" s="199">
        <f>VLOOKUP(A280,'PUR-PARTY MASTER'!$B$6:$J$250,7,FALSE)</f>
        <v>2</v>
      </c>
      <c r="V280" s="199" t="str">
        <f>VLOOKUP(A280,'PUR-PARTY MASTER'!$B$6:$J$250,8,FALSE)</f>
        <v>Local Pur</v>
      </c>
      <c r="W280" s="199" t="s">
        <v>897</v>
      </c>
      <c r="X280" s="404">
        <v>87141090</v>
      </c>
      <c r="Y280" s="201" t="str">
        <f>VLOOKUP(X280,'PUR-HSN MASTER'!$A$6:$D$247,2,FALSE)</f>
        <v>Parts &amp; Accessories Of Motor Vehicles Other</v>
      </c>
      <c r="Z280" s="201" t="str">
        <f>VLOOKUP(X280,'PUR-HSN MASTER'!$A$6:$D$247,3,FALSE)</f>
        <v>NOS-NUMBERS</v>
      </c>
      <c r="AA280" s="334" t="str">
        <f>VLOOKUP(X280,'PUR-HSN MASTER'!$A$6:$D$247,4,FALSE)</f>
        <v>Goods</v>
      </c>
      <c r="AB280" s="401">
        <v>180</v>
      </c>
    </row>
    <row r="281" spans="1:28" ht="14.4" x14ac:dyDescent="0.3">
      <c r="A281" s="429" t="s">
        <v>23</v>
      </c>
      <c r="B281" s="199" t="str">
        <f>VLOOKUP(A281,'PUR-PARTY MASTER'!$B$6:$J$250,2,FALSE)</f>
        <v>Varroc Polymers Pvt Ltd,</v>
      </c>
      <c r="C281" s="403">
        <v>2041077138</v>
      </c>
      <c r="D281" s="398">
        <v>43159</v>
      </c>
      <c r="E281" s="329">
        <f t="shared" si="37"/>
        <v>4764.6720000000005</v>
      </c>
      <c r="F281" s="199" t="str">
        <f>VLOOKUP(A281,'PUR-PARTY MASTER'!$B$6:$J$250,3,FALSE)</f>
        <v>27-Maharashatra</v>
      </c>
      <c r="G281" s="199" t="str">
        <f>VLOOKUP(A281,'PUR-PARTY MASTER'!$B$6:$J$250,4,FALSE)</f>
        <v>N</v>
      </c>
      <c r="H281" s="199" t="str">
        <f>VLOOKUP(A281,'PUR-PARTY MASTER'!$B$6:$J$250,5,FALSE)</f>
        <v>Regular</v>
      </c>
      <c r="I281" s="199">
        <f>VLOOKUP(A281,'PUR-PARTY MASTER'!$B$6:$J$250,6,FALSE)</f>
        <v>0</v>
      </c>
      <c r="J281" s="201">
        <v>28</v>
      </c>
      <c r="K281" s="400">
        <v>3722.4</v>
      </c>
      <c r="L281" s="202">
        <f t="shared" si="38"/>
        <v>0</v>
      </c>
      <c r="M281" s="202">
        <f t="shared" si="39"/>
        <v>521.13600000000008</v>
      </c>
      <c r="N281" s="202">
        <f t="shared" si="40"/>
        <v>521.13600000000008</v>
      </c>
      <c r="O281" s="8">
        <v>0</v>
      </c>
      <c r="P281" s="341" t="s">
        <v>177</v>
      </c>
      <c r="Q281" s="329">
        <f t="shared" si="41"/>
        <v>0</v>
      </c>
      <c r="R281" s="329">
        <f t="shared" si="42"/>
        <v>521.13600000000008</v>
      </c>
      <c r="S281" s="329">
        <f t="shared" si="43"/>
        <v>521.13600000000008</v>
      </c>
      <c r="T281" s="8">
        <f t="shared" si="44"/>
        <v>0</v>
      </c>
      <c r="U281" s="199">
        <f>VLOOKUP(A281,'PUR-PARTY MASTER'!$B$6:$J$250,7,FALSE)</f>
        <v>2</v>
      </c>
      <c r="V281" s="199" t="str">
        <f>VLOOKUP(A281,'PUR-PARTY MASTER'!$B$6:$J$250,8,FALSE)</f>
        <v>Local Pur</v>
      </c>
      <c r="W281" s="199" t="s">
        <v>897</v>
      </c>
      <c r="X281" s="404">
        <v>87141090</v>
      </c>
      <c r="Y281" s="201" t="str">
        <f>VLOOKUP(X281,'PUR-HSN MASTER'!$A$6:$D$247,2,FALSE)</f>
        <v>Parts &amp; Accessories Of Motor Vehicles Other</v>
      </c>
      <c r="Z281" s="201" t="str">
        <f>VLOOKUP(X281,'PUR-HSN MASTER'!$A$6:$D$247,3,FALSE)</f>
        <v>NOS-NUMBERS</v>
      </c>
      <c r="AA281" s="334" t="str">
        <f>VLOOKUP(X281,'PUR-HSN MASTER'!$A$6:$D$247,4,FALSE)</f>
        <v>Goods</v>
      </c>
      <c r="AB281" s="401">
        <v>180</v>
      </c>
    </row>
    <row r="282" spans="1:28" ht="14.4" x14ac:dyDescent="0.3">
      <c r="A282" s="429" t="s">
        <v>921</v>
      </c>
      <c r="B282" s="199" t="str">
        <f>VLOOKUP(A282,'PUR-PARTY MASTER'!$B$6:$J$250,2,FALSE)</f>
        <v>Mataji Hardware And Eleectricals</v>
      </c>
      <c r="C282" s="403" t="s">
        <v>1454</v>
      </c>
      <c r="D282" s="398">
        <v>43159</v>
      </c>
      <c r="E282" s="329">
        <f t="shared" si="37"/>
        <v>1000.0028</v>
      </c>
      <c r="F282" s="199" t="str">
        <f>VLOOKUP(A282,'PUR-PARTY MASTER'!$B$6:$J$250,3,FALSE)</f>
        <v>27-Maharashatra</v>
      </c>
      <c r="G282" s="199" t="str">
        <f>VLOOKUP(A282,'PUR-PARTY MASTER'!$B$6:$J$250,4,FALSE)</f>
        <v>N</v>
      </c>
      <c r="H282" s="199" t="str">
        <f>VLOOKUP(A282,'PUR-PARTY MASTER'!$B$6:$J$250,5,FALSE)</f>
        <v>Regular</v>
      </c>
      <c r="I282" s="199">
        <f>VLOOKUP(A282,'PUR-PARTY MASTER'!$B$6:$J$250,6,FALSE)</f>
        <v>0</v>
      </c>
      <c r="J282" s="201">
        <v>18</v>
      </c>
      <c r="K282" s="400">
        <v>847.46</v>
      </c>
      <c r="L282" s="202">
        <f t="shared" si="38"/>
        <v>0</v>
      </c>
      <c r="M282" s="202">
        <f t="shared" si="39"/>
        <v>76.2714</v>
      </c>
      <c r="N282" s="202">
        <f t="shared" si="40"/>
        <v>76.2714</v>
      </c>
      <c r="O282" s="8">
        <v>0</v>
      </c>
      <c r="P282" s="341" t="s">
        <v>177</v>
      </c>
      <c r="Q282" s="329">
        <f t="shared" si="41"/>
        <v>0</v>
      </c>
      <c r="R282" s="329">
        <f t="shared" si="42"/>
        <v>76.2714</v>
      </c>
      <c r="S282" s="329">
        <f t="shared" si="43"/>
        <v>76.2714</v>
      </c>
      <c r="T282" s="8">
        <f t="shared" si="44"/>
        <v>0</v>
      </c>
      <c r="U282" s="199">
        <f>VLOOKUP(A282,'PUR-PARTY MASTER'!$B$6:$J$250,7,FALSE)</f>
        <v>2</v>
      </c>
      <c r="V282" s="199" t="str">
        <f>VLOOKUP(A282,'PUR-PARTY MASTER'!$B$6:$J$250,8,FALSE)</f>
        <v>Local Pur</v>
      </c>
      <c r="W282" s="199" t="s">
        <v>894</v>
      </c>
      <c r="X282" s="404">
        <v>7318</v>
      </c>
      <c r="Y282" s="201" t="str">
        <f>VLOOKUP(X282,'PUR-HSN MASTER'!$A$6:$D$247,2,FALSE)</f>
        <v>including spring washers</v>
      </c>
      <c r="Z282" s="201" t="str">
        <f>VLOOKUP(X282,'PUR-HSN MASTER'!$A$6:$D$247,3,FALSE)</f>
        <v>NOS-NUMBERS</v>
      </c>
      <c r="AA282" s="334" t="str">
        <f>VLOOKUP(X282,'PUR-HSN MASTER'!$A$6:$D$247,4,FALSE)</f>
        <v>Goods</v>
      </c>
      <c r="AB282" s="401">
        <v>2</v>
      </c>
    </row>
    <row r="283" spans="1:28" ht="14.4" x14ac:dyDescent="0.3">
      <c r="A283" s="429" t="s">
        <v>383</v>
      </c>
      <c r="B283" s="199" t="str">
        <f>VLOOKUP(A283,'PUR-PARTY MASTER'!$B$6:$J$250,2,FALSE)</f>
        <v>Dhumal Motor Glass</v>
      </c>
      <c r="C283" s="403">
        <v>246</v>
      </c>
      <c r="D283" s="398">
        <v>43158</v>
      </c>
      <c r="E283" s="329">
        <f t="shared" si="37"/>
        <v>36993</v>
      </c>
      <c r="F283" s="199" t="str">
        <f>VLOOKUP(A283,'PUR-PARTY MASTER'!$B$6:$J$250,3,FALSE)</f>
        <v>27-Maharashatra</v>
      </c>
      <c r="G283" s="199" t="str">
        <f>VLOOKUP(A283,'PUR-PARTY MASTER'!$B$6:$J$250,4,FALSE)</f>
        <v>N</v>
      </c>
      <c r="H283" s="199" t="str">
        <f>VLOOKUP(A283,'PUR-PARTY MASTER'!$B$6:$J$250,5,FALSE)</f>
        <v>Regular</v>
      </c>
      <c r="I283" s="199">
        <f>VLOOKUP(A283,'PUR-PARTY MASTER'!$B$6:$J$250,6,FALSE)</f>
        <v>0</v>
      </c>
      <c r="J283" s="201">
        <v>18</v>
      </c>
      <c r="K283" s="400">
        <v>31350</v>
      </c>
      <c r="L283" s="202">
        <f t="shared" si="38"/>
        <v>0</v>
      </c>
      <c r="M283" s="202">
        <f t="shared" si="39"/>
        <v>2821.5</v>
      </c>
      <c r="N283" s="202">
        <f t="shared" si="40"/>
        <v>2821.5</v>
      </c>
      <c r="O283" s="8">
        <v>0</v>
      </c>
      <c r="P283" s="341" t="s">
        <v>177</v>
      </c>
      <c r="Q283" s="329">
        <f t="shared" si="41"/>
        <v>0</v>
      </c>
      <c r="R283" s="329">
        <f t="shared" si="42"/>
        <v>2821.5</v>
      </c>
      <c r="S283" s="329">
        <f t="shared" si="43"/>
        <v>2821.5</v>
      </c>
      <c r="T283" s="8">
        <f t="shared" si="44"/>
        <v>0</v>
      </c>
      <c r="U283" s="199">
        <f>VLOOKUP(A283,'PUR-PARTY MASTER'!$B$6:$J$250,7,FALSE)</f>
        <v>2</v>
      </c>
      <c r="V283" s="199" t="str">
        <f>VLOOKUP(A283,'PUR-PARTY MASTER'!$B$6:$J$250,8,FALSE)</f>
        <v>Local Pur</v>
      </c>
      <c r="W283" s="199" t="s">
        <v>894</v>
      </c>
      <c r="X283" s="404">
        <v>70071100</v>
      </c>
      <c r="Y283" s="201" t="str">
        <f>VLOOKUP(X283,'PUR-HSN MASTER'!$A$6:$D$247,2,FALSE)</f>
        <v>Lamineted glass</v>
      </c>
      <c r="Z283" s="201" t="str">
        <f>VLOOKUP(X283,'PUR-HSN MASTER'!$A$6:$D$247,3,FALSE)</f>
        <v>NOS-NUMBERS</v>
      </c>
      <c r="AA283" s="334" t="str">
        <f>VLOOKUP(X283,'PUR-HSN MASTER'!$A$6:$D$247,4,FALSE)</f>
        <v>Goods</v>
      </c>
      <c r="AB283" s="401">
        <v>33</v>
      </c>
    </row>
    <row r="284" spans="1:28" ht="14.4" x14ac:dyDescent="0.3">
      <c r="A284" s="429" t="s">
        <v>878</v>
      </c>
      <c r="B284" s="199" t="str">
        <f>VLOOKUP(A284,'PUR-PARTY MASTER'!$B$6:$J$250,2,FALSE)</f>
        <v>Swan Electricals</v>
      </c>
      <c r="C284" s="403">
        <v>303</v>
      </c>
      <c r="D284" s="398">
        <v>43159</v>
      </c>
      <c r="E284" s="329">
        <f t="shared" si="37"/>
        <v>19017.599999999999</v>
      </c>
      <c r="F284" s="199" t="str">
        <f>VLOOKUP(A284,'PUR-PARTY MASTER'!$B$6:$J$250,3,FALSE)</f>
        <v>27-Maharashatra</v>
      </c>
      <c r="G284" s="199" t="str">
        <f>VLOOKUP(A284,'PUR-PARTY MASTER'!$B$6:$J$250,4,FALSE)</f>
        <v>N</v>
      </c>
      <c r="H284" s="199" t="str">
        <f>VLOOKUP(A284,'PUR-PARTY MASTER'!$B$6:$J$250,5,FALSE)</f>
        <v>Regular</v>
      </c>
      <c r="I284" s="199">
        <f>VLOOKUP(A284,'PUR-PARTY MASTER'!$B$6:$J$250,6,FALSE)</f>
        <v>0</v>
      </c>
      <c r="J284" s="201">
        <v>12</v>
      </c>
      <c r="K284" s="400">
        <v>16980</v>
      </c>
      <c r="L284" s="202">
        <f t="shared" si="38"/>
        <v>0</v>
      </c>
      <c r="M284" s="202">
        <f t="shared" si="39"/>
        <v>1018.8</v>
      </c>
      <c r="N284" s="202">
        <f t="shared" si="40"/>
        <v>1018.8</v>
      </c>
      <c r="O284" s="8">
        <v>0</v>
      </c>
      <c r="P284" s="341" t="s">
        <v>177</v>
      </c>
      <c r="Q284" s="329">
        <f t="shared" si="41"/>
        <v>0</v>
      </c>
      <c r="R284" s="329">
        <f t="shared" si="42"/>
        <v>1018.8</v>
      </c>
      <c r="S284" s="329">
        <f t="shared" si="43"/>
        <v>1018.8</v>
      </c>
      <c r="T284" s="8">
        <f t="shared" si="44"/>
        <v>0</v>
      </c>
      <c r="U284" s="199">
        <f>VLOOKUP(A284,'PUR-PARTY MASTER'!$B$6:$J$250,7,FALSE)</f>
        <v>2</v>
      </c>
      <c r="V284" s="199" t="str">
        <f>VLOOKUP(A284,'PUR-PARTY MASTER'!$B$6:$J$250,8,FALSE)</f>
        <v>Local Pur</v>
      </c>
      <c r="W284" s="199" t="s">
        <v>902</v>
      </c>
      <c r="X284" s="404" t="s">
        <v>887</v>
      </c>
      <c r="Y284" s="201" t="str">
        <f>VLOOKUP(X284,'PUR-HSN MASTER'!$A$6:$D$247,2,FALSE)</f>
        <v>Led Lights</v>
      </c>
      <c r="Z284" s="201" t="str">
        <f>VLOOKUP(X284,'PUR-HSN MASTER'!$A$6:$D$247,3,FALSE)</f>
        <v>NOS-NUMBERS</v>
      </c>
      <c r="AA284" s="334" t="str">
        <f>VLOOKUP(X284,'PUR-HSN MASTER'!$A$6:$D$247,4,FALSE)</f>
        <v>Goods</v>
      </c>
      <c r="AB284" s="401">
        <v>60</v>
      </c>
    </row>
    <row r="285" spans="1:28" ht="14.4" x14ac:dyDescent="0.3">
      <c r="A285" s="429" t="s">
        <v>24</v>
      </c>
      <c r="B285" s="199" t="str">
        <f>VLOOKUP(A285,'PUR-PARTY MASTER'!$B$6:$J$250,2,FALSE)</f>
        <v>Tata Autocomp Systems LTD.(X1)</v>
      </c>
      <c r="C285" s="403" t="s">
        <v>1455</v>
      </c>
      <c r="D285" s="398">
        <v>43159</v>
      </c>
      <c r="E285" s="329">
        <f t="shared" si="37"/>
        <v>7696.3840000000009</v>
      </c>
      <c r="F285" s="199" t="str">
        <f>VLOOKUP(A285,'PUR-PARTY MASTER'!$B$6:$J$250,3,FALSE)</f>
        <v>27-Maharashatra</v>
      </c>
      <c r="G285" s="199" t="str">
        <f>VLOOKUP(A285,'PUR-PARTY MASTER'!$B$6:$J$250,4,FALSE)</f>
        <v>N</v>
      </c>
      <c r="H285" s="199" t="str">
        <f>VLOOKUP(A285,'PUR-PARTY MASTER'!$B$6:$J$250,5,FALSE)</f>
        <v>Regular</v>
      </c>
      <c r="I285" s="199">
        <f>VLOOKUP(A285,'PUR-PARTY MASTER'!$B$6:$J$250,6,FALSE)</f>
        <v>0</v>
      </c>
      <c r="J285" s="201">
        <v>28</v>
      </c>
      <c r="K285" s="400">
        <v>6012.8</v>
      </c>
      <c r="L285" s="202">
        <f t="shared" si="38"/>
        <v>0</v>
      </c>
      <c r="M285" s="202">
        <f t="shared" si="39"/>
        <v>841.79200000000014</v>
      </c>
      <c r="N285" s="202">
        <f t="shared" si="40"/>
        <v>841.79200000000014</v>
      </c>
      <c r="O285" s="8">
        <v>0</v>
      </c>
      <c r="P285" s="341" t="s">
        <v>177</v>
      </c>
      <c r="Q285" s="329">
        <f t="shared" si="41"/>
        <v>0</v>
      </c>
      <c r="R285" s="329">
        <f t="shared" si="42"/>
        <v>841.79200000000014</v>
      </c>
      <c r="S285" s="329">
        <f t="shared" si="43"/>
        <v>841.79200000000014</v>
      </c>
      <c r="T285" s="8">
        <f t="shared" si="44"/>
        <v>0</v>
      </c>
      <c r="U285" s="199">
        <f>VLOOKUP(A285,'PUR-PARTY MASTER'!$B$6:$J$250,7,FALSE)</f>
        <v>2</v>
      </c>
      <c r="V285" s="199" t="str">
        <f>VLOOKUP(A285,'PUR-PARTY MASTER'!$B$6:$J$250,8,FALSE)</f>
        <v>Local Pur</v>
      </c>
      <c r="W285" s="199" t="s">
        <v>897</v>
      </c>
      <c r="X285" s="404">
        <v>87089900</v>
      </c>
      <c r="Y285" s="201" t="str">
        <f>VLOOKUP(X285,'PUR-HSN MASTER'!$A$6:$D$247,2,FALSE)</f>
        <v>Parts &amp; Accessories Of Motor Vehicles Other</v>
      </c>
      <c r="Z285" s="201" t="str">
        <f>VLOOKUP(X285,'PUR-HSN MASTER'!$A$6:$D$247,3,FALSE)</f>
        <v>NOS-NUMBERS</v>
      </c>
      <c r="AA285" s="334" t="str">
        <f>VLOOKUP(X285,'PUR-HSN MASTER'!$A$6:$D$247,4,FALSE)</f>
        <v>Goods</v>
      </c>
      <c r="AB285" s="401">
        <v>40</v>
      </c>
    </row>
    <row r="286" spans="1:28" ht="14.4" x14ac:dyDescent="0.3">
      <c r="A286" s="429" t="s">
        <v>24</v>
      </c>
      <c r="B286" s="199" t="str">
        <f>VLOOKUP(A286,'PUR-PARTY MASTER'!$B$6:$J$250,2,FALSE)</f>
        <v>Tata Autocomp Systems LTD.(X1)</v>
      </c>
      <c r="C286" s="403" t="s">
        <v>1455</v>
      </c>
      <c r="D286" s="398">
        <v>43159</v>
      </c>
      <c r="E286" s="329">
        <f t="shared" si="37"/>
        <v>8003.5839999999998</v>
      </c>
      <c r="F286" s="199" t="str">
        <f>VLOOKUP(A286,'PUR-PARTY MASTER'!$B$6:$J$250,3,FALSE)</f>
        <v>27-Maharashatra</v>
      </c>
      <c r="G286" s="199" t="str">
        <f>VLOOKUP(A286,'PUR-PARTY MASTER'!$B$6:$J$250,4,FALSE)</f>
        <v>N</v>
      </c>
      <c r="H286" s="199" t="str">
        <f>VLOOKUP(A286,'PUR-PARTY MASTER'!$B$6:$J$250,5,FALSE)</f>
        <v>Regular</v>
      </c>
      <c r="I286" s="199">
        <f>VLOOKUP(A286,'PUR-PARTY MASTER'!$B$6:$J$250,6,FALSE)</f>
        <v>0</v>
      </c>
      <c r="J286" s="201">
        <v>28</v>
      </c>
      <c r="K286" s="400">
        <v>6252.8</v>
      </c>
      <c r="L286" s="202">
        <f t="shared" si="38"/>
        <v>0</v>
      </c>
      <c r="M286" s="202">
        <f t="shared" si="39"/>
        <v>875.39200000000005</v>
      </c>
      <c r="N286" s="202">
        <f t="shared" si="40"/>
        <v>875.39200000000005</v>
      </c>
      <c r="O286" s="8">
        <v>0</v>
      </c>
      <c r="P286" s="341" t="s">
        <v>177</v>
      </c>
      <c r="Q286" s="329">
        <f t="shared" si="41"/>
        <v>0</v>
      </c>
      <c r="R286" s="329">
        <f t="shared" si="42"/>
        <v>875.39200000000005</v>
      </c>
      <c r="S286" s="329">
        <f t="shared" si="43"/>
        <v>875.39200000000005</v>
      </c>
      <c r="T286" s="8">
        <f t="shared" si="44"/>
        <v>0</v>
      </c>
      <c r="U286" s="199">
        <f>VLOOKUP(A286,'PUR-PARTY MASTER'!$B$6:$J$250,7,FALSE)</f>
        <v>2</v>
      </c>
      <c r="V286" s="199" t="str">
        <f>VLOOKUP(A286,'PUR-PARTY MASTER'!$B$6:$J$250,8,FALSE)</f>
        <v>Local Pur</v>
      </c>
      <c r="W286" s="199" t="s">
        <v>897</v>
      </c>
      <c r="X286" s="404">
        <v>87082900</v>
      </c>
      <c r="Y286" s="201" t="str">
        <f>VLOOKUP(X286,'PUR-HSN MASTER'!$A$6:$D$247,2,FALSE)</f>
        <v>Parts &amp; Accessories Of Motor Vehicles Other</v>
      </c>
      <c r="Z286" s="201" t="str">
        <f>VLOOKUP(X286,'PUR-HSN MASTER'!$A$6:$D$247,3,FALSE)</f>
        <v>NOS-NUMBERS</v>
      </c>
      <c r="AA286" s="334" t="str">
        <f>VLOOKUP(X286,'PUR-HSN MASTER'!$A$6:$D$247,4,FALSE)</f>
        <v>Goods</v>
      </c>
      <c r="AB286" s="401">
        <v>40</v>
      </c>
    </row>
    <row r="287" spans="1:28" ht="14.4" x14ac:dyDescent="0.3">
      <c r="A287" s="429" t="s">
        <v>333</v>
      </c>
      <c r="B287" s="199" t="str">
        <f>VLOOKUP(A287,'PUR-PARTY MASTER'!$B$6:$J$250,2,FALSE)</f>
        <v>Aditya Enteprises</v>
      </c>
      <c r="C287" s="403">
        <v>5048</v>
      </c>
      <c r="D287" s="398">
        <v>43159</v>
      </c>
      <c r="E287" s="329">
        <f t="shared" si="37"/>
        <v>8138.4599999999991</v>
      </c>
      <c r="F287" s="199" t="str">
        <f>VLOOKUP(A287,'PUR-PARTY MASTER'!$B$6:$J$250,3,FALSE)</f>
        <v>27-Maharashatra</v>
      </c>
      <c r="G287" s="199" t="str">
        <f>VLOOKUP(A287,'PUR-PARTY MASTER'!$B$6:$J$250,4,FALSE)</f>
        <v>N</v>
      </c>
      <c r="H287" s="199" t="str">
        <f>VLOOKUP(A287,'PUR-PARTY MASTER'!$B$6:$J$250,5,FALSE)</f>
        <v>Regular</v>
      </c>
      <c r="I287" s="199">
        <f>VLOOKUP(A287,'PUR-PARTY MASTER'!$B$6:$J$250,6,FALSE)</f>
        <v>0</v>
      </c>
      <c r="J287" s="201">
        <v>18</v>
      </c>
      <c r="K287" s="400">
        <v>6897</v>
      </c>
      <c r="L287" s="202">
        <f t="shared" si="38"/>
        <v>0</v>
      </c>
      <c r="M287" s="202">
        <f t="shared" si="39"/>
        <v>620.73</v>
      </c>
      <c r="N287" s="202">
        <f t="shared" si="40"/>
        <v>620.73</v>
      </c>
      <c r="O287" s="8">
        <v>0</v>
      </c>
      <c r="P287" s="341" t="s">
        <v>177</v>
      </c>
      <c r="Q287" s="329">
        <f t="shared" si="41"/>
        <v>0</v>
      </c>
      <c r="R287" s="329">
        <f t="shared" si="42"/>
        <v>620.73</v>
      </c>
      <c r="S287" s="329">
        <f t="shared" si="43"/>
        <v>620.73</v>
      </c>
      <c r="T287" s="8">
        <f t="shared" si="44"/>
        <v>0</v>
      </c>
      <c r="U287" s="199">
        <f>VLOOKUP(A287,'PUR-PARTY MASTER'!$B$6:$J$250,7,FALSE)</f>
        <v>2</v>
      </c>
      <c r="V287" s="199" t="str">
        <f>VLOOKUP(A287,'PUR-PARTY MASTER'!$B$6:$J$250,8,FALSE)</f>
        <v>Local Pur</v>
      </c>
      <c r="W287" s="199" t="s">
        <v>894</v>
      </c>
      <c r="X287" s="404">
        <v>85129000</v>
      </c>
      <c r="Y287" s="201" t="str">
        <f>VLOOKUP(X287,'PUR-HSN MASTER'!$A$6:$D$247,2,FALSE)</f>
        <v>Lighting &amp; Fitting</v>
      </c>
      <c r="Z287" s="201" t="str">
        <f>VLOOKUP(X287,'PUR-HSN MASTER'!$A$6:$D$247,3,FALSE)</f>
        <v>NOS-NUMBERS</v>
      </c>
      <c r="AA287" s="334" t="str">
        <f>VLOOKUP(X287,'PUR-HSN MASTER'!$A$6:$D$247,4,FALSE)</f>
        <v>Goods</v>
      </c>
      <c r="AB287" s="401">
        <v>300</v>
      </c>
    </row>
    <row r="288" spans="1:28" ht="14.4" x14ac:dyDescent="0.3">
      <c r="A288" s="429" t="s">
        <v>374</v>
      </c>
      <c r="B288" s="199" t="str">
        <f>VLOOKUP(A288,'PUR-PARTY MASTER'!$B$6:$J$250,2,FALSE)</f>
        <v>Galva Decoparts Pvt.Ltd</v>
      </c>
      <c r="C288" s="403">
        <v>2633</v>
      </c>
      <c r="D288" s="398">
        <v>43159</v>
      </c>
      <c r="E288" s="329">
        <f t="shared" si="37"/>
        <v>58281.984000000011</v>
      </c>
      <c r="F288" s="199" t="str">
        <f>VLOOKUP(A288,'PUR-PARTY MASTER'!$B$6:$J$250,3,FALSE)</f>
        <v>27-Maharashatra</v>
      </c>
      <c r="G288" s="199" t="str">
        <f>VLOOKUP(A288,'PUR-PARTY MASTER'!$B$6:$J$250,4,FALSE)</f>
        <v>N</v>
      </c>
      <c r="H288" s="199" t="str">
        <f>VLOOKUP(A288,'PUR-PARTY MASTER'!$B$6:$J$250,5,FALSE)</f>
        <v>Regular</v>
      </c>
      <c r="I288" s="199">
        <f>VLOOKUP(A288,'PUR-PARTY MASTER'!$B$6:$J$250,6,FALSE)</f>
        <v>0</v>
      </c>
      <c r="J288" s="201">
        <v>28</v>
      </c>
      <c r="K288" s="400">
        <v>45532.800000000003</v>
      </c>
      <c r="L288" s="202">
        <f t="shared" si="38"/>
        <v>0</v>
      </c>
      <c r="M288" s="202">
        <f t="shared" si="39"/>
        <v>6374.5920000000015</v>
      </c>
      <c r="N288" s="202">
        <f t="shared" si="40"/>
        <v>6374.5920000000015</v>
      </c>
      <c r="O288" s="8">
        <v>0</v>
      </c>
      <c r="P288" s="341" t="s">
        <v>177</v>
      </c>
      <c r="Q288" s="329">
        <f t="shared" si="41"/>
        <v>0</v>
      </c>
      <c r="R288" s="329">
        <f t="shared" si="42"/>
        <v>6374.5920000000015</v>
      </c>
      <c r="S288" s="329">
        <f t="shared" si="43"/>
        <v>6374.5920000000015</v>
      </c>
      <c r="T288" s="8">
        <f t="shared" si="44"/>
        <v>0</v>
      </c>
      <c r="U288" s="199">
        <f>VLOOKUP(A288,'PUR-PARTY MASTER'!$B$6:$J$250,7,FALSE)</f>
        <v>2</v>
      </c>
      <c r="V288" s="199" t="str">
        <f>VLOOKUP(A288,'PUR-PARTY MASTER'!$B$6:$J$250,8,FALSE)</f>
        <v>Local Pur</v>
      </c>
      <c r="W288" s="199" t="s">
        <v>897</v>
      </c>
      <c r="X288" s="404">
        <v>87089900</v>
      </c>
      <c r="Y288" s="201" t="str">
        <f>VLOOKUP(X288,'PUR-HSN MASTER'!$A$6:$D$247,2,FALSE)</f>
        <v>Parts &amp; Accessories Of Motor Vehicles Other</v>
      </c>
      <c r="Z288" s="201" t="str">
        <f>VLOOKUP(X288,'PUR-HSN MASTER'!$A$6:$D$247,3,FALSE)</f>
        <v>NOS-NUMBERS</v>
      </c>
      <c r="AA288" s="334" t="str">
        <f>VLOOKUP(X288,'PUR-HSN MASTER'!$A$6:$D$247,4,FALSE)</f>
        <v>Goods</v>
      </c>
      <c r="AB288" s="401">
        <v>2040</v>
      </c>
    </row>
    <row r="289" spans="1:28" ht="14.4" x14ac:dyDescent="0.3">
      <c r="A289" s="429" t="s">
        <v>27</v>
      </c>
      <c r="B289" s="199" t="str">
        <f>VLOOKUP(A289,'PUR-PARTY MASTER'!$B$6:$J$250,2,FALSE)</f>
        <v>Rinder India Pvt Ltd.</v>
      </c>
      <c r="C289" s="403">
        <v>2701824419</v>
      </c>
      <c r="D289" s="398">
        <v>43159</v>
      </c>
      <c r="E289" s="329">
        <f t="shared" si="37"/>
        <v>40718.495999999999</v>
      </c>
      <c r="F289" s="199" t="str">
        <f>VLOOKUP(A289,'PUR-PARTY MASTER'!$B$6:$J$250,3,FALSE)</f>
        <v>27-Maharashatra</v>
      </c>
      <c r="G289" s="199" t="str">
        <f>VLOOKUP(A289,'PUR-PARTY MASTER'!$B$6:$J$250,4,FALSE)</f>
        <v>N</v>
      </c>
      <c r="H289" s="199" t="str">
        <f>VLOOKUP(A289,'PUR-PARTY MASTER'!$B$6:$J$250,5,FALSE)</f>
        <v>Regular</v>
      </c>
      <c r="I289" s="199">
        <f>VLOOKUP(A289,'PUR-PARTY MASTER'!$B$6:$J$250,6,FALSE)</f>
        <v>0</v>
      </c>
      <c r="J289" s="201">
        <v>18</v>
      </c>
      <c r="K289" s="400">
        <v>34507.199999999997</v>
      </c>
      <c r="L289" s="202">
        <f t="shared" si="38"/>
        <v>0</v>
      </c>
      <c r="M289" s="202">
        <f t="shared" si="39"/>
        <v>3105.6479999999997</v>
      </c>
      <c r="N289" s="202">
        <f t="shared" si="40"/>
        <v>3105.6479999999997</v>
      </c>
      <c r="O289" s="8">
        <v>0</v>
      </c>
      <c r="P289" s="341" t="s">
        <v>177</v>
      </c>
      <c r="Q289" s="329">
        <f t="shared" si="41"/>
        <v>0</v>
      </c>
      <c r="R289" s="329">
        <f t="shared" si="42"/>
        <v>3105.6479999999997</v>
      </c>
      <c r="S289" s="329">
        <f t="shared" si="43"/>
        <v>3105.6479999999997</v>
      </c>
      <c r="T289" s="8">
        <f t="shared" si="44"/>
        <v>0</v>
      </c>
      <c r="U289" s="199">
        <f>VLOOKUP(A289,'PUR-PARTY MASTER'!$B$6:$J$250,7,FALSE)</f>
        <v>2</v>
      </c>
      <c r="V289" s="199" t="str">
        <f>VLOOKUP(A289,'PUR-PARTY MASTER'!$B$6:$J$250,8,FALSE)</f>
        <v>Local Pur</v>
      </c>
      <c r="W289" s="199" t="s">
        <v>894</v>
      </c>
      <c r="X289" s="404">
        <v>85129000</v>
      </c>
      <c r="Y289" s="201" t="str">
        <f>VLOOKUP(X289,'PUR-HSN MASTER'!$A$6:$D$247,2,FALSE)</f>
        <v>Lighting &amp; Fitting</v>
      </c>
      <c r="Z289" s="201" t="str">
        <f>VLOOKUP(X289,'PUR-HSN MASTER'!$A$6:$D$247,3,FALSE)</f>
        <v>NOS-NUMBERS</v>
      </c>
      <c r="AA289" s="334" t="str">
        <f>VLOOKUP(X289,'PUR-HSN MASTER'!$A$6:$D$247,4,FALSE)</f>
        <v>Goods</v>
      </c>
      <c r="AB289" s="401">
        <v>3120</v>
      </c>
    </row>
    <row r="290" spans="1:28" ht="14.4" x14ac:dyDescent="0.3">
      <c r="A290" s="429" t="s">
        <v>335</v>
      </c>
      <c r="B290" s="199" t="str">
        <f>VLOOKUP(A290,'PUR-PARTY MASTER'!$B$6:$J$250,2,FALSE)</f>
        <v>Atharva Polymers Pvt Ltd,</v>
      </c>
      <c r="C290" s="403" t="s">
        <v>1456</v>
      </c>
      <c r="D290" s="398">
        <v>43159</v>
      </c>
      <c r="E290" s="329">
        <f t="shared" si="37"/>
        <v>62132.73599999999</v>
      </c>
      <c r="F290" s="199" t="str">
        <f>VLOOKUP(A290,'PUR-PARTY MASTER'!$B$6:$J$250,3,FALSE)</f>
        <v>27-Maharashatra</v>
      </c>
      <c r="G290" s="199" t="str">
        <f>VLOOKUP(A290,'PUR-PARTY MASTER'!$B$6:$J$250,4,FALSE)</f>
        <v>N</v>
      </c>
      <c r="H290" s="199" t="str">
        <f>VLOOKUP(A290,'PUR-PARTY MASTER'!$B$6:$J$250,5,FALSE)</f>
        <v>Regular</v>
      </c>
      <c r="I290" s="199">
        <f>VLOOKUP(A290,'PUR-PARTY MASTER'!$B$6:$J$250,6,FALSE)</f>
        <v>0</v>
      </c>
      <c r="J290" s="201">
        <v>28</v>
      </c>
      <c r="K290" s="400">
        <f>48421.5+119.7</f>
        <v>48541.2</v>
      </c>
      <c r="L290" s="202">
        <f t="shared" si="38"/>
        <v>0</v>
      </c>
      <c r="M290" s="202">
        <f t="shared" si="39"/>
        <v>6795.768</v>
      </c>
      <c r="N290" s="202">
        <f t="shared" si="40"/>
        <v>6795.768</v>
      </c>
      <c r="O290" s="8">
        <v>0</v>
      </c>
      <c r="P290" s="341" t="s">
        <v>177</v>
      </c>
      <c r="Q290" s="329">
        <f t="shared" si="41"/>
        <v>0</v>
      </c>
      <c r="R290" s="329">
        <f t="shared" si="42"/>
        <v>6795.768</v>
      </c>
      <c r="S290" s="329">
        <f t="shared" si="43"/>
        <v>6795.768</v>
      </c>
      <c r="T290" s="8">
        <f t="shared" si="44"/>
        <v>0</v>
      </c>
      <c r="U290" s="199">
        <f>VLOOKUP(A290,'PUR-PARTY MASTER'!$B$6:$J$250,7,FALSE)</f>
        <v>2</v>
      </c>
      <c r="V290" s="199" t="str">
        <f>VLOOKUP(A290,'PUR-PARTY MASTER'!$B$6:$J$250,8,FALSE)</f>
        <v>Local Pur</v>
      </c>
      <c r="W290" s="199" t="s">
        <v>897</v>
      </c>
      <c r="X290" s="404">
        <v>87141900</v>
      </c>
      <c r="Y290" s="201" t="str">
        <f>VLOOKUP(X290,'PUR-HSN MASTER'!$A$6:$D$247,2,FALSE)</f>
        <v>Parts &amp; Accessories Of Motor Vehicles Other</v>
      </c>
      <c r="Z290" s="201" t="str">
        <f>VLOOKUP(X290,'PUR-HSN MASTER'!$A$6:$D$247,3,FALSE)</f>
        <v>KLR-KILOLITRE</v>
      </c>
      <c r="AA290" s="334" t="str">
        <f>VLOOKUP(X290,'PUR-HSN MASTER'!$A$6:$D$247,4,FALSE)</f>
        <v>Goods</v>
      </c>
      <c r="AB290" s="401">
        <v>1140</v>
      </c>
    </row>
    <row r="291" spans="1:28" ht="14.4" x14ac:dyDescent="0.3">
      <c r="A291" s="429" t="s">
        <v>335</v>
      </c>
      <c r="B291" s="199" t="str">
        <f>VLOOKUP(A291,'PUR-PARTY MASTER'!$B$6:$J$250,2,FALSE)</f>
        <v>Atharva Polymers Pvt Ltd,</v>
      </c>
      <c r="C291" s="403" t="s">
        <v>1457</v>
      </c>
      <c r="D291" s="398">
        <v>43159</v>
      </c>
      <c r="E291" s="329">
        <f t="shared" si="37"/>
        <v>49868.531200000005</v>
      </c>
      <c r="F291" s="199" t="str">
        <f>VLOOKUP(A291,'PUR-PARTY MASTER'!$B$6:$J$250,3,FALSE)</f>
        <v>27-Maharashatra</v>
      </c>
      <c r="G291" s="199" t="str">
        <f>VLOOKUP(A291,'PUR-PARTY MASTER'!$B$6:$J$250,4,FALSE)</f>
        <v>N</v>
      </c>
      <c r="H291" s="199" t="str">
        <f>VLOOKUP(A291,'PUR-PARTY MASTER'!$B$6:$J$250,5,FALSE)</f>
        <v>Regular</v>
      </c>
      <c r="I291" s="199">
        <f>VLOOKUP(A291,'PUR-PARTY MASTER'!$B$6:$J$250,6,FALSE)</f>
        <v>0</v>
      </c>
      <c r="J291" s="201">
        <v>28</v>
      </c>
      <c r="K291" s="400">
        <f>38863.75+96.04</f>
        <v>38959.79</v>
      </c>
      <c r="L291" s="202">
        <f t="shared" si="38"/>
        <v>0</v>
      </c>
      <c r="M291" s="202">
        <f t="shared" si="39"/>
        <v>5454.3706000000002</v>
      </c>
      <c r="N291" s="202">
        <f t="shared" si="40"/>
        <v>5454.3706000000002</v>
      </c>
      <c r="O291" s="8">
        <v>0</v>
      </c>
      <c r="P291" s="341" t="s">
        <v>177</v>
      </c>
      <c r="Q291" s="329">
        <f t="shared" si="41"/>
        <v>0</v>
      </c>
      <c r="R291" s="329">
        <f t="shared" si="42"/>
        <v>5454.3706000000002</v>
      </c>
      <c r="S291" s="329">
        <f t="shared" si="43"/>
        <v>5454.3706000000002</v>
      </c>
      <c r="T291" s="8">
        <f t="shared" si="44"/>
        <v>0</v>
      </c>
      <c r="U291" s="199">
        <f>VLOOKUP(A291,'PUR-PARTY MASTER'!$B$6:$J$250,7,FALSE)</f>
        <v>2</v>
      </c>
      <c r="V291" s="199" t="str">
        <f>VLOOKUP(A291,'PUR-PARTY MASTER'!$B$6:$J$250,8,FALSE)</f>
        <v>Local Pur</v>
      </c>
      <c r="W291" s="199" t="s">
        <v>897</v>
      </c>
      <c r="X291" s="404">
        <v>87141900</v>
      </c>
      <c r="Y291" s="201" t="str">
        <f>VLOOKUP(X291,'PUR-HSN MASTER'!$A$6:$D$247,2,FALSE)</f>
        <v>Parts &amp; Accessories Of Motor Vehicles Other</v>
      </c>
      <c r="Z291" s="201" t="str">
        <f>VLOOKUP(X291,'PUR-HSN MASTER'!$A$6:$D$247,3,FALSE)</f>
        <v>KLR-KILOLITRE</v>
      </c>
      <c r="AA291" s="334" t="str">
        <f>VLOOKUP(X291,'PUR-HSN MASTER'!$A$6:$D$247,4,FALSE)</f>
        <v>Goods</v>
      </c>
      <c r="AB291" s="401">
        <v>915</v>
      </c>
    </row>
    <row r="292" spans="1:28" ht="14.4" x14ac:dyDescent="0.3">
      <c r="A292" s="429" t="s">
        <v>23</v>
      </c>
      <c r="B292" s="199" t="str">
        <f>VLOOKUP(A292,'PUR-PARTY MASTER'!$B$6:$J$250,2,FALSE)</f>
        <v>Varroc Polymers Pvt Ltd,</v>
      </c>
      <c r="C292" s="403">
        <v>2041077305</v>
      </c>
      <c r="D292" s="398">
        <v>43159</v>
      </c>
      <c r="E292" s="329">
        <f t="shared" si="37"/>
        <v>14278</v>
      </c>
      <c r="F292" s="199" t="str">
        <f>VLOOKUP(A292,'PUR-PARTY MASTER'!$B$6:$J$250,3,FALSE)</f>
        <v>27-Maharashatra</v>
      </c>
      <c r="G292" s="199" t="str">
        <f>VLOOKUP(A292,'PUR-PARTY MASTER'!$B$6:$J$250,4,FALSE)</f>
        <v>N</v>
      </c>
      <c r="H292" s="199" t="str">
        <f>VLOOKUP(A292,'PUR-PARTY MASTER'!$B$6:$J$250,5,FALSE)</f>
        <v>Regular</v>
      </c>
      <c r="I292" s="199">
        <f>VLOOKUP(A292,'PUR-PARTY MASTER'!$B$6:$J$250,6,FALSE)</f>
        <v>0</v>
      </c>
      <c r="J292" s="201">
        <v>18</v>
      </c>
      <c r="K292" s="400">
        <v>12100</v>
      </c>
      <c r="L292" s="202">
        <f t="shared" si="38"/>
        <v>0</v>
      </c>
      <c r="M292" s="202">
        <f t="shared" si="39"/>
        <v>1089</v>
      </c>
      <c r="N292" s="202">
        <f t="shared" si="40"/>
        <v>1089</v>
      </c>
      <c r="O292" s="8">
        <v>0</v>
      </c>
      <c r="P292" s="341" t="s">
        <v>177</v>
      </c>
      <c r="Q292" s="329">
        <f t="shared" si="41"/>
        <v>0</v>
      </c>
      <c r="R292" s="329">
        <f t="shared" si="42"/>
        <v>1089</v>
      </c>
      <c r="S292" s="329">
        <f t="shared" si="43"/>
        <v>1089</v>
      </c>
      <c r="T292" s="8">
        <f t="shared" si="44"/>
        <v>0</v>
      </c>
      <c r="U292" s="199">
        <f>VLOOKUP(A292,'PUR-PARTY MASTER'!$B$6:$J$250,7,FALSE)</f>
        <v>2</v>
      </c>
      <c r="V292" s="199" t="str">
        <f>VLOOKUP(A292,'PUR-PARTY MASTER'!$B$6:$J$250,8,FALSE)</f>
        <v>Local Pur</v>
      </c>
      <c r="W292" s="199" t="s">
        <v>894</v>
      </c>
      <c r="X292" s="404">
        <v>39199010</v>
      </c>
      <c r="Y292" s="201" t="str">
        <f>VLOOKUP(X292,'PUR-HSN MASTER'!$A$6:$D$247,2,FALSE)</f>
        <v>Seat Tapes</v>
      </c>
      <c r="Z292" s="201" t="str">
        <f>VLOOKUP(X292,'PUR-HSN MASTER'!$A$6:$D$247,3,FALSE)</f>
        <v>NOS-NUMBERS</v>
      </c>
      <c r="AA292" s="334" t="str">
        <f>VLOOKUP(X292,'PUR-HSN MASTER'!$A$6:$D$247,4,FALSE)</f>
        <v>Goods</v>
      </c>
      <c r="AB292" s="401">
        <v>10000</v>
      </c>
    </row>
    <row r="293" spans="1:28" ht="14.4" x14ac:dyDescent="0.3">
      <c r="A293" s="429" t="s">
        <v>23</v>
      </c>
      <c r="B293" s="199" t="str">
        <f>VLOOKUP(A293,'PUR-PARTY MASTER'!$B$6:$J$250,2,FALSE)</f>
        <v>Varroc Polymers Pvt Ltd,</v>
      </c>
      <c r="C293" s="403">
        <v>2041077306</v>
      </c>
      <c r="D293" s="398">
        <v>43159</v>
      </c>
      <c r="E293" s="329">
        <f t="shared" si="37"/>
        <v>14278</v>
      </c>
      <c r="F293" s="199" t="str">
        <f>VLOOKUP(A293,'PUR-PARTY MASTER'!$B$6:$J$250,3,FALSE)</f>
        <v>27-Maharashatra</v>
      </c>
      <c r="G293" s="199" t="str">
        <f>VLOOKUP(A293,'PUR-PARTY MASTER'!$B$6:$J$250,4,FALSE)</f>
        <v>N</v>
      </c>
      <c r="H293" s="199" t="str">
        <f>VLOOKUP(A293,'PUR-PARTY MASTER'!$B$6:$J$250,5,FALSE)</f>
        <v>Regular</v>
      </c>
      <c r="I293" s="199">
        <f>VLOOKUP(A293,'PUR-PARTY MASTER'!$B$6:$J$250,6,FALSE)</f>
        <v>0</v>
      </c>
      <c r="J293" s="201">
        <v>18</v>
      </c>
      <c r="K293" s="400">
        <v>12100</v>
      </c>
      <c r="L293" s="202">
        <f t="shared" si="38"/>
        <v>0</v>
      </c>
      <c r="M293" s="202">
        <f t="shared" si="39"/>
        <v>1089</v>
      </c>
      <c r="N293" s="202">
        <f t="shared" si="40"/>
        <v>1089</v>
      </c>
      <c r="O293" s="8">
        <v>0</v>
      </c>
      <c r="P293" s="341" t="s">
        <v>177</v>
      </c>
      <c r="Q293" s="329">
        <f t="shared" si="41"/>
        <v>0</v>
      </c>
      <c r="R293" s="329">
        <f t="shared" si="42"/>
        <v>1089</v>
      </c>
      <c r="S293" s="329">
        <f t="shared" si="43"/>
        <v>1089</v>
      </c>
      <c r="T293" s="8">
        <f t="shared" si="44"/>
        <v>0</v>
      </c>
      <c r="U293" s="199">
        <f>VLOOKUP(A293,'PUR-PARTY MASTER'!$B$6:$J$250,7,FALSE)</f>
        <v>2</v>
      </c>
      <c r="V293" s="199" t="str">
        <f>VLOOKUP(A293,'PUR-PARTY MASTER'!$B$6:$J$250,8,FALSE)</f>
        <v>Local Pur</v>
      </c>
      <c r="W293" s="199" t="s">
        <v>894</v>
      </c>
      <c r="X293" s="404">
        <v>39199010</v>
      </c>
      <c r="Y293" s="201" t="str">
        <f>VLOOKUP(X293,'PUR-HSN MASTER'!$A$6:$D$247,2,FALSE)</f>
        <v>Seat Tapes</v>
      </c>
      <c r="Z293" s="201" t="str">
        <f>VLOOKUP(X293,'PUR-HSN MASTER'!$A$6:$D$247,3,FALSE)</f>
        <v>NOS-NUMBERS</v>
      </c>
      <c r="AA293" s="334" t="str">
        <f>VLOOKUP(X293,'PUR-HSN MASTER'!$A$6:$D$247,4,FALSE)</f>
        <v>Goods</v>
      </c>
      <c r="AB293" s="401">
        <v>10000</v>
      </c>
    </row>
    <row r="294" spans="1:28" ht="14.4" x14ac:dyDescent="0.3">
      <c r="A294" s="429" t="s">
        <v>874</v>
      </c>
      <c r="B294" s="199" t="str">
        <f>VLOOKUP(A294,'PUR-PARTY MASTER'!$B$6:$J$250,2,FALSE)</f>
        <v>Gayatri Aqua Solutions</v>
      </c>
      <c r="C294" s="403" t="s">
        <v>1458</v>
      </c>
      <c r="D294" s="398">
        <v>43159</v>
      </c>
      <c r="E294" s="329">
        <f t="shared" si="37"/>
        <v>50310.102399999996</v>
      </c>
      <c r="F294" s="199" t="str">
        <f>VLOOKUP(A294,'PUR-PARTY MASTER'!$B$6:$J$250,3,FALSE)</f>
        <v>27-Maharashatra</v>
      </c>
      <c r="G294" s="199" t="str">
        <f>VLOOKUP(A294,'PUR-PARTY MASTER'!$B$6:$J$250,4,FALSE)</f>
        <v>N</v>
      </c>
      <c r="H294" s="199" t="str">
        <f>VLOOKUP(A294,'PUR-PARTY MASTER'!$B$6:$J$250,5,FALSE)</f>
        <v>Regular</v>
      </c>
      <c r="I294" s="199">
        <f>VLOOKUP(A294,'PUR-PARTY MASTER'!$B$6:$J$250,6,FALSE)</f>
        <v>0</v>
      </c>
      <c r="J294" s="201">
        <v>18</v>
      </c>
      <c r="K294" s="400">
        <v>42635.68</v>
      </c>
      <c r="L294" s="202">
        <f t="shared" si="38"/>
        <v>0</v>
      </c>
      <c r="M294" s="202">
        <f t="shared" si="39"/>
        <v>3837.2111999999997</v>
      </c>
      <c r="N294" s="202">
        <f t="shared" si="40"/>
        <v>3837.2111999999997</v>
      </c>
      <c r="O294" s="8">
        <v>0</v>
      </c>
      <c r="P294" s="341" t="s">
        <v>177</v>
      </c>
      <c r="Q294" s="329">
        <f t="shared" si="41"/>
        <v>0</v>
      </c>
      <c r="R294" s="329">
        <f t="shared" si="42"/>
        <v>3837.2111999999997</v>
      </c>
      <c r="S294" s="329">
        <f t="shared" si="43"/>
        <v>3837.2111999999997</v>
      </c>
      <c r="T294" s="8">
        <f t="shared" si="44"/>
        <v>0</v>
      </c>
      <c r="U294" s="199">
        <f>VLOOKUP(A294,'PUR-PARTY MASTER'!$B$6:$J$250,7,FALSE)</f>
        <v>2</v>
      </c>
      <c r="V294" s="199" t="str">
        <f>VLOOKUP(A294,'PUR-PARTY MASTER'!$B$6:$J$250,8,FALSE)</f>
        <v>Local Pur</v>
      </c>
      <c r="W294" s="199" t="s">
        <v>894</v>
      </c>
      <c r="X294" s="404">
        <v>3917</v>
      </c>
      <c r="Y294" s="201" t="str">
        <f>VLOOKUP(X294,'PUR-HSN MASTER'!$A$6:$D$247,2,FALSE)</f>
        <v>Tubes Pipes &amp; Hoses</v>
      </c>
      <c r="Z294" s="201" t="str">
        <f>VLOOKUP(X294,'PUR-HSN MASTER'!$A$6:$D$247,3,FALSE)</f>
        <v>NOS-NUMBERS</v>
      </c>
      <c r="AA294" s="334" t="str">
        <f>VLOOKUP(X294,'PUR-HSN MASTER'!$A$6:$D$247,4,FALSE)</f>
        <v>Goods</v>
      </c>
      <c r="AB294" s="401">
        <v>223</v>
      </c>
    </row>
    <row r="295" spans="1:28" ht="14.4" x14ac:dyDescent="0.3">
      <c r="A295" s="429" t="s">
        <v>874</v>
      </c>
      <c r="B295" s="199" t="str">
        <f>VLOOKUP(A295,'PUR-PARTY MASTER'!$B$6:$J$250,2,FALSE)</f>
        <v>Gayatri Aqua Solutions</v>
      </c>
      <c r="C295" s="403" t="s">
        <v>1458</v>
      </c>
      <c r="D295" s="398">
        <v>43159</v>
      </c>
      <c r="E295" s="329">
        <f t="shared" si="37"/>
        <v>1675.6</v>
      </c>
      <c r="F295" s="199" t="str">
        <f>VLOOKUP(A295,'PUR-PARTY MASTER'!$B$6:$J$250,3,FALSE)</f>
        <v>27-Maharashatra</v>
      </c>
      <c r="G295" s="199" t="str">
        <f>VLOOKUP(A295,'PUR-PARTY MASTER'!$B$6:$J$250,4,FALSE)</f>
        <v>N</v>
      </c>
      <c r="H295" s="199" t="str">
        <f>VLOOKUP(A295,'PUR-PARTY MASTER'!$B$6:$J$250,5,FALSE)</f>
        <v>Regular</v>
      </c>
      <c r="I295" s="199">
        <f>VLOOKUP(A295,'PUR-PARTY MASTER'!$B$6:$J$250,6,FALSE)</f>
        <v>0</v>
      </c>
      <c r="J295" s="201">
        <v>18</v>
      </c>
      <c r="K295" s="400">
        <v>1420</v>
      </c>
      <c r="L295" s="202">
        <f t="shared" si="38"/>
        <v>0</v>
      </c>
      <c r="M295" s="202">
        <f t="shared" si="39"/>
        <v>127.8</v>
      </c>
      <c r="N295" s="202">
        <f t="shared" si="40"/>
        <v>127.8</v>
      </c>
      <c r="O295" s="8">
        <v>0</v>
      </c>
      <c r="P295" s="341" t="s">
        <v>177</v>
      </c>
      <c r="Q295" s="329">
        <f t="shared" si="41"/>
        <v>0</v>
      </c>
      <c r="R295" s="329">
        <f t="shared" si="42"/>
        <v>127.8</v>
      </c>
      <c r="S295" s="329">
        <f t="shared" si="43"/>
        <v>127.8</v>
      </c>
      <c r="T295" s="8">
        <f t="shared" si="44"/>
        <v>0</v>
      </c>
      <c r="U295" s="199">
        <f>VLOOKUP(A295,'PUR-PARTY MASTER'!$B$6:$J$250,7,FALSE)</f>
        <v>2</v>
      </c>
      <c r="V295" s="199" t="str">
        <f>VLOOKUP(A295,'PUR-PARTY MASTER'!$B$6:$J$250,8,FALSE)</f>
        <v>Local Pur</v>
      </c>
      <c r="W295" s="199" t="s">
        <v>894</v>
      </c>
      <c r="X295" s="404">
        <v>8481</v>
      </c>
      <c r="Y295" s="201" t="str">
        <f>VLOOKUP(X295,'PUR-HSN MASTER'!$A$6:$D$247,2,FALSE)</f>
        <v>valves</v>
      </c>
      <c r="Z295" s="201" t="str">
        <f>VLOOKUP(X295,'PUR-HSN MASTER'!$A$6:$D$247,3,FALSE)</f>
        <v>NOS-NUMBERS</v>
      </c>
      <c r="AA295" s="334" t="str">
        <f>VLOOKUP(X295,'PUR-HSN MASTER'!$A$6:$D$247,4,FALSE)</f>
        <v>Goods</v>
      </c>
      <c r="AB295" s="401">
        <v>6</v>
      </c>
    </row>
    <row r="296" spans="1:28" ht="14.4" x14ac:dyDescent="0.3">
      <c r="A296" s="429" t="s">
        <v>874</v>
      </c>
      <c r="B296" s="199" t="str">
        <f>VLOOKUP(A296,'PUR-PARTY MASTER'!$B$6:$J$250,2,FALSE)</f>
        <v>Gayatri Aqua Solutions</v>
      </c>
      <c r="C296" s="403" t="s">
        <v>1458</v>
      </c>
      <c r="D296" s="398">
        <v>43159</v>
      </c>
      <c r="E296" s="329">
        <f t="shared" si="37"/>
        <v>618.08400000000006</v>
      </c>
      <c r="F296" s="199" t="str">
        <f>VLOOKUP(A296,'PUR-PARTY MASTER'!$B$6:$J$250,3,FALSE)</f>
        <v>27-Maharashatra</v>
      </c>
      <c r="G296" s="199" t="str">
        <f>VLOOKUP(A296,'PUR-PARTY MASTER'!$B$6:$J$250,4,FALSE)</f>
        <v>N</v>
      </c>
      <c r="H296" s="199" t="str">
        <f>VLOOKUP(A296,'PUR-PARTY MASTER'!$B$6:$J$250,5,FALSE)</f>
        <v>Regular</v>
      </c>
      <c r="I296" s="199">
        <f>VLOOKUP(A296,'PUR-PARTY MASTER'!$B$6:$J$250,6,FALSE)</f>
        <v>0</v>
      </c>
      <c r="J296" s="201">
        <v>18</v>
      </c>
      <c r="K296" s="400">
        <v>523.79999999999995</v>
      </c>
      <c r="L296" s="202">
        <f t="shared" si="38"/>
        <v>0</v>
      </c>
      <c r="M296" s="202">
        <f t="shared" si="39"/>
        <v>47.141999999999996</v>
      </c>
      <c r="N296" s="202">
        <f t="shared" si="40"/>
        <v>47.141999999999996</v>
      </c>
      <c r="O296" s="8">
        <v>0</v>
      </c>
      <c r="P296" s="341" t="s">
        <v>177</v>
      </c>
      <c r="Q296" s="329">
        <f t="shared" si="41"/>
        <v>0</v>
      </c>
      <c r="R296" s="329">
        <f t="shared" si="42"/>
        <v>47.141999999999996</v>
      </c>
      <c r="S296" s="329">
        <f t="shared" si="43"/>
        <v>47.141999999999996</v>
      </c>
      <c r="T296" s="8">
        <f t="shared" si="44"/>
        <v>0</v>
      </c>
      <c r="U296" s="199">
        <f>VLOOKUP(A296,'PUR-PARTY MASTER'!$B$6:$J$250,7,FALSE)</f>
        <v>2</v>
      </c>
      <c r="V296" s="199" t="str">
        <f>VLOOKUP(A296,'PUR-PARTY MASTER'!$B$6:$J$250,8,FALSE)</f>
        <v>Local Pur</v>
      </c>
      <c r="W296" s="199" t="s">
        <v>894</v>
      </c>
      <c r="X296" s="404">
        <v>7318</v>
      </c>
      <c r="Y296" s="201" t="str">
        <f>VLOOKUP(X296,'PUR-HSN MASTER'!$A$6:$D$247,2,FALSE)</f>
        <v>including spring washers</v>
      </c>
      <c r="Z296" s="201" t="str">
        <f>VLOOKUP(X296,'PUR-HSN MASTER'!$A$6:$D$247,3,FALSE)</f>
        <v>NOS-NUMBERS</v>
      </c>
      <c r="AA296" s="334" t="str">
        <f>VLOOKUP(X296,'PUR-HSN MASTER'!$A$6:$D$247,4,FALSE)</f>
        <v>Goods</v>
      </c>
      <c r="AB296" s="401">
        <v>6</v>
      </c>
    </row>
    <row r="297" spans="1:28" ht="14.4" x14ac:dyDescent="0.3">
      <c r="A297" s="429" t="s">
        <v>874</v>
      </c>
      <c r="B297" s="199" t="str">
        <f>VLOOKUP(A297,'PUR-PARTY MASTER'!$B$6:$J$250,2,FALSE)</f>
        <v>Gayatri Aqua Solutions</v>
      </c>
      <c r="C297" s="403" t="s">
        <v>1458</v>
      </c>
      <c r="D297" s="398">
        <v>43159</v>
      </c>
      <c r="E297" s="329">
        <f t="shared" si="37"/>
        <v>318.60000000000002</v>
      </c>
      <c r="F297" s="199" t="str">
        <f>VLOOKUP(A297,'PUR-PARTY MASTER'!$B$6:$J$250,3,FALSE)</f>
        <v>27-Maharashatra</v>
      </c>
      <c r="G297" s="199" t="str">
        <f>VLOOKUP(A297,'PUR-PARTY MASTER'!$B$6:$J$250,4,FALSE)</f>
        <v>N</v>
      </c>
      <c r="H297" s="199" t="str">
        <f>VLOOKUP(A297,'PUR-PARTY MASTER'!$B$6:$J$250,5,FALSE)</f>
        <v>Regular</v>
      </c>
      <c r="I297" s="199">
        <f>VLOOKUP(A297,'PUR-PARTY MASTER'!$B$6:$J$250,6,FALSE)</f>
        <v>0</v>
      </c>
      <c r="J297" s="201">
        <v>18</v>
      </c>
      <c r="K297" s="400">
        <v>270</v>
      </c>
      <c r="L297" s="202">
        <f t="shared" si="38"/>
        <v>0</v>
      </c>
      <c r="M297" s="202">
        <f t="shared" si="39"/>
        <v>24.3</v>
      </c>
      <c r="N297" s="202">
        <f t="shared" si="40"/>
        <v>24.3</v>
      </c>
      <c r="O297" s="8">
        <v>0</v>
      </c>
      <c r="P297" s="341" t="s">
        <v>177</v>
      </c>
      <c r="Q297" s="329">
        <f t="shared" si="41"/>
        <v>0</v>
      </c>
      <c r="R297" s="329">
        <f t="shared" si="42"/>
        <v>24.3</v>
      </c>
      <c r="S297" s="329">
        <f t="shared" si="43"/>
        <v>24.3</v>
      </c>
      <c r="T297" s="8">
        <f t="shared" si="44"/>
        <v>0</v>
      </c>
      <c r="U297" s="199">
        <f>VLOOKUP(A297,'PUR-PARTY MASTER'!$B$6:$J$250,7,FALSE)</f>
        <v>2</v>
      </c>
      <c r="V297" s="199" t="str">
        <f>VLOOKUP(A297,'PUR-PARTY MASTER'!$B$6:$J$250,8,FALSE)</f>
        <v>Local Pur</v>
      </c>
      <c r="W297" s="199" t="s">
        <v>894</v>
      </c>
      <c r="X297" s="404">
        <v>3919</v>
      </c>
      <c r="Y297" s="201" t="str">
        <f>VLOOKUP(X297,'PUR-HSN MASTER'!$A$6:$D$247,2,FALSE)</f>
        <v>Bopp Tapes</v>
      </c>
      <c r="Z297" s="201" t="str">
        <f>VLOOKUP(X297,'PUR-HSN MASTER'!$A$6:$D$247,3,FALSE)</f>
        <v xml:space="preserve">KGS-KILOGRAMS </v>
      </c>
      <c r="AA297" s="334" t="str">
        <f>VLOOKUP(X297,'PUR-HSN MASTER'!$A$6:$D$247,4,FALSE)</f>
        <v>Goods</v>
      </c>
      <c r="AB297" s="401">
        <v>15</v>
      </c>
    </row>
    <row r="298" spans="1:28" ht="14.4" x14ac:dyDescent="0.3">
      <c r="A298" s="429" t="s">
        <v>874</v>
      </c>
      <c r="B298" s="199" t="str">
        <f>VLOOKUP(A298,'PUR-PARTY MASTER'!$B$6:$J$250,2,FALSE)</f>
        <v>Gayatri Aqua Solutions</v>
      </c>
      <c r="C298" s="403" t="s">
        <v>1458</v>
      </c>
      <c r="D298" s="398">
        <v>43159</v>
      </c>
      <c r="E298" s="329">
        <f t="shared" si="37"/>
        <v>1486.8000000000002</v>
      </c>
      <c r="F298" s="199" t="str">
        <f>VLOOKUP(A298,'PUR-PARTY MASTER'!$B$6:$J$250,3,FALSE)</f>
        <v>27-Maharashatra</v>
      </c>
      <c r="G298" s="199" t="str">
        <f>VLOOKUP(A298,'PUR-PARTY MASTER'!$B$6:$J$250,4,FALSE)</f>
        <v>N</v>
      </c>
      <c r="H298" s="199" t="str">
        <f>VLOOKUP(A298,'PUR-PARTY MASTER'!$B$6:$J$250,5,FALSE)</f>
        <v>Regular</v>
      </c>
      <c r="I298" s="199">
        <f>VLOOKUP(A298,'PUR-PARTY MASTER'!$B$6:$J$250,6,FALSE)</f>
        <v>0</v>
      </c>
      <c r="J298" s="201">
        <v>18</v>
      </c>
      <c r="K298" s="400">
        <v>1260</v>
      </c>
      <c r="L298" s="202">
        <f t="shared" si="38"/>
        <v>0</v>
      </c>
      <c r="M298" s="202">
        <f t="shared" si="39"/>
        <v>113.39999999999999</v>
      </c>
      <c r="N298" s="202">
        <f t="shared" si="40"/>
        <v>113.39999999999999</v>
      </c>
      <c r="O298" s="8">
        <v>0</v>
      </c>
      <c r="P298" s="341" t="s">
        <v>177</v>
      </c>
      <c r="Q298" s="329">
        <f t="shared" si="41"/>
        <v>0</v>
      </c>
      <c r="R298" s="329">
        <f t="shared" si="42"/>
        <v>113.39999999999999</v>
      </c>
      <c r="S298" s="329">
        <f t="shared" si="43"/>
        <v>113.39999999999999</v>
      </c>
      <c r="T298" s="8">
        <f t="shared" si="44"/>
        <v>0</v>
      </c>
      <c r="U298" s="199">
        <f>VLOOKUP(A298,'PUR-PARTY MASTER'!$B$6:$J$250,7,FALSE)</f>
        <v>2</v>
      </c>
      <c r="V298" s="199" t="str">
        <f>VLOOKUP(A298,'PUR-PARTY MASTER'!$B$6:$J$250,8,FALSE)</f>
        <v>Local Pur</v>
      </c>
      <c r="W298" s="199" t="s">
        <v>894</v>
      </c>
      <c r="X298" s="404" t="s">
        <v>885</v>
      </c>
      <c r="Y298" s="201" t="str">
        <f>VLOOKUP(X298,'PUR-HSN MASTER'!$A$6:$D$247,2,FALSE)</f>
        <v>Rubber Gasket</v>
      </c>
      <c r="Z298" s="201" t="str">
        <f>VLOOKUP(X298,'PUR-HSN MASTER'!$A$6:$D$247,3,FALSE)</f>
        <v>NOS-NUMBERS</v>
      </c>
      <c r="AA298" s="334" t="str">
        <f>VLOOKUP(X298,'PUR-HSN MASTER'!$A$6:$D$247,4,FALSE)</f>
        <v>Goods</v>
      </c>
      <c r="AB298" s="401">
        <v>65</v>
      </c>
    </row>
    <row r="299" spans="1:28" ht="14.4" x14ac:dyDescent="0.3">
      <c r="A299" s="429" t="s">
        <v>874</v>
      </c>
      <c r="B299" s="199" t="str">
        <f>VLOOKUP(A299,'PUR-PARTY MASTER'!$B$6:$J$250,2,FALSE)</f>
        <v>Gayatri Aqua Solutions</v>
      </c>
      <c r="C299" s="403" t="s">
        <v>1458</v>
      </c>
      <c r="D299" s="398">
        <v>43159</v>
      </c>
      <c r="E299" s="329">
        <f t="shared" si="37"/>
        <v>1770</v>
      </c>
      <c r="F299" s="199" t="str">
        <f>VLOOKUP(A299,'PUR-PARTY MASTER'!$B$6:$J$250,3,FALSE)</f>
        <v>27-Maharashatra</v>
      </c>
      <c r="G299" s="199" t="str">
        <f>VLOOKUP(A299,'PUR-PARTY MASTER'!$B$6:$J$250,4,FALSE)</f>
        <v>N</v>
      </c>
      <c r="H299" s="199" t="str">
        <f>VLOOKUP(A299,'PUR-PARTY MASTER'!$B$6:$J$250,5,FALSE)</f>
        <v>Regular</v>
      </c>
      <c r="I299" s="199">
        <f>VLOOKUP(A299,'PUR-PARTY MASTER'!$B$6:$J$250,6,FALSE)</f>
        <v>0</v>
      </c>
      <c r="J299" s="201">
        <v>18</v>
      </c>
      <c r="K299" s="400">
        <v>1500</v>
      </c>
      <c r="L299" s="202">
        <f t="shared" si="38"/>
        <v>0</v>
      </c>
      <c r="M299" s="202">
        <f t="shared" si="39"/>
        <v>135</v>
      </c>
      <c r="N299" s="202">
        <f t="shared" si="40"/>
        <v>135</v>
      </c>
      <c r="O299" s="8">
        <v>0</v>
      </c>
      <c r="P299" s="341" t="s">
        <v>177</v>
      </c>
      <c r="Q299" s="329">
        <f t="shared" si="41"/>
        <v>0</v>
      </c>
      <c r="R299" s="329">
        <f t="shared" si="42"/>
        <v>135</v>
      </c>
      <c r="S299" s="329">
        <f t="shared" si="43"/>
        <v>135</v>
      </c>
      <c r="T299" s="8">
        <f t="shared" si="44"/>
        <v>0</v>
      </c>
      <c r="U299" s="199">
        <f>VLOOKUP(A299,'PUR-PARTY MASTER'!$B$6:$J$250,7,FALSE)</f>
        <v>2</v>
      </c>
      <c r="V299" s="199" t="str">
        <f>VLOOKUP(A299,'PUR-PARTY MASTER'!$B$6:$J$250,8,FALSE)</f>
        <v>Local Pur</v>
      </c>
      <c r="W299" s="199" t="s">
        <v>894</v>
      </c>
      <c r="X299" s="404">
        <v>996519</v>
      </c>
      <c r="Y299" s="201" t="str">
        <f>VLOOKUP(X299,'PUR-HSN MASTER'!$A$6:$D$247,2,FALSE)</f>
        <v>Transportation Of Goods By Road</v>
      </c>
      <c r="Z299" s="201" t="str">
        <f>VLOOKUP(X299,'PUR-HSN MASTER'!$A$6:$D$247,3,FALSE)</f>
        <v>NOS-NUMBERS</v>
      </c>
      <c r="AA299" s="334" t="str">
        <f>VLOOKUP(X299,'PUR-HSN MASTER'!$A$6:$D$247,4,FALSE)</f>
        <v>Services</v>
      </c>
      <c r="AB299" s="401">
        <v>1</v>
      </c>
    </row>
    <row r="300" spans="1:28" ht="14.4" x14ac:dyDescent="0.3">
      <c r="A300" s="429" t="s">
        <v>878</v>
      </c>
      <c r="B300" s="199" t="str">
        <f>VLOOKUP(A300,'PUR-PARTY MASTER'!$B$6:$J$250,2,FALSE)</f>
        <v>Swan Electricals</v>
      </c>
      <c r="C300" s="403">
        <v>306</v>
      </c>
      <c r="D300" s="398">
        <v>43159</v>
      </c>
      <c r="E300" s="329">
        <f t="shared" si="37"/>
        <v>1982.4</v>
      </c>
      <c r="F300" s="199" t="str">
        <f>VLOOKUP(A300,'PUR-PARTY MASTER'!$B$6:$J$250,3,FALSE)</f>
        <v>27-Maharashatra</v>
      </c>
      <c r="G300" s="199" t="str">
        <f>VLOOKUP(A300,'PUR-PARTY MASTER'!$B$6:$J$250,4,FALSE)</f>
        <v>N</v>
      </c>
      <c r="H300" s="199" t="str">
        <f>VLOOKUP(A300,'PUR-PARTY MASTER'!$B$6:$J$250,5,FALSE)</f>
        <v>Regular</v>
      </c>
      <c r="I300" s="199">
        <f>VLOOKUP(A300,'PUR-PARTY MASTER'!$B$6:$J$250,6,FALSE)</f>
        <v>0</v>
      </c>
      <c r="J300" s="201">
        <v>18</v>
      </c>
      <c r="K300" s="400">
        <f>700+440+540</f>
        <v>1680</v>
      </c>
      <c r="L300" s="202">
        <f t="shared" si="38"/>
        <v>0</v>
      </c>
      <c r="M300" s="202">
        <f t="shared" si="39"/>
        <v>151.19999999999999</v>
      </c>
      <c r="N300" s="202">
        <f t="shared" si="40"/>
        <v>151.19999999999999</v>
      </c>
      <c r="O300" s="8">
        <v>0</v>
      </c>
      <c r="P300" s="341" t="s">
        <v>177</v>
      </c>
      <c r="Q300" s="329">
        <f t="shared" si="41"/>
        <v>0</v>
      </c>
      <c r="R300" s="329">
        <f t="shared" si="42"/>
        <v>151.19999999999999</v>
      </c>
      <c r="S300" s="329">
        <f t="shared" si="43"/>
        <v>151.19999999999999</v>
      </c>
      <c r="T300" s="8">
        <f t="shared" si="44"/>
        <v>0</v>
      </c>
      <c r="U300" s="199">
        <f>VLOOKUP(A300,'PUR-PARTY MASTER'!$B$6:$J$250,7,FALSE)</f>
        <v>2</v>
      </c>
      <c r="V300" s="199" t="str">
        <f>VLOOKUP(A300,'PUR-PARTY MASTER'!$B$6:$J$250,8,FALSE)</f>
        <v>Local Pur</v>
      </c>
      <c r="W300" s="199" t="s">
        <v>894</v>
      </c>
      <c r="X300" s="404">
        <v>8536</v>
      </c>
      <c r="Y300" s="201" t="str">
        <f>VLOOKUP(X300,'PUR-HSN MASTER'!$A$6:$D$247,2,FALSE)</f>
        <v>Solder gun</v>
      </c>
      <c r="Z300" s="201" t="str">
        <f>VLOOKUP(X300,'PUR-HSN MASTER'!$A$6:$D$247,3,FALSE)</f>
        <v>NOS-NUMBERS</v>
      </c>
      <c r="AA300" s="334" t="str">
        <f>VLOOKUP(X300,'PUR-HSN MASTER'!$A$6:$D$247,4,FALSE)</f>
        <v>Goods</v>
      </c>
      <c r="AB300" s="401">
        <v>46</v>
      </c>
    </row>
    <row r="301" spans="1:28" ht="14.4" x14ac:dyDescent="0.3">
      <c r="A301" s="429" t="s">
        <v>878</v>
      </c>
      <c r="B301" s="199" t="str">
        <f>VLOOKUP(A301,'PUR-PARTY MASTER'!$B$6:$J$250,2,FALSE)</f>
        <v>Swan Electricals</v>
      </c>
      <c r="C301" s="403">
        <v>306</v>
      </c>
      <c r="D301" s="398">
        <v>43159</v>
      </c>
      <c r="E301" s="329">
        <f t="shared" si="37"/>
        <v>42.480000000000004</v>
      </c>
      <c r="F301" s="199" t="str">
        <f>VLOOKUP(A301,'PUR-PARTY MASTER'!$B$6:$J$250,3,FALSE)</f>
        <v>27-Maharashatra</v>
      </c>
      <c r="G301" s="199" t="str">
        <f>VLOOKUP(A301,'PUR-PARTY MASTER'!$B$6:$J$250,4,FALSE)</f>
        <v>N</v>
      </c>
      <c r="H301" s="199" t="str">
        <f>VLOOKUP(A301,'PUR-PARTY MASTER'!$B$6:$J$250,5,FALSE)</f>
        <v>Regular</v>
      </c>
      <c r="I301" s="199">
        <f>VLOOKUP(A301,'PUR-PARTY MASTER'!$B$6:$J$250,6,FALSE)</f>
        <v>0</v>
      </c>
      <c r="J301" s="201">
        <v>18</v>
      </c>
      <c r="K301" s="400">
        <v>36</v>
      </c>
      <c r="L301" s="202">
        <f t="shared" si="38"/>
        <v>0</v>
      </c>
      <c r="M301" s="202">
        <f t="shared" si="39"/>
        <v>3.2399999999999998</v>
      </c>
      <c r="N301" s="202">
        <f t="shared" si="40"/>
        <v>3.2399999999999998</v>
      </c>
      <c r="O301" s="8">
        <v>0</v>
      </c>
      <c r="P301" s="341" t="s">
        <v>177</v>
      </c>
      <c r="Q301" s="329">
        <f t="shared" si="41"/>
        <v>0</v>
      </c>
      <c r="R301" s="329">
        <f t="shared" si="42"/>
        <v>3.2399999999999998</v>
      </c>
      <c r="S301" s="329">
        <f t="shared" si="43"/>
        <v>3.2399999999999998</v>
      </c>
      <c r="T301" s="8">
        <f t="shared" si="44"/>
        <v>0</v>
      </c>
      <c r="U301" s="199">
        <f>VLOOKUP(A301,'PUR-PARTY MASTER'!$B$6:$J$250,7,FALSE)</f>
        <v>2</v>
      </c>
      <c r="V301" s="199" t="str">
        <f>VLOOKUP(A301,'PUR-PARTY MASTER'!$B$6:$J$250,8,FALSE)</f>
        <v>Local Pur</v>
      </c>
      <c r="W301" s="199" t="s">
        <v>894</v>
      </c>
      <c r="X301" s="404">
        <v>8546</v>
      </c>
      <c r="Y301" s="201" t="str">
        <f>VLOOKUP(X301,'PUR-HSN MASTER'!$A$6:$D$247,2,FALSE)</f>
        <v>Tape</v>
      </c>
      <c r="Z301" s="201" t="str">
        <f>VLOOKUP(X301,'PUR-HSN MASTER'!$A$6:$D$247,3,FALSE)</f>
        <v>NOS-NUMBERS</v>
      </c>
      <c r="AA301" s="334" t="str">
        <f>VLOOKUP(X301,'PUR-HSN MASTER'!$A$6:$D$247,4,FALSE)</f>
        <v>Goods</v>
      </c>
      <c r="AB301" s="401">
        <v>3</v>
      </c>
    </row>
    <row r="302" spans="1:28" ht="14.4" x14ac:dyDescent="0.3">
      <c r="A302" s="429" t="s">
        <v>348</v>
      </c>
      <c r="B302" s="199" t="str">
        <f>VLOOKUP(A302,'PUR-PARTY MASTER'!$B$6:$J$250,2,FALSE)</f>
        <v>Ganesh Total Gaz Distributor</v>
      </c>
      <c r="C302" s="403">
        <v>979</v>
      </c>
      <c r="D302" s="398">
        <v>43132</v>
      </c>
      <c r="E302" s="329">
        <f t="shared" si="37"/>
        <v>10799.7376</v>
      </c>
      <c r="F302" s="199" t="str">
        <f>VLOOKUP(A302,'PUR-PARTY MASTER'!$B$6:$J$250,3,FALSE)</f>
        <v>27-Maharashatra</v>
      </c>
      <c r="G302" s="199" t="str">
        <f>VLOOKUP(A302,'PUR-PARTY MASTER'!$B$6:$J$250,4,FALSE)</f>
        <v>N</v>
      </c>
      <c r="H302" s="199" t="str">
        <f>VLOOKUP(A302,'PUR-PARTY MASTER'!$B$6:$J$250,5,FALSE)</f>
        <v>Regular</v>
      </c>
      <c r="I302" s="199">
        <f>VLOOKUP(A302,'PUR-PARTY MASTER'!$B$6:$J$250,6,FALSE)</f>
        <v>0</v>
      </c>
      <c r="J302" s="201">
        <v>18</v>
      </c>
      <c r="K302" s="400">
        <v>9152.32</v>
      </c>
      <c r="L302" s="202">
        <f t="shared" si="38"/>
        <v>0</v>
      </c>
      <c r="M302" s="202">
        <f t="shared" si="39"/>
        <v>823.7088</v>
      </c>
      <c r="N302" s="202">
        <f t="shared" si="40"/>
        <v>823.7088</v>
      </c>
      <c r="O302" s="8">
        <v>0</v>
      </c>
      <c r="P302" s="341" t="s">
        <v>177</v>
      </c>
      <c r="Q302" s="329">
        <f t="shared" si="41"/>
        <v>0</v>
      </c>
      <c r="R302" s="329">
        <f t="shared" si="42"/>
        <v>823.7088</v>
      </c>
      <c r="S302" s="329">
        <f t="shared" si="43"/>
        <v>823.7088</v>
      </c>
      <c r="T302" s="8">
        <f t="shared" si="44"/>
        <v>0</v>
      </c>
      <c r="U302" s="199">
        <f>VLOOKUP(A302,'PUR-PARTY MASTER'!$B$6:$J$250,7,FALSE)</f>
        <v>2</v>
      </c>
      <c r="V302" s="199" t="str">
        <f>VLOOKUP(A302,'PUR-PARTY MASTER'!$B$6:$J$250,8,FALSE)</f>
        <v>Local Pur</v>
      </c>
      <c r="W302" s="199" t="s">
        <v>894</v>
      </c>
      <c r="X302" s="404">
        <v>27111900</v>
      </c>
      <c r="Y302" s="201" t="str">
        <f>VLOOKUP(X302,'PUR-HSN MASTER'!$A$6:$D$247,2,FALSE)</f>
        <v>Petroleum Gases &amp; Other</v>
      </c>
      <c r="Z302" s="201" t="str">
        <f>VLOOKUP(X302,'PUR-HSN MASTER'!$A$6:$D$247,3,FALSE)</f>
        <v>NOS-NUMBERS</v>
      </c>
      <c r="AA302" s="334" t="str">
        <f>VLOOKUP(X302,'PUR-HSN MASTER'!$A$6:$D$247,4,FALSE)</f>
        <v>Goods</v>
      </c>
      <c r="AB302" s="401">
        <v>6</v>
      </c>
    </row>
    <row r="303" spans="1:28" ht="14.4" x14ac:dyDescent="0.3">
      <c r="A303" s="429" t="s">
        <v>348</v>
      </c>
      <c r="B303" s="199" t="str">
        <f>VLOOKUP(A303,'PUR-PARTY MASTER'!$B$6:$J$250,2,FALSE)</f>
        <v>Ganesh Total Gaz Distributor</v>
      </c>
      <c r="C303" s="403">
        <v>1037</v>
      </c>
      <c r="D303" s="398">
        <v>43136</v>
      </c>
      <c r="E303" s="329">
        <f t="shared" si="37"/>
        <v>16249.957</v>
      </c>
      <c r="F303" s="199" t="str">
        <f>VLOOKUP(A303,'PUR-PARTY MASTER'!$B$6:$J$250,3,FALSE)</f>
        <v>27-Maharashatra</v>
      </c>
      <c r="G303" s="199" t="str">
        <f>VLOOKUP(A303,'PUR-PARTY MASTER'!$B$6:$J$250,4,FALSE)</f>
        <v>N</v>
      </c>
      <c r="H303" s="199" t="str">
        <f>VLOOKUP(A303,'PUR-PARTY MASTER'!$B$6:$J$250,5,FALSE)</f>
        <v>Regular</v>
      </c>
      <c r="I303" s="199">
        <f>VLOOKUP(A303,'PUR-PARTY MASTER'!$B$6:$J$250,6,FALSE)</f>
        <v>0</v>
      </c>
      <c r="J303" s="201">
        <v>18</v>
      </c>
      <c r="K303" s="400">
        <v>13771.15</v>
      </c>
      <c r="L303" s="202">
        <f t="shared" si="38"/>
        <v>0</v>
      </c>
      <c r="M303" s="202">
        <f t="shared" si="39"/>
        <v>1239.4034999999999</v>
      </c>
      <c r="N303" s="202">
        <f t="shared" si="40"/>
        <v>1239.4034999999999</v>
      </c>
      <c r="O303" s="8">
        <v>0</v>
      </c>
      <c r="P303" s="341" t="s">
        <v>177</v>
      </c>
      <c r="Q303" s="329">
        <f t="shared" si="41"/>
        <v>0</v>
      </c>
      <c r="R303" s="329">
        <f t="shared" si="42"/>
        <v>1239.4034999999999</v>
      </c>
      <c r="S303" s="329">
        <f t="shared" si="43"/>
        <v>1239.4034999999999</v>
      </c>
      <c r="T303" s="8">
        <f t="shared" si="44"/>
        <v>0</v>
      </c>
      <c r="U303" s="199">
        <f>VLOOKUP(A303,'PUR-PARTY MASTER'!$B$6:$J$250,7,FALSE)</f>
        <v>2</v>
      </c>
      <c r="V303" s="199" t="str">
        <f>VLOOKUP(A303,'PUR-PARTY MASTER'!$B$6:$J$250,8,FALSE)</f>
        <v>Local Pur</v>
      </c>
      <c r="W303" s="199" t="s">
        <v>894</v>
      </c>
      <c r="X303" s="404">
        <v>27111900</v>
      </c>
      <c r="Y303" s="201" t="str">
        <f>VLOOKUP(X303,'PUR-HSN MASTER'!$A$6:$D$247,2,FALSE)</f>
        <v>Petroleum Gases &amp; Other</v>
      </c>
      <c r="Z303" s="201" t="str">
        <f>VLOOKUP(X303,'PUR-HSN MASTER'!$A$6:$D$247,3,FALSE)</f>
        <v>NOS-NUMBERS</v>
      </c>
      <c r="AA303" s="334" t="str">
        <f>VLOOKUP(X303,'PUR-HSN MASTER'!$A$6:$D$247,4,FALSE)</f>
        <v>Goods</v>
      </c>
      <c r="AB303" s="401">
        <v>10</v>
      </c>
    </row>
    <row r="304" spans="1:28" ht="14.4" x14ac:dyDescent="0.3">
      <c r="A304" s="429" t="s">
        <v>348</v>
      </c>
      <c r="B304" s="199" t="str">
        <f>VLOOKUP(A304,'PUR-PARTY MASTER'!$B$6:$J$250,2,FALSE)</f>
        <v>Ganesh Total Gaz Distributor</v>
      </c>
      <c r="C304" s="403">
        <v>1038</v>
      </c>
      <c r="D304" s="398">
        <v>43140</v>
      </c>
      <c r="E304" s="329">
        <f t="shared" si="37"/>
        <v>8579.9688000000006</v>
      </c>
      <c r="F304" s="199" t="str">
        <f>VLOOKUP(A304,'PUR-PARTY MASTER'!$B$6:$J$250,3,FALSE)</f>
        <v>27-Maharashatra</v>
      </c>
      <c r="G304" s="199" t="str">
        <f>VLOOKUP(A304,'PUR-PARTY MASTER'!$B$6:$J$250,4,FALSE)</f>
        <v>N</v>
      </c>
      <c r="H304" s="199" t="str">
        <f>VLOOKUP(A304,'PUR-PARTY MASTER'!$B$6:$J$250,5,FALSE)</f>
        <v>Regular</v>
      </c>
      <c r="I304" s="199">
        <f>VLOOKUP(A304,'PUR-PARTY MASTER'!$B$6:$J$250,6,FALSE)</f>
        <v>0</v>
      </c>
      <c r="J304" s="201">
        <v>18</v>
      </c>
      <c r="K304" s="400">
        <v>7271.16</v>
      </c>
      <c r="L304" s="202">
        <f t="shared" si="38"/>
        <v>0</v>
      </c>
      <c r="M304" s="202">
        <f t="shared" si="39"/>
        <v>654.40440000000001</v>
      </c>
      <c r="N304" s="202">
        <f t="shared" si="40"/>
        <v>654.40440000000001</v>
      </c>
      <c r="O304" s="8">
        <v>0</v>
      </c>
      <c r="P304" s="341" t="s">
        <v>177</v>
      </c>
      <c r="Q304" s="329">
        <f t="shared" si="41"/>
        <v>0</v>
      </c>
      <c r="R304" s="329">
        <f t="shared" si="42"/>
        <v>654.40440000000001</v>
      </c>
      <c r="S304" s="329">
        <f t="shared" si="43"/>
        <v>654.40440000000001</v>
      </c>
      <c r="T304" s="8">
        <f t="shared" si="44"/>
        <v>0</v>
      </c>
      <c r="U304" s="199">
        <f>VLOOKUP(A304,'PUR-PARTY MASTER'!$B$6:$J$250,7,FALSE)</f>
        <v>2</v>
      </c>
      <c r="V304" s="199" t="str">
        <f>VLOOKUP(A304,'PUR-PARTY MASTER'!$B$6:$J$250,8,FALSE)</f>
        <v>Local Pur</v>
      </c>
      <c r="W304" s="199" t="s">
        <v>894</v>
      </c>
      <c r="X304" s="404">
        <v>27111900</v>
      </c>
      <c r="Y304" s="201" t="str">
        <f>VLOOKUP(X304,'PUR-HSN MASTER'!$A$6:$D$247,2,FALSE)</f>
        <v>Petroleum Gases &amp; Other</v>
      </c>
      <c r="Z304" s="201" t="str">
        <f>VLOOKUP(X304,'PUR-HSN MASTER'!$A$6:$D$247,3,FALSE)</f>
        <v>NOS-NUMBERS</v>
      </c>
      <c r="AA304" s="334" t="str">
        <f>VLOOKUP(X304,'PUR-HSN MASTER'!$A$6:$D$247,4,FALSE)</f>
        <v>Goods</v>
      </c>
      <c r="AB304" s="401">
        <v>4</v>
      </c>
    </row>
    <row r="305" spans="1:28" ht="14.4" x14ac:dyDescent="0.3">
      <c r="A305" s="429" t="s">
        <v>348</v>
      </c>
      <c r="B305" s="199" t="str">
        <f>VLOOKUP(A305,'PUR-PARTY MASTER'!$B$6:$J$250,2,FALSE)</f>
        <v>Ganesh Total Gaz Distributor</v>
      </c>
      <c r="C305" s="403">
        <v>1054</v>
      </c>
      <c r="D305" s="398">
        <v>43144</v>
      </c>
      <c r="E305" s="329">
        <f t="shared" si="37"/>
        <v>16249.957</v>
      </c>
      <c r="F305" s="199" t="str">
        <f>VLOOKUP(A305,'PUR-PARTY MASTER'!$B$6:$J$250,3,FALSE)</f>
        <v>27-Maharashatra</v>
      </c>
      <c r="G305" s="199" t="str">
        <f>VLOOKUP(A305,'PUR-PARTY MASTER'!$B$6:$J$250,4,FALSE)</f>
        <v>N</v>
      </c>
      <c r="H305" s="199" t="str">
        <f>VLOOKUP(A305,'PUR-PARTY MASTER'!$B$6:$J$250,5,FALSE)</f>
        <v>Regular</v>
      </c>
      <c r="I305" s="199">
        <f>VLOOKUP(A305,'PUR-PARTY MASTER'!$B$6:$J$250,6,FALSE)</f>
        <v>0</v>
      </c>
      <c r="J305" s="201">
        <v>18</v>
      </c>
      <c r="K305" s="400">
        <v>13771.15</v>
      </c>
      <c r="L305" s="202">
        <f t="shared" si="38"/>
        <v>0</v>
      </c>
      <c r="M305" s="202">
        <f t="shared" si="39"/>
        <v>1239.4034999999999</v>
      </c>
      <c r="N305" s="202">
        <f t="shared" si="40"/>
        <v>1239.4034999999999</v>
      </c>
      <c r="O305" s="8">
        <v>0</v>
      </c>
      <c r="P305" s="341" t="s">
        <v>177</v>
      </c>
      <c r="Q305" s="329">
        <f t="shared" si="41"/>
        <v>0</v>
      </c>
      <c r="R305" s="329">
        <f t="shared" si="42"/>
        <v>1239.4034999999999</v>
      </c>
      <c r="S305" s="329">
        <f t="shared" si="43"/>
        <v>1239.4034999999999</v>
      </c>
      <c r="T305" s="8">
        <f t="shared" si="44"/>
        <v>0</v>
      </c>
      <c r="U305" s="199">
        <f>VLOOKUP(A305,'PUR-PARTY MASTER'!$B$6:$J$250,7,FALSE)</f>
        <v>2</v>
      </c>
      <c r="V305" s="199" t="str">
        <f>VLOOKUP(A305,'PUR-PARTY MASTER'!$B$6:$J$250,8,FALSE)</f>
        <v>Local Pur</v>
      </c>
      <c r="W305" s="199" t="s">
        <v>894</v>
      </c>
      <c r="X305" s="404">
        <v>27111900</v>
      </c>
      <c r="Y305" s="201" t="str">
        <f>VLOOKUP(X305,'PUR-HSN MASTER'!$A$6:$D$247,2,FALSE)</f>
        <v>Petroleum Gases &amp; Other</v>
      </c>
      <c r="Z305" s="201" t="str">
        <f>VLOOKUP(X305,'PUR-HSN MASTER'!$A$6:$D$247,3,FALSE)</f>
        <v>NOS-NUMBERS</v>
      </c>
      <c r="AA305" s="334" t="str">
        <f>VLOOKUP(X305,'PUR-HSN MASTER'!$A$6:$D$247,4,FALSE)</f>
        <v>Goods</v>
      </c>
      <c r="AB305" s="401">
        <v>10</v>
      </c>
    </row>
    <row r="306" spans="1:28" ht="14.4" x14ac:dyDescent="0.3">
      <c r="A306" s="429" t="s">
        <v>348</v>
      </c>
      <c r="B306" s="199" t="str">
        <f>VLOOKUP(A306,'PUR-PARTY MASTER'!$B$6:$J$250,2,FALSE)</f>
        <v>Ganesh Total Gaz Distributor</v>
      </c>
      <c r="C306" s="403">
        <v>1039</v>
      </c>
      <c r="D306" s="398">
        <v>43148</v>
      </c>
      <c r="E306" s="329">
        <f t="shared" si="37"/>
        <v>16249.957</v>
      </c>
      <c r="F306" s="199" t="str">
        <f>VLOOKUP(A306,'PUR-PARTY MASTER'!$B$6:$J$250,3,FALSE)</f>
        <v>27-Maharashatra</v>
      </c>
      <c r="G306" s="199" t="str">
        <f>VLOOKUP(A306,'PUR-PARTY MASTER'!$B$6:$J$250,4,FALSE)</f>
        <v>N</v>
      </c>
      <c r="H306" s="199" t="str">
        <f>VLOOKUP(A306,'PUR-PARTY MASTER'!$B$6:$J$250,5,FALSE)</f>
        <v>Regular</v>
      </c>
      <c r="I306" s="199">
        <f>VLOOKUP(A306,'PUR-PARTY MASTER'!$B$6:$J$250,6,FALSE)</f>
        <v>0</v>
      </c>
      <c r="J306" s="201">
        <v>18</v>
      </c>
      <c r="K306" s="400">
        <v>13771.15</v>
      </c>
      <c r="L306" s="202">
        <f t="shared" si="38"/>
        <v>0</v>
      </c>
      <c r="M306" s="202">
        <f t="shared" si="39"/>
        <v>1239.4034999999999</v>
      </c>
      <c r="N306" s="202">
        <f t="shared" si="40"/>
        <v>1239.4034999999999</v>
      </c>
      <c r="O306" s="8">
        <v>0</v>
      </c>
      <c r="P306" s="341" t="s">
        <v>177</v>
      </c>
      <c r="Q306" s="329">
        <f t="shared" si="41"/>
        <v>0</v>
      </c>
      <c r="R306" s="329">
        <f t="shared" si="42"/>
        <v>1239.4034999999999</v>
      </c>
      <c r="S306" s="329">
        <f t="shared" si="43"/>
        <v>1239.4034999999999</v>
      </c>
      <c r="T306" s="8">
        <f t="shared" si="44"/>
        <v>0</v>
      </c>
      <c r="U306" s="199">
        <f>VLOOKUP(A306,'PUR-PARTY MASTER'!$B$6:$J$250,7,FALSE)</f>
        <v>2</v>
      </c>
      <c r="V306" s="199" t="str">
        <f>VLOOKUP(A306,'PUR-PARTY MASTER'!$B$6:$J$250,8,FALSE)</f>
        <v>Local Pur</v>
      </c>
      <c r="W306" s="199" t="s">
        <v>894</v>
      </c>
      <c r="X306" s="404">
        <v>27111900</v>
      </c>
      <c r="Y306" s="201" t="str">
        <f>VLOOKUP(X306,'PUR-HSN MASTER'!$A$6:$D$247,2,FALSE)</f>
        <v>Petroleum Gases &amp; Other</v>
      </c>
      <c r="Z306" s="201" t="str">
        <f>VLOOKUP(X306,'PUR-HSN MASTER'!$A$6:$D$247,3,FALSE)</f>
        <v>NOS-NUMBERS</v>
      </c>
      <c r="AA306" s="334" t="str">
        <f>VLOOKUP(X306,'PUR-HSN MASTER'!$A$6:$D$247,4,FALSE)</f>
        <v>Goods</v>
      </c>
      <c r="AB306" s="401">
        <v>10</v>
      </c>
    </row>
    <row r="307" spans="1:28" ht="14.4" x14ac:dyDescent="0.3">
      <c r="A307" s="429" t="s">
        <v>348</v>
      </c>
      <c r="B307" s="199" t="str">
        <f>VLOOKUP(A307,'PUR-PARTY MASTER'!$B$6:$J$250,2,FALSE)</f>
        <v>Ganesh Total Gaz Distributor</v>
      </c>
      <c r="C307" s="403">
        <v>1040</v>
      </c>
      <c r="D307" s="398">
        <v>43156</v>
      </c>
      <c r="E307" s="329">
        <f t="shared" si="37"/>
        <v>16249.957</v>
      </c>
      <c r="F307" s="199" t="str">
        <f>VLOOKUP(A307,'PUR-PARTY MASTER'!$B$6:$J$250,3,FALSE)</f>
        <v>27-Maharashatra</v>
      </c>
      <c r="G307" s="199" t="str">
        <f>VLOOKUP(A307,'PUR-PARTY MASTER'!$B$6:$J$250,4,FALSE)</f>
        <v>N</v>
      </c>
      <c r="H307" s="199" t="str">
        <f>VLOOKUP(A307,'PUR-PARTY MASTER'!$B$6:$J$250,5,FALSE)</f>
        <v>Regular</v>
      </c>
      <c r="I307" s="199">
        <f>VLOOKUP(A307,'PUR-PARTY MASTER'!$B$6:$J$250,6,FALSE)</f>
        <v>0</v>
      </c>
      <c r="J307" s="201">
        <v>18</v>
      </c>
      <c r="K307" s="400">
        <v>13771.15</v>
      </c>
      <c r="L307" s="202">
        <f t="shared" si="38"/>
        <v>0</v>
      </c>
      <c r="M307" s="202">
        <f t="shared" si="39"/>
        <v>1239.4034999999999</v>
      </c>
      <c r="N307" s="202">
        <f t="shared" si="40"/>
        <v>1239.4034999999999</v>
      </c>
      <c r="O307" s="8">
        <v>0</v>
      </c>
      <c r="P307" s="341" t="s">
        <v>177</v>
      </c>
      <c r="Q307" s="329">
        <f t="shared" si="41"/>
        <v>0</v>
      </c>
      <c r="R307" s="329">
        <f t="shared" si="42"/>
        <v>1239.4034999999999</v>
      </c>
      <c r="S307" s="329">
        <f t="shared" si="43"/>
        <v>1239.4034999999999</v>
      </c>
      <c r="T307" s="8">
        <f t="shared" si="44"/>
        <v>0</v>
      </c>
      <c r="U307" s="199">
        <f>VLOOKUP(A307,'PUR-PARTY MASTER'!$B$6:$J$250,7,FALSE)</f>
        <v>2</v>
      </c>
      <c r="V307" s="199" t="str">
        <f>VLOOKUP(A307,'PUR-PARTY MASTER'!$B$6:$J$250,8,FALSE)</f>
        <v>Local Pur</v>
      </c>
      <c r="W307" s="199" t="s">
        <v>894</v>
      </c>
      <c r="X307" s="404">
        <v>27111900</v>
      </c>
      <c r="Y307" s="201" t="str">
        <f>VLOOKUP(X307,'PUR-HSN MASTER'!$A$6:$D$247,2,FALSE)</f>
        <v>Petroleum Gases &amp; Other</v>
      </c>
      <c r="Z307" s="201" t="str">
        <f>VLOOKUP(X307,'PUR-HSN MASTER'!$A$6:$D$247,3,FALSE)</f>
        <v>NOS-NUMBERS</v>
      </c>
      <c r="AA307" s="334" t="str">
        <f>VLOOKUP(X307,'PUR-HSN MASTER'!$A$6:$D$247,4,FALSE)</f>
        <v>Goods</v>
      </c>
      <c r="AB307" s="401">
        <v>10</v>
      </c>
    </row>
    <row r="308" spans="1:28" ht="14.4" x14ac:dyDescent="0.3">
      <c r="A308" s="429" t="s">
        <v>963</v>
      </c>
      <c r="B308" s="199" t="str">
        <f>VLOOKUP(A308,'PUR-PARTY MASTER'!$B$6:$J$250,2,FALSE)</f>
        <v>Ganpati ply Laminate And Hardware</v>
      </c>
      <c r="C308" s="403">
        <v>21</v>
      </c>
      <c r="D308" s="398">
        <v>43158</v>
      </c>
      <c r="E308" s="329">
        <f t="shared" si="37"/>
        <v>39648</v>
      </c>
      <c r="F308" s="199" t="str">
        <f>VLOOKUP(A308,'PUR-PARTY MASTER'!$B$6:$J$250,3,FALSE)</f>
        <v>27-Maharashatra</v>
      </c>
      <c r="G308" s="199" t="str">
        <f>VLOOKUP(A308,'PUR-PARTY MASTER'!$B$6:$J$250,4,FALSE)</f>
        <v>N</v>
      </c>
      <c r="H308" s="199" t="str">
        <f>VLOOKUP(A308,'PUR-PARTY MASTER'!$B$6:$J$250,5,FALSE)</f>
        <v>Regular</v>
      </c>
      <c r="I308" s="199">
        <f>VLOOKUP(A308,'PUR-PARTY MASTER'!$B$6:$J$250,6,FALSE)</f>
        <v>0</v>
      </c>
      <c r="J308" s="201">
        <v>18</v>
      </c>
      <c r="K308" s="400">
        <v>33600</v>
      </c>
      <c r="L308" s="202">
        <f t="shared" si="38"/>
        <v>0</v>
      </c>
      <c r="M308" s="202">
        <f t="shared" si="39"/>
        <v>3024</v>
      </c>
      <c r="N308" s="202">
        <f t="shared" si="40"/>
        <v>3024</v>
      </c>
      <c r="O308" s="8">
        <v>0</v>
      </c>
      <c r="P308" s="341" t="s">
        <v>177</v>
      </c>
      <c r="Q308" s="329">
        <f t="shared" si="41"/>
        <v>0</v>
      </c>
      <c r="R308" s="329">
        <f t="shared" si="42"/>
        <v>3024</v>
      </c>
      <c r="S308" s="329">
        <f t="shared" si="43"/>
        <v>3024</v>
      </c>
      <c r="T308" s="8">
        <f t="shared" si="44"/>
        <v>0</v>
      </c>
      <c r="U308" s="199">
        <f>VLOOKUP(A308,'PUR-PARTY MASTER'!$B$6:$J$250,7,FALSE)</f>
        <v>2</v>
      </c>
      <c r="V308" s="199" t="str">
        <f>VLOOKUP(A308,'PUR-PARTY MASTER'!$B$6:$J$250,8,FALSE)</f>
        <v>Local Pur</v>
      </c>
      <c r="W308" s="199" t="s">
        <v>894</v>
      </c>
      <c r="X308" s="404" t="s">
        <v>913</v>
      </c>
      <c r="Y308" s="201" t="str">
        <f>VLOOKUP(X308,'PUR-HSN MASTER'!$A$6:$D$247,2,FALSE)</f>
        <v>Plywood, veneered panels</v>
      </c>
      <c r="Z308" s="201" t="str">
        <f>VLOOKUP(X308,'PUR-HSN MASTER'!$A$6:$D$247,3,FALSE)</f>
        <v>NOS-NUMBERS</v>
      </c>
      <c r="AA308" s="334" t="str">
        <f>VLOOKUP(X308,'PUR-HSN MASTER'!$A$6:$D$247,4,FALSE)</f>
        <v>Goods</v>
      </c>
      <c r="AB308" s="401">
        <v>30</v>
      </c>
    </row>
    <row r="309" spans="1:28" ht="14.4" x14ac:dyDescent="0.3">
      <c r="A309" s="429" t="s">
        <v>392</v>
      </c>
      <c r="B309" s="199" t="str">
        <f>VLOOKUP(A309,'PUR-PARTY MASTER'!$B$6:$J$250,2,FALSE)</f>
        <v>Axis Bank Ltd</v>
      </c>
      <c r="C309" s="403"/>
      <c r="D309" s="398">
        <v>43133</v>
      </c>
      <c r="E309" s="329">
        <f t="shared" si="37"/>
        <v>5.9</v>
      </c>
      <c r="F309" s="199" t="str">
        <f>VLOOKUP(A309,'PUR-PARTY MASTER'!$B$6:$J$250,3,FALSE)</f>
        <v>27-Maharashatra</v>
      </c>
      <c r="G309" s="199" t="str">
        <f>VLOOKUP(A309,'PUR-PARTY MASTER'!$B$6:$J$250,4,FALSE)</f>
        <v>N</v>
      </c>
      <c r="H309" s="199" t="str">
        <f>VLOOKUP(A309,'PUR-PARTY MASTER'!$B$6:$J$250,5,FALSE)</f>
        <v>Regular</v>
      </c>
      <c r="I309" s="199">
        <f>VLOOKUP(A309,'PUR-PARTY MASTER'!$B$6:$J$250,6,FALSE)</f>
        <v>0</v>
      </c>
      <c r="J309" s="201">
        <v>18</v>
      </c>
      <c r="K309" s="400">
        <v>5</v>
      </c>
      <c r="L309" s="202">
        <f t="shared" si="38"/>
        <v>0</v>
      </c>
      <c r="M309" s="202">
        <f t="shared" si="39"/>
        <v>0.44999999999999996</v>
      </c>
      <c r="N309" s="202">
        <f t="shared" si="40"/>
        <v>0.44999999999999996</v>
      </c>
      <c r="O309" s="8">
        <v>0</v>
      </c>
      <c r="P309" s="341" t="s">
        <v>177</v>
      </c>
      <c r="Q309" s="329">
        <f t="shared" si="41"/>
        <v>0</v>
      </c>
      <c r="R309" s="329">
        <f t="shared" si="42"/>
        <v>0.44999999999999996</v>
      </c>
      <c r="S309" s="329">
        <f t="shared" si="43"/>
        <v>0.44999999999999996</v>
      </c>
      <c r="T309" s="8">
        <f t="shared" si="44"/>
        <v>0</v>
      </c>
      <c r="U309" s="199">
        <f>VLOOKUP(A309,'PUR-PARTY MASTER'!$B$6:$J$250,7,FALSE)</f>
        <v>2</v>
      </c>
      <c r="V309" s="199" t="str">
        <f>VLOOKUP(A309,'PUR-PARTY MASTER'!$B$6:$J$250,8,FALSE)</f>
        <v>Local Pur</v>
      </c>
      <c r="W309" s="199" t="s">
        <v>894</v>
      </c>
      <c r="X309" s="404" t="s">
        <v>612</v>
      </c>
      <c r="Y309" s="201" t="str">
        <f>VLOOKUP(X309,'PUR-HSN MASTER'!$A$6:$D$247,2,FALSE)</f>
        <v>Financial  Related Services</v>
      </c>
      <c r="Z309" s="201" t="str">
        <f>VLOOKUP(X309,'PUR-HSN MASTER'!$A$6:$D$247,3,FALSE)</f>
        <v>NOS-NUMBERS</v>
      </c>
      <c r="AA309" s="334" t="str">
        <f>VLOOKUP(X309,'PUR-HSN MASTER'!$A$6:$D$247,4,FALSE)</f>
        <v>Goods</v>
      </c>
      <c r="AB309" s="401">
        <v>0</v>
      </c>
    </row>
    <row r="310" spans="1:28" ht="14.4" x14ac:dyDescent="0.3">
      <c r="A310" s="429" t="s">
        <v>392</v>
      </c>
      <c r="B310" s="199" t="str">
        <f>VLOOKUP(A310,'PUR-PARTY MASTER'!$B$6:$J$250,2,FALSE)</f>
        <v>Axis Bank Ltd</v>
      </c>
      <c r="C310" s="403"/>
      <c r="D310" s="398">
        <v>43134</v>
      </c>
      <c r="E310" s="329">
        <f t="shared" si="37"/>
        <v>5.9</v>
      </c>
      <c r="F310" s="199" t="str">
        <f>VLOOKUP(A310,'PUR-PARTY MASTER'!$B$6:$J$250,3,FALSE)</f>
        <v>27-Maharashatra</v>
      </c>
      <c r="G310" s="199" t="str">
        <f>VLOOKUP(A310,'PUR-PARTY MASTER'!$B$6:$J$250,4,FALSE)</f>
        <v>N</v>
      </c>
      <c r="H310" s="199" t="str">
        <f>VLOOKUP(A310,'PUR-PARTY MASTER'!$B$6:$J$250,5,FALSE)</f>
        <v>Regular</v>
      </c>
      <c r="I310" s="199">
        <f>VLOOKUP(A310,'PUR-PARTY MASTER'!$B$6:$J$250,6,FALSE)</f>
        <v>0</v>
      </c>
      <c r="J310" s="201">
        <v>18</v>
      </c>
      <c r="K310" s="400">
        <v>5</v>
      </c>
      <c r="L310" s="202">
        <f t="shared" si="38"/>
        <v>0</v>
      </c>
      <c r="M310" s="202">
        <f t="shared" si="39"/>
        <v>0.44999999999999996</v>
      </c>
      <c r="N310" s="202">
        <f t="shared" si="40"/>
        <v>0.44999999999999996</v>
      </c>
      <c r="O310" s="8">
        <v>0</v>
      </c>
      <c r="P310" s="341" t="s">
        <v>177</v>
      </c>
      <c r="Q310" s="329">
        <f t="shared" si="41"/>
        <v>0</v>
      </c>
      <c r="R310" s="329">
        <f t="shared" si="42"/>
        <v>0.44999999999999996</v>
      </c>
      <c r="S310" s="329">
        <f t="shared" si="43"/>
        <v>0.44999999999999996</v>
      </c>
      <c r="T310" s="8">
        <f t="shared" si="44"/>
        <v>0</v>
      </c>
      <c r="U310" s="199">
        <f>VLOOKUP(A310,'PUR-PARTY MASTER'!$B$6:$J$250,7,FALSE)</f>
        <v>2</v>
      </c>
      <c r="V310" s="199" t="str">
        <f>VLOOKUP(A310,'PUR-PARTY MASTER'!$B$6:$J$250,8,FALSE)</f>
        <v>Local Pur</v>
      </c>
      <c r="W310" s="199" t="s">
        <v>894</v>
      </c>
      <c r="X310" s="404" t="s">
        <v>612</v>
      </c>
      <c r="Y310" s="201" t="str">
        <f>VLOOKUP(X310,'PUR-HSN MASTER'!$A$6:$D$247,2,FALSE)</f>
        <v>Financial  Related Services</v>
      </c>
      <c r="Z310" s="201" t="str">
        <f>VLOOKUP(X310,'PUR-HSN MASTER'!$A$6:$D$247,3,FALSE)</f>
        <v>NOS-NUMBERS</v>
      </c>
      <c r="AA310" s="334" t="str">
        <f>VLOOKUP(X310,'PUR-HSN MASTER'!$A$6:$D$247,4,FALSE)</f>
        <v>Goods</v>
      </c>
      <c r="AB310" s="401">
        <v>30</v>
      </c>
    </row>
    <row r="311" spans="1:28" ht="14.4" x14ac:dyDescent="0.3">
      <c r="A311" s="429" t="s">
        <v>392</v>
      </c>
      <c r="B311" s="199" t="str">
        <f>VLOOKUP(A311,'PUR-PARTY MASTER'!$B$6:$J$250,2,FALSE)</f>
        <v>Axis Bank Ltd</v>
      </c>
      <c r="C311" s="403"/>
      <c r="D311" s="398">
        <v>43138</v>
      </c>
      <c r="E311" s="329">
        <f t="shared" si="37"/>
        <v>29.5</v>
      </c>
      <c r="F311" s="199" t="str">
        <f>VLOOKUP(A311,'PUR-PARTY MASTER'!$B$6:$J$250,3,FALSE)</f>
        <v>27-Maharashatra</v>
      </c>
      <c r="G311" s="199" t="str">
        <f>VLOOKUP(A311,'PUR-PARTY MASTER'!$B$6:$J$250,4,FALSE)</f>
        <v>N</v>
      </c>
      <c r="H311" s="199" t="str">
        <f>VLOOKUP(A311,'PUR-PARTY MASTER'!$B$6:$J$250,5,FALSE)</f>
        <v>Regular</v>
      </c>
      <c r="I311" s="199">
        <f>VLOOKUP(A311,'PUR-PARTY MASTER'!$B$6:$J$250,6,FALSE)</f>
        <v>0</v>
      </c>
      <c r="J311" s="201">
        <v>18</v>
      </c>
      <c r="K311" s="400">
        <v>25</v>
      </c>
      <c r="L311" s="202">
        <f t="shared" si="38"/>
        <v>0</v>
      </c>
      <c r="M311" s="202">
        <f t="shared" si="39"/>
        <v>2.25</v>
      </c>
      <c r="N311" s="202">
        <f t="shared" si="40"/>
        <v>2.25</v>
      </c>
      <c r="O311" s="8">
        <v>0</v>
      </c>
      <c r="P311" s="341" t="s">
        <v>177</v>
      </c>
      <c r="Q311" s="329">
        <f t="shared" si="41"/>
        <v>0</v>
      </c>
      <c r="R311" s="329">
        <f t="shared" si="42"/>
        <v>2.25</v>
      </c>
      <c r="S311" s="329">
        <f t="shared" si="43"/>
        <v>2.25</v>
      </c>
      <c r="T311" s="8">
        <f t="shared" si="44"/>
        <v>0</v>
      </c>
      <c r="U311" s="199">
        <f>VLOOKUP(A311,'PUR-PARTY MASTER'!$B$6:$J$250,7,FALSE)</f>
        <v>2</v>
      </c>
      <c r="V311" s="199" t="str">
        <f>VLOOKUP(A311,'PUR-PARTY MASTER'!$B$6:$J$250,8,FALSE)</f>
        <v>Local Pur</v>
      </c>
      <c r="W311" s="199" t="s">
        <v>894</v>
      </c>
      <c r="X311" s="404" t="s">
        <v>612</v>
      </c>
      <c r="Y311" s="201" t="str">
        <f>VLOOKUP(X311,'PUR-HSN MASTER'!$A$6:$D$247,2,FALSE)</f>
        <v>Financial  Related Services</v>
      </c>
      <c r="Z311" s="201" t="str">
        <f>VLOOKUP(X311,'PUR-HSN MASTER'!$A$6:$D$247,3,FALSE)</f>
        <v>NOS-NUMBERS</v>
      </c>
      <c r="AA311" s="334" t="str">
        <f>VLOOKUP(X311,'PUR-HSN MASTER'!$A$6:$D$247,4,FALSE)</f>
        <v>Goods</v>
      </c>
      <c r="AB311" s="401">
        <v>30</v>
      </c>
    </row>
    <row r="312" spans="1:28" ht="14.4" x14ac:dyDescent="0.3">
      <c r="A312" s="429" t="s">
        <v>392</v>
      </c>
      <c r="B312" s="199" t="str">
        <f>VLOOKUP(A312,'PUR-PARTY MASTER'!$B$6:$J$250,2,FALSE)</f>
        <v>Axis Bank Ltd</v>
      </c>
      <c r="C312" s="403"/>
      <c r="D312" s="398">
        <v>43138</v>
      </c>
      <c r="E312" s="329">
        <f t="shared" si="37"/>
        <v>29.5</v>
      </c>
      <c r="F312" s="199" t="str">
        <f>VLOOKUP(A312,'PUR-PARTY MASTER'!$B$6:$J$250,3,FALSE)</f>
        <v>27-Maharashatra</v>
      </c>
      <c r="G312" s="199" t="str">
        <f>VLOOKUP(A312,'PUR-PARTY MASTER'!$B$6:$J$250,4,FALSE)</f>
        <v>N</v>
      </c>
      <c r="H312" s="199" t="str">
        <f>VLOOKUP(A312,'PUR-PARTY MASTER'!$B$6:$J$250,5,FALSE)</f>
        <v>Regular</v>
      </c>
      <c r="I312" s="199">
        <f>VLOOKUP(A312,'PUR-PARTY MASTER'!$B$6:$J$250,6,FALSE)</f>
        <v>0</v>
      </c>
      <c r="J312" s="201">
        <v>18</v>
      </c>
      <c r="K312" s="400">
        <v>25</v>
      </c>
      <c r="L312" s="202">
        <f t="shared" si="38"/>
        <v>0</v>
      </c>
      <c r="M312" s="202">
        <f t="shared" si="39"/>
        <v>2.25</v>
      </c>
      <c r="N312" s="202">
        <f t="shared" si="40"/>
        <v>2.25</v>
      </c>
      <c r="O312" s="8">
        <v>0</v>
      </c>
      <c r="P312" s="341" t="s">
        <v>177</v>
      </c>
      <c r="Q312" s="329">
        <f t="shared" si="41"/>
        <v>0</v>
      </c>
      <c r="R312" s="329">
        <f t="shared" si="42"/>
        <v>2.25</v>
      </c>
      <c r="S312" s="329">
        <f t="shared" si="43"/>
        <v>2.25</v>
      </c>
      <c r="T312" s="8">
        <f t="shared" si="44"/>
        <v>0</v>
      </c>
      <c r="U312" s="199">
        <f>VLOOKUP(A312,'PUR-PARTY MASTER'!$B$6:$J$250,7,FALSE)</f>
        <v>2</v>
      </c>
      <c r="V312" s="199" t="str">
        <f>VLOOKUP(A312,'PUR-PARTY MASTER'!$B$6:$J$250,8,FALSE)</f>
        <v>Local Pur</v>
      </c>
      <c r="W312" s="199" t="s">
        <v>894</v>
      </c>
      <c r="X312" s="404" t="s">
        <v>612</v>
      </c>
      <c r="Y312" s="201" t="str">
        <f>VLOOKUP(X312,'PUR-HSN MASTER'!$A$6:$D$247,2,FALSE)</f>
        <v>Financial  Related Services</v>
      </c>
      <c r="Z312" s="201" t="str">
        <f>VLOOKUP(X312,'PUR-HSN MASTER'!$A$6:$D$247,3,FALSE)</f>
        <v>NOS-NUMBERS</v>
      </c>
      <c r="AA312" s="334" t="str">
        <f>VLOOKUP(X312,'PUR-HSN MASTER'!$A$6:$D$247,4,FALSE)</f>
        <v>Goods</v>
      </c>
      <c r="AB312" s="401">
        <v>30</v>
      </c>
    </row>
    <row r="313" spans="1:28" ht="14.4" x14ac:dyDescent="0.3">
      <c r="A313" s="429" t="s">
        <v>392</v>
      </c>
      <c r="B313" s="199" t="str">
        <f>VLOOKUP(A313,'PUR-PARTY MASTER'!$B$6:$J$250,2,FALSE)</f>
        <v>Axis Bank Ltd</v>
      </c>
      <c r="C313" s="403"/>
      <c r="D313" s="398">
        <v>43138</v>
      </c>
      <c r="E313" s="329">
        <f t="shared" si="37"/>
        <v>17.700000000000003</v>
      </c>
      <c r="F313" s="199" t="str">
        <f>VLOOKUP(A313,'PUR-PARTY MASTER'!$B$6:$J$250,3,FALSE)</f>
        <v>27-Maharashatra</v>
      </c>
      <c r="G313" s="199" t="str">
        <f>VLOOKUP(A313,'PUR-PARTY MASTER'!$B$6:$J$250,4,FALSE)</f>
        <v>N</v>
      </c>
      <c r="H313" s="199" t="str">
        <f>VLOOKUP(A313,'PUR-PARTY MASTER'!$B$6:$J$250,5,FALSE)</f>
        <v>Regular</v>
      </c>
      <c r="I313" s="199">
        <f>VLOOKUP(A313,'PUR-PARTY MASTER'!$B$6:$J$250,6,FALSE)</f>
        <v>0</v>
      </c>
      <c r="J313" s="201">
        <v>18</v>
      </c>
      <c r="K313" s="400">
        <v>15</v>
      </c>
      <c r="L313" s="202">
        <f t="shared" si="38"/>
        <v>0</v>
      </c>
      <c r="M313" s="202">
        <f t="shared" si="39"/>
        <v>1.3499999999999999</v>
      </c>
      <c r="N313" s="202">
        <f t="shared" si="40"/>
        <v>1.3499999999999999</v>
      </c>
      <c r="O313" s="8">
        <v>0</v>
      </c>
      <c r="P313" s="341" t="s">
        <v>177</v>
      </c>
      <c r="Q313" s="329">
        <f t="shared" si="41"/>
        <v>0</v>
      </c>
      <c r="R313" s="329">
        <f t="shared" si="42"/>
        <v>1.3499999999999999</v>
      </c>
      <c r="S313" s="329">
        <f t="shared" si="43"/>
        <v>1.3499999999999999</v>
      </c>
      <c r="T313" s="8">
        <f t="shared" si="44"/>
        <v>0</v>
      </c>
      <c r="U313" s="199">
        <f>VLOOKUP(A313,'PUR-PARTY MASTER'!$B$6:$J$250,7,FALSE)</f>
        <v>2</v>
      </c>
      <c r="V313" s="199" t="str">
        <f>VLOOKUP(A313,'PUR-PARTY MASTER'!$B$6:$J$250,8,FALSE)</f>
        <v>Local Pur</v>
      </c>
      <c r="W313" s="199" t="s">
        <v>894</v>
      </c>
      <c r="X313" s="404" t="s">
        <v>612</v>
      </c>
      <c r="Y313" s="201" t="str">
        <f>VLOOKUP(X313,'PUR-HSN MASTER'!$A$6:$D$247,2,FALSE)</f>
        <v>Financial  Related Services</v>
      </c>
      <c r="Z313" s="201" t="str">
        <f>VLOOKUP(X313,'PUR-HSN MASTER'!$A$6:$D$247,3,FALSE)</f>
        <v>NOS-NUMBERS</v>
      </c>
      <c r="AA313" s="334" t="str">
        <f>VLOOKUP(X313,'PUR-HSN MASTER'!$A$6:$D$247,4,FALSE)</f>
        <v>Goods</v>
      </c>
      <c r="AB313" s="401">
        <v>30</v>
      </c>
    </row>
    <row r="314" spans="1:28" ht="14.4" x14ac:dyDescent="0.3">
      <c r="A314" s="429" t="s">
        <v>392</v>
      </c>
      <c r="B314" s="199" t="str">
        <f>VLOOKUP(A314,'PUR-PARTY MASTER'!$B$6:$J$250,2,FALSE)</f>
        <v>Axis Bank Ltd</v>
      </c>
      <c r="C314" s="403"/>
      <c r="D314" s="398">
        <v>43138</v>
      </c>
      <c r="E314" s="329">
        <f t="shared" si="37"/>
        <v>5.9</v>
      </c>
      <c r="F314" s="199" t="str">
        <f>VLOOKUP(A314,'PUR-PARTY MASTER'!$B$6:$J$250,3,FALSE)</f>
        <v>27-Maharashatra</v>
      </c>
      <c r="G314" s="199" t="str">
        <f>VLOOKUP(A314,'PUR-PARTY MASTER'!$B$6:$J$250,4,FALSE)</f>
        <v>N</v>
      </c>
      <c r="H314" s="199" t="str">
        <f>VLOOKUP(A314,'PUR-PARTY MASTER'!$B$6:$J$250,5,FALSE)</f>
        <v>Regular</v>
      </c>
      <c r="I314" s="199">
        <f>VLOOKUP(A314,'PUR-PARTY MASTER'!$B$6:$J$250,6,FALSE)</f>
        <v>0</v>
      </c>
      <c r="J314" s="201">
        <v>18</v>
      </c>
      <c r="K314" s="400">
        <v>5</v>
      </c>
      <c r="L314" s="202">
        <f t="shared" si="38"/>
        <v>0</v>
      </c>
      <c r="M314" s="202">
        <f t="shared" si="39"/>
        <v>0.44999999999999996</v>
      </c>
      <c r="N314" s="202">
        <f t="shared" si="40"/>
        <v>0.44999999999999996</v>
      </c>
      <c r="O314" s="8">
        <v>0</v>
      </c>
      <c r="P314" s="341" t="s">
        <v>177</v>
      </c>
      <c r="Q314" s="329">
        <f t="shared" si="41"/>
        <v>0</v>
      </c>
      <c r="R314" s="329">
        <f t="shared" si="42"/>
        <v>0.44999999999999996</v>
      </c>
      <c r="S314" s="329">
        <f t="shared" si="43"/>
        <v>0.44999999999999996</v>
      </c>
      <c r="T314" s="8">
        <f t="shared" si="44"/>
        <v>0</v>
      </c>
      <c r="U314" s="199">
        <f>VLOOKUP(A314,'PUR-PARTY MASTER'!$B$6:$J$250,7,FALSE)</f>
        <v>2</v>
      </c>
      <c r="V314" s="199" t="str">
        <f>VLOOKUP(A314,'PUR-PARTY MASTER'!$B$6:$J$250,8,FALSE)</f>
        <v>Local Pur</v>
      </c>
      <c r="W314" s="199" t="s">
        <v>894</v>
      </c>
      <c r="X314" s="404" t="s">
        <v>612</v>
      </c>
      <c r="Y314" s="201" t="str">
        <f>VLOOKUP(X314,'PUR-HSN MASTER'!$A$6:$D$247,2,FALSE)</f>
        <v>Financial  Related Services</v>
      </c>
      <c r="Z314" s="201" t="str">
        <f>VLOOKUP(X314,'PUR-HSN MASTER'!$A$6:$D$247,3,FALSE)</f>
        <v>NOS-NUMBERS</v>
      </c>
      <c r="AA314" s="334" t="str">
        <f>VLOOKUP(X314,'PUR-HSN MASTER'!$A$6:$D$247,4,FALSE)</f>
        <v>Goods</v>
      </c>
      <c r="AB314" s="401">
        <v>30</v>
      </c>
    </row>
    <row r="315" spans="1:28" ht="14.4" x14ac:dyDescent="0.3">
      <c r="A315" s="429" t="s">
        <v>392</v>
      </c>
      <c r="B315" s="199" t="str">
        <f>VLOOKUP(A315,'PUR-PARTY MASTER'!$B$6:$J$250,2,FALSE)</f>
        <v>Axis Bank Ltd</v>
      </c>
      <c r="C315" s="403"/>
      <c r="D315" s="398">
        <v>43138</v>
      </c>
      <c r="E315" s="329">
        <f t="shared" si="37"/>
        <v>17.700000000000003</v>
      </c>
      <c r="F315" s="199" t="str">
        <f>VLOOKUP(A315,'PUR-PARTY MASTER'!$B$6:$J$250,3,FALSE)</f>
        <v>27-Maharashatra</v>
      </c>
      <c r="G315" s="199" t="str">
        <f>VLOOKUP(A315,'PUR-PARTY MASTER'!$B$6:$J$250,4,FALSE)</f>
        <v>N</v>
      </c>
      <c r="H315" s="199" t="str">
        <f>VLOOKUP(A315,'PUR-PARTY MASTER'!$B$6:$J$250,5,FALSE)</f>
        <v>Regular</v>
      </c>
      <c r="I315" s="199">
        <f>VLOOKUP(A315,'PUR-PARTY MASTER'!$B$6:$J$250,6,FALSE)</f>
        <v>0</v>
      </c>
      <c r="J315" s="201">
        <v>18</v>
      </c>
      <c r="K315" s="400">
        <v>15</v>
      </c>
      <c r="L315" s="202">
        <f t="shared" si="38"/>
        <v>0</v>
      </c>
      <c r="M315" s="202">
        <f t="shared" si="39"/>
        <v>1.3499999999999999</v>
      </c>
      <c r="N315" s="202">
        <f t="shared" si="40"/>
        <v>1.3499999999999999</v>
      </c>
      <c r="O315" s="8">
        <v>0</v>
      </c>
      <c r="P315" s="341" t="s">
        <v>177</v>
      </c>
      <c r="Q315" s="329">
        <f t="shared" si="41"/>
        <v>0</v>
      </c>
      <c r="R315" s="329">
        <f t="shared" si="42"/>
        <v>1.3499999999999999</v>
      </c>
      <c r="S315" s="329">
        <f t="shared" si="43"/>
        <v>1.3499999999999999</v>
      </c>
      <c r="T315" s="8">
        <f t="shared" si="44"/>
        <v>0</v>
      </c>
      <c r="U315" s="199">
        <f>VLOOKUP(A315,'PUR-PARTY MASTER'!$B$6:$J$250,7,FALSE)</f>
        <v>2</v>
      </c>
      <c r="V315" s="199" t="str">
        <f>VLOOKUP(A315,'PUR-PARTY MASTER'!$B$6:$J$250,8,FALSE)</f>
        <v>Local Pur</v>
      </c>
      <c r="W315" s="199" t="s">
        <v>894</v>
      </c>
      <c r="X315" s="404" t="s">
        <v>612</v>
      </c>
      <c r="Y315" s="201" t="str">
        <f>VLOOKUP(X315,'PUR-HSN MASTER'!$A$6:$D$247,2,FALSE)</f>
        <v>Financial  Related Services</v>
      </c>
      <c r="Z315" s="201" t="str">
        <f>VLOOKUP(X315,'PUR-HSN MASTER'!$A$6:$D$247,3,FALSE)</f>
        <v>NOS-NUMBERS</v>
      </c>
      <c r="AA315" s="334" t="str">
        <f>VLOOKUP(X315,'PUR-HSN MASTER'!$A$6:$D$247,4,FALSE)</f>
        <v>Goods</v>
      </c>
      <c r="AB315" s="401">
        <v>30</v>
      </c>
    </row>
    <row r="316" spans="1:28" ht="14.4" x14ac:dyDescent="0.3">
      <c r="A316" s="429" t="s">
        <v>392</v>
      </c>
      <c r="B316" s="199" t="str">
        <f>VLOOKUP(A316,'PUR-PARTY MASTER'!$B$6:$J$250,2,FALSE)</f>
        <v>Axis Bank Ltd</v>
      </c>
      <c r="C316" s="403"/>
      <c r="D316" s="398">
        <v>43139</v>
      </c>
      <c r="E316" s="329">
        <f t="shared" si="37"/>
        <v>29.5</v>
      </c>
      <c r="F316" s="199" t="str">
        <f>VLOOKUP(A316,'PUR-PARTY MASTER'!$B$6:$J$250,3,FALSE)</f>
        <v>27-Maharashatra</v>
      </c>
      <c r="G316" s="199" t="str">
        <f>VLOOKUP(A316,'PUR-PARTY MASTER'!$B$6:$J$250,4,FALSE)</f>
        <v>N</v>
      </c>
      <c r="H316" s="199" t="str">
        <f>VLOOKUP(A316,'PUR-PARTY MASTER'!$B$6:$J$250,5,FALSE)</f>
        <v>Regular</v>
      </c>
      <c r="I316" s="199">
        <f>VLOOKUP(A316,'PUR-PARTY MASTER'!$B$6:$J$250,6,FALSE)</f>
        <v>0</v>
      </c>
      <c r="J316" s="201">
        <v>18</v>
      </c>
      <c r="K316" s="400">
        <v>25</v>
      </c>
      <c r="L316" s="202">
        <f t="shared" si="38"/>
        <v>0</v>
      </c>
      <c r="M316" s="202">
        <f t="shared" si="39"/>
        <v>2.25</v>
      </c>
      <c r="N316" s="202">
        <f t="shared" si="40"/>
        <v>2.25</v>
      </c>
      <c r="O316" s="8">
        <v>0</v>
      </c>
      <c r="P316" s="341" t="s">
        <v>177</v>
      </c>
      <c r="Q316" s="329">
        <f t="shared" si="41"/>
        <v>0</v>
      </c>
      <c r="R316" s="329">
        <f t="shared" si="42"/>
        <v>2.25</v>
      </c>
      <c r="S316" s="329">
        <f t="shared" si="43"/>
        <v>2.25</v>
      </c>
      <c r="T316" s="8">
        <f t="shared" si="44"/>
        <v>0</v>
      </c>
      <c r="U316" s="199">
        <f>VLOOKUP(A316,'PUR-PARTY MASTER'!$B$6:$J$250,7,FALSE)</f>
        <v>2</v>
      </c>
      <c r="V316" s="199" t="str">
        <f>VLOOKUP(A316,'PUR-PARTY MASTER'!$B$6:$J$250,8,FALSE)</f>
        <v>Local Pur</v>
      </c>
      <c r="W316" s="199" t="s">
        <v>894</v>
      </c>
      <c r="X316" s="404" t="s">
        <v>612</v>
      </c>
      <c r="Y316" s="201" t="str">
        <f>VLOOKUP(X316,'PUR-HSN MASTER'!$A$6:$D$247,2,FALSE)</f>
        <v>Financial  Related Services</v>
      </c>
      <c r="Z316" s="201" t="str">
        <f>VLOOKUP(X316,'PUR-HSN MASTER'!$A$6:$D$247,3,FALSE)</f>
        <v>NOS-NUMBERS</v>
      </c>
      <c r="AA316" s="334" t="str">
        <f>VLOOKUP(X316,'PUR-HSN MASTER'!$A$6:$D$247,4,FALSE)</f>
        <v>Goods</v>
      </c>
      <c r="AB316" s="401">
        <v>30</v>
      </c>
    </row>
    <row r="317" spans="1:28" ht="14.4" x14ac:dyDescent="0.3">
      <c r="A317" s="429" t="s">
        <v>392</v>
      </c>
      <c r="B317" s="199" t="str">
        <f>VLOOKUP(A317,'PUR-PARTY MASTER'!$B$6:$J$250,2,FALSE)</f>
        <v>Axis Bank Ltd</v>
      </c>
      <c r="C317" s="403"/>
      <c r="D317" s="398">
        <v>43139</v>
      </c>
      <c r="E317" s="329">
        <f t="shared" si="37"/>
        <v>29.5</v>
      </c>
      <c r="F317" s="199" t="str">
        <f>VLOOKUP(A317,'PUR-PARTY MASTER'!$B$6:$J$250,3,FALSE)</f>
        <v>27-Maharashatra</v>
      </c>
      <c r="G317" s="199" t="str">
        <f>VLOOKUP(A317,'PUR-PARTY MASTER'!$B$6:$J$250,4,FALSE)</f>
        <v>N</v>
      </c>
      <c r="H317" s="199" t="str">
        <f>VLOOKUP(A317,'PUR-PARTY MASTER'!$B$6:$J$250,5,FALSE)</f>
        <v>Regular</v>
      </c>
      <c r="I317" s="199">
        <f>VLOOKUP(A317,'PUR-PARTY MASTER'!$B$6:$J$250,6,FALSE)</f>
        <v>0</v>
      </c>
      <c r="J317" s="201">
        <v>18</v>
      </c>
      <c r="K317" s="400">
        <v>25</v>
      </c>
      <c r="L317" s="202">
        <f t="shared" si="38"/>
        <v>0</v>
      </c>
      <c r="M317" s="202">
        <f t="shared" si="39"/>
        <v>2.25</v>
      </c>
      <c r="N317" s="202">
        <f t="shared" si="40"/>
        <v>2.25</v>
      </c>
      <c r="O317" s="8">
        <v>0</v>
      </c>
      <c r="P317" s="341" t="s">
        <v>177</v>
      </c>
      <c r="Q317" s="329">
        <f t="shared" si="41"/>
        <v>0</v>
      </c>
      <c r="R317" s="329">
        <f t="shared" si="42"/>
        <v>2.25</v>
      </c>
      <c r="S317" s="329">
        <f t="shared" si="43"/>
        <v>2.25</v>
      </c>
      <c r="T317" s="8">
        <f t="shared" si="44"/>
        <v>0</v>
      </c>
      <c r="U317" s="199">
        <f>VLOOKUP(A317,'PUR-PARTY MASTER'!$B$6:$J$250,7,FALSE)</f>
        <v>2</v>
      </c>
      <c r="V317" s="199" t="str">
        <f>VLOOKUP(A317,'PUR-PARTY MASTER'!$B$6:$J$250,8,FALSE)</f>
        <v>Local Pur</v>
      </c>
      <c r="W317" s="199" t="s">
        <v>894</v>
      </c>
      <c r="X317" s="404" t="s">
        <v>612</v>
      </c>
      <c r="Y317" s="201" t="str">
        <f>VLOOKUP(X317,'PUR-HSN MASTER'!$A$6:$D$247,2,FALSE)</f>
        <v>Financial  Related Services</v>
      </c>
      <c r="Z317" s="201" t="str">
        <f>VLOOKUP(X317,'PUR-HSN MASTER'!$A$6:$D$247,3,FALSE)</f>
        <v>NOS-NUMBERS</v>
      </c>
      <c r="AA317" s="334" t="str">
        <f>VLOOKUP(X317,'PUR-HSN MASTER'!$A$6:$D$247,4,FALSE)</f>
        <v>Goods</v>
      </c>
      <c r="AB317" s="401">
        <v>30</v>
      </c>
    </row>
    <row r="318" spans="1:28" ht="14.4" x14ac:dyDescent="0.3">
      <c r="A318" s="429" t="s">
        <v>392</v>
      </c>
      <c r="B318" s="199" t="str">
        <f>VLOOKUP(A318,'PUR-PARTY MASTER'!$B$6:$J$250,2,FALSE)</f>
        <v>Axis Bank Ltd</v>
      </c>
      <c r="C318" s="403"/>
      <c r="D318" s="398">
        <v>43143</v>
      </c>
      <c r="E318" s="329">
        <f t="shared" si="37"/>
        <v>29.5</v>
      </c>
      <c r="F318" s="199" t="str">
        <f>VLOOKUP(A318,'PUR-PARTY MASTER'!$B$6:$J$250,3,FALSE)</f>
        <v>27-Maharashatra</v>
      </c>
      <c r="G318" s="199" t="str">
        <f>VLOOKUP(A318,'PUR-PARTY MASTER'!$B$6:$J$250,4,FALSE)</f>
        <v>N</v>
      </c>
      <c r="H318" s="199" t="str">
        <f>VLOOKUP(A318,'PUR-PARTY MASTER'!$B$6:$J$250,5,FALSE)</f>
        <v>Regular</v>
      </c>
      <c r="I318" s="199">
        <f>VLOOKUP(A318,'PUR-PARTY MASTER'!$B$6:$J$250,6,FALSE)</f>
        <v>0</v>
      </c>
      <c r="J318" s="201">
        <v>18</v>
      </c>
      <c r="K318" s="400">
        <v>25</v>
      </c>
      <c r="L318" s="202">
        <f t="shared" si="38"/>
        <v>0</v>
      </c>
      <c r="M318" s="202">
        <f t="shared" si="39"/>
        <v>2.25</v>
      </c>
      <c r="N318" s="202">
        <f t="shared" si="40"/>
        <v>2.25</v>
      </c>
      <c r="O318" s="8">
        <v>0</v>
      </c>
      <c r="P318" s="341" t="s">
        <v>177</v>
      </c>
      <c r="Q318" s="329">
        <f t="shared" si="41"/>
        <v>0</v>
      </c>
      <c r="R318" s="329">
        <f t="shared" si="42"/>
        <v>2.25</v>
      </c>
      <c r="S318" s="329">
        <f t="shared" si="43"/>
        <v>2.25</v>
      </c>
      <c r="T318" s="8">
        <f t="shared" si="44"/>
        <v>0</v>
      </c>
      <c r="U318" s="199">
        <f>VLOOKUP(A318,'PUR-PARTY MASTER'!$B$6:$J$250,7,FALSE)</f>
        <v>2</v>
      </c>
      <c r="V318" s="199" t="str">
        <f>VLOOKUP(A318,'PUR-PARTY MASTER'!$B$6:$J$250,8,FALSE)</f>
        <v>Local Pur</v>
      </c>
      <c r="W318" s="199" t="s">
        <v>894</v>
      </c>
      <c r="X318" s="404" t="s">
        <v>612</v>
      </c>
      <c r="Y318" s="201" t="str">
        <f>VLOOKUP(X318,'PUR-HSN MASTER'!$A$6:$D$247,2,FALSE)</f>
        <v>Financial  Related Services</v>
      </c>
      <c r="Z318" s="201" t="str">
        <f>VLOOKUP(X318,'PUR-HSN MASTER'!$A$6:$D$247,3,FALSE)</f>
        <v>NOS-NUMBERS</v>
      </c>
      <c r="AA318" s="334" t="str">
        <f>VLOOKUP(X318,'PUR-HSN MASTER'!$A$6:$D$247,4,FALSE)</f>
        <v>Goods</v>
      </c>
      <c r="AB318" s="401">
        <v>30</v>
      </c>
    </row>
    <row r="319" spans="1:28" ht="14.4" x14ac:dyDescent="0.3">
      <c r="A319" s="429" t="s">
        <v>392</v>
      </c>
      <c r="B319" s="199" t="str">
        <f>VLOOKUP(A319,'PUR-PARTY MASTER'!$B$6:$J$250,2,FALSE)</f>
        <v>Axis Bank Ltd</v>
      </c>
      <c r="C319" s="403"/>
      <c r="D319" s="398">
        <v>43143</v>
      </c>
      <c r="E319" s="329">
        <f t="shared" si="37"/>
        <v>5.9</v>
      </c>
      <c r="F319" s="199" t="str">
        <f>VLOOKUP(A319,'PUR-PARTY MASTER'!$B$6:$J$250,3,FALSE)</f>
        <v>27-Maharashatra</v>
      </c>
      <c r="G319" s="199" t="str">
        <f>VLOOKUP(A319,'PUR-PARTY MASTER'!$B$6:$J$250,4,FALSE)</f>
        <v>N</v>
      </c>
      <c r="H319" s="199" t="str">
        <f>VLOOKUP(A319,'PUR-PARTY MASTER'!$B$6:$J$250,5,FALSE)</f>
        <v>Regular</v>
      </c>
      <c r="I319" s="199">
        <f>VLOOKUP(A319,'PUR-PARTY MASTER'!$B$6:$J$250,6,FALSE)</f>
        <v>0</v>
      </c>
      <c r="J319" s="201">
        <v>18</v>
      </c>
      <c r="K319" s="400">
        <v>5</v>
      </c>
      <c r="L319" s="202">
        <f t="shared" si="38"/>
        <v>0</v>
      </c>
      <c r="M319" s="202">
        <f t="shared" si="39"/>
        <v>0.44999999999999996</v>
      </c>
      <c r="N319" s="202">
        <f t="shared" si="40"/>
        <v>0.44999999999999996</v>
      </c>
      <c r="O319" s="8">
        <v>0</v>
      </c>
      <c r="P319" s="341" t="s">
        <v>177</v>
      </c>
      <c r="Q319" s="329">
        <f t="shared" si="41"/>
        <v>0</v>
      </c>
      <c r="R319" s="329">
        <f t="shared" si="42"/>
        <v>0.44999999999999996</v>
      </c>
      <c r="S319" s="329">
        <f t="shared" si="43"/>
        <v>0.44999999999999996</v>
      </c>
      <c r="T319" s="8">
        <f t="shared" si="44"/>
        <v>0</v>
      </c>
      <c r="U319" s="199">
        <f>VLOOKUP(A319,'PUR-PARTY MASTER'!$B$6:$J$250,7,FALSE)</f>
        <v>2</v>
      </c>
      <c r="V319" s="199" t="str">
        <f>VLOOKUP(A319,'PUR-PARTY MASTER'!$B$6:$J$250,8,FALSE)</f>
        <v>Local Pur</v>
      </c>
      <c r="W319" s="199" t="s">
        <v>894</v>
      </c>
      <c r="X319" s="404" t="s">
        <v>612</v>
      </c>
      <c r="Y319" s="201" t="str">
        <f>VLOOKUP(X319,'PUR-HSN MASTER'!$A$6:$D$247,2,FALSE)</f>
        <v>Financial  Related Services</v>
      </c>
      <c r="Z319" s="201" t="str">
        <f>VLOOKUP(X319,'PUR-HSN MASTER'!$A$6:$D$247,3,FALSE)</f>
        <v>NOS-NUMBERS</v>
      </c>
      <c r="AA319" s="334" t="str">
        <f>VLOOKUP(X319,'PUR-HSN MASTER'!$A$6:$D$247,4,FALSE)</f>
        <v>Goods</v>
      </c>
      <c r="AB319" s="401">
        <v>30</v>
      </c>
    </row>
    <row r="320" spans="1:28" ht="14.4" x14ac:dyDescent="0.3">
      <c r="A320" s="429" t="s">
        <v>392</v>
      </c>
      <c r="B320" s="199" t="str">
        <f>VLOOKUP(A320,'PUR-PARTY MASTER'!$B$6:$J$250,2,FALSE)</f>
        <v>Axis Bank Ltd</v>
      </c>
      <c r="C320" s="403"/>
      <c r="D320" s="398">
        <v>43147</v>
      </c>
      <c r="E320" s="329">
        <f t="shared" si="37"/>
        <v>29.5</v>
      </c>
      <c r="F320" s="199" t="str">
        <f>VLOOKUP(A320,'PUR-PARTY MASTER'!$B$6:$J$250,3,FALSE)</f>
        <v>27-Maharashatra</v>
      </c>
      <c r="G320" s="199" t="str">
        <f>VLOOKUP(A320,'PUR-PARTY MASTER'!$B$6:$J$250,4,FALSE)</f>
        <v>N</v>
      </c>
      <c r="H320" s="199" t="str">
        <f>VLOOKUP(A320,'PUR-PARTY MASTER'!$B$6:$J$250,5,FALSE)</f>
        <v>Regular</v>
      </c>
      <c r="I320" s="199">
        <f>VLOOKUP(A320,'PUR-PARTY MASTER'!$B$6:$J$250,6,FALSE)</f>
        <v>0</v>
      </c>
      <c r="J320" s="201">
        <v>18</v>
      </c>
      <c r="K320" s="400">
        <v>25</v>
      </c>
      <c r="L320" s="202">
        <f t="shared" si="38"/>
        <v>0</v>
      </c>
      <c r="M320" s="202">
        <f t="shared" si="39"/>
        <v>2.25</v>
      </c>
      <c r="N320" s="202">
        <f t="shared" si="40"/>
        <v>2.25</v>
      </c>
      <c r="O320" s="8">
        <v>0</v>
      </c>
      <c r="P320" s="341" t="s">
        <v>177</v>
      </c>
      <c r="Q320" s="329">
        <f t="shared" si="41"/>
        <v>0</v>
      </c>
      <c r="R320" s="329">
        <f t="shared" si="42"/>
        <v>2.25</v>
      </c>
      <c r="S320" s="329">
        <f t="shared" si="43"/>
        <v>2.25</v>
      </c>
      <c r="T320" s="8">
        <f t="shared" si="44"/>
        <v>0</v>
      </c>
      <c r="U320" s="199">
        <f>VLOOKUP(A320,'PUR-PARTY MASTER'!$B$6:$J$250,7,FALSE)</f>
        <v>2</v>
      </c>
      <c r="V320" s="199" t="str">
        <f>VLOOKUP(A320,'PUR-PARTY MASTER'!$B$6:$J$250,8,FALSE)</f>
        <v>Local Pur</v>
      </c>
      <c r="W320" s="199" t="s">
        <v>894</v>
      </c>
      <c r="X320" s="404" t="s">
        <v>612</v>
      </c>
      <c r="Y320" s="201" t="str">
        <f>VLOOKUP(X320,'PUR-HSN MASTER'!$A$6:$D$247,2,FALSE)</f>
        <v>Financial  Related Services</v>
      </c>
      <c r="Z320" s="201" t="str">
        <f>VLOOKUP(X320,'PUR-HSN MASTER'!$A$6:$D$247,3,FALSE)</f>
        <v>NOS-NUMBERS</v>
      </c>
      <c r="AA320" s="334" t="str">
        <f>VLOOKUP(X320,'PUR-HSN MASTER'!$A$6:$D$247,4,FALSE)</f>
        <v>Goods</v>
      </c>
      <c r="AB320" s="401">
        <v>30</v>
      </c>
    </row>
    <row r="321" spans="1:28" ht="14.4" x14ac:dyDescent="0.3">
      <c r="A321" s="429" t="s">
        <v>392</v>
      </c>
      <c r="B321" s="199" t="str">
        <f>VLOOKUP(A321,'PUR-PARTY MASTER'!$B$6:$J$250,2,FALSE)</f>
        <v>Axis Bank Ltd</v>
      </c>
      <c r="C321" s="403"/>
      <c r="D321" s="398">
        <v>43151</v>
      </c>
      <c r="E321" s="329">
        <f t="shared" si="37"/>
        <v>29.5</v>
      </c>
      <c r="F321" s="199" t="str">
        <f>VLOOKUP(A321,'PUR-PARTY MASTER'!$B$6:$J$250,3,FALSE)</f>
        <v>27-Maharashatra</v>
      </c>
      <c r="G321" s="199" t="str">
        <f>VLOOKUP(A321,'PUR-PARTY MASTER'!$B$6:$J$250,4,FALSE)</f>
        <v>N</v>
      </c>
      <c r="H321" s="199" t="str">
        <f>VLOOKUP(A321,'PUR-PARTY MASTER'!$B$6:$J$250,5,FALSE)</f>
        <v>Regular</v>
      </c>
      <c r="I321" s="199">
        <f>VLOOKUP(A321,'PUR-PARTY MASTER'!$B$6:$J$250,6,FALSE)</f>
        <v>0</v>
      </c>
      <c r="J321" s="201">
        <v>18</v>
      </c>
      <c r="K321" s="400">
        <v>25</v>
      </c>
      <c r="L321" s="202">
        <f t="shared" si="38"/>
        <v>0</v>
      </c>
      <c r="M321" s="202">
        <f t="shared" si="39"/>
        <v>2.25</v>
      </c>
      <c r="N321" s="202">
        <f t="shared" si="40"/>
        <v>2.25</v>
      </c>
      <c r="O321" s="8">
        <v>0</v>
      </c>
      <c r="P321" s="341" t="s">
        <v>177</v>
      </c>
      <c r="Q321" s="329">
        <f t="shared" si="41"/>
        <v>0</v>
      </c>
      <c r="R321" s="329">
        <f t="shared" si="42"/>
        <v>2.25</v>
      </c>
      <c r="S321" s="329">
        <f t="shared" si="43"/>
        <v>2.25</v>
      </c>
      <c r="T321" s="8">
        <f t="shared" si="44"/>
        <v>0</v>
      </c>
      <c r="U321" s="199">
        <f>VLOOKUP(A321,'PUR-PARTY MASTER'!$B$6:$J$250,7,FALSE)</f>
        <v>2</v>
      </c>
      <c r="V321" s="199" t="str">
        <f>VLOOKUP(A321,'PUR-PARTY MASTER'!$B$6:$J$250,8,FALSE)</f>
        <v>Local Pur</v>
      </c>
      <c r="W321" s="199" t="s">
        <v>894</v>
      </c>
      <c r="X321" s="404" t="s">
        <v>612</v>
      </c>
      <c r="Y321" s="201" t="str">
        <f>VLOOKUP(X321,'PUR-HSN MASTER'!$A$6:$D$247,2,FALSE)</f>
        <v>Financial  Related Services</v>
      </c>
      <c r="Z321" s="201" t="str">
        <f>VLOOKUP(X321,'PUR-HSN MASTER'!$A$6:$D$247,3,FALSE)</f>
        <v>NOS-NUMBERS</v>
      </c>
      <c r="AA321" s="334" t="str">
        <f>VLOOKUP(X321,'PUR-HSN MASTER'!$A$6:$D$247,4,FALSE)</f>
        <v>Goods</v>
      </c>
      <c r="AB321" s="401">
        <v>30</v>
      </c>
    </row>
    <row r="322" spans="1:28" ht="14.4" x14ac:dyDescent="0.3">
      <c r="A322" s="429" t="s">
        <v>392</v>
      </c>
      <c r="B322" s="199" t="str">
        <f>VLOOKUP(A322,'PUR-PARTY MASTER'!$B$6:$J$250,2,FALSE)</f>
        <v>Axis Bank Ltd</v>
      </c>
      <c r="C322" s="403"/>
      <c r="D322" s="398">
        <v>43158</v>
      </c>
      <c r="E322" s="329">
        <f t="shared" si="37"/>
        <v>5.9</v>
      </c>
      <c r="F322" s="199" t="str">
        <f>VLOOKUP(A322,'PUR-PARTY MASTER'!$B$6:$J$250,3,FALSE)</f>
        <v>27-Maharashatra</v>
      </c>
      <c r="G322" s="199" t="str">
        <f>VLOOKUP(A322,'PUR-PARTY MASTER'!$B$6:$J$250,4,FALSE)</f>
        <v>N</v>
      </c>
      <c r="H322" s="199" t="str">
        <f>VLOOKUP(A322,'PUR-PARTY MASTER'!$B$6:$J$250,5,FALSE)</f>
        <v>Regular</v>
      </c>
      <c r="I322" s="199">
        <f>VLOOKUP(A322,'PUR-PARTY MASTER'!$B$6:$J$250,6,FALSE)</f>
        <v>0</v>
      </c>
      <c r="J322" s="201">
        <v>18</v>
      </c>
      <c r="K322" s="400">
        <v>5</v>
      </c>
      <c r="L322" s="202">
        <f t="shared" si="38"/>
        <v>0</v>
      </c>
      <c r="M322" s="202">
        <f t="shared" si="39"/>
        <v>0.44999999999999996</v>
      </c>
      <c r="N322" s="202">
        <f t="shared" si="40"/>
        <v>0.44999999999999996</v>
      </c>
      <c r="O322" s="8">
        <v>0</v>
      </c>
      <c r="P322" s="341" t="s">
        <v>177</v>
      </c>
      <c r="Q322" s="329">
        <f t="shared" si="41"/>
        <v>0</v>
      </c>
      <c r="R322" s="329">
        <f t="shared" si="42"/>
        <v>0.44999999999999996</v>
      </c>
      <c r="S322" s="329">
        <f t="shared" si="43"/>
        <v>0.44999999999999996</v>
      </c>
      <c r="T322" s="8">
        <f t="shared" si="44"/>
        <v>0</v>
      </c>
      <c r="U322" s="199">
        <f>VLOOKUP(A322,'PUR-PARTY MASTER'!$B$6:$J$250,7,FALSE)</f>
        <v>2</v>
      </c>
      <c r="V322" s="199" t="str">
        <f>VLOOKUP(A322,'PUR-PARTY MASTER'!$B$6:$J$250,8,FALSE)</f>
        <v>Local Pur</v>
      </c>
      <c r="W322" s="199" t="s">
        <v>894</v>
      </c>
      <c r="X322" s="404" t="s">
        <v>612</v>
      </c>
      <c r="Y322" s="201" t="str">
        <f>VLOOKUP(X322,'PUR-HSN MASTER'!$A$6:$D$247,2,FALSE)</f>
        <v>Financial  Related Services</v>
      </c>
      <c r="Z322" s="201" t="str">
        <f>VLOOKUP(X322,'PUR-HSN MASTER'!$A$6:$D$247,3,FALSE)</f>
        <v>NOS-NUMBERS</v>
      </c>
      <c r="AA322" s="334" t="str">
        <f>VLOOKUP(X322,'PUR-HSN MASTER'!$A$6:$D$247,4,FALSE)</f>
        <v>Goods</v>
      </c>
      <c r="AB322" s="401">
        <v>30</v>
      </c>
    </row>
    <row r="323" spans="1:28" ht="14.4" x14ac:dyDescent="0.3">
      <c r="A323" s="429" t="s">
        <v>392</v>
      </c>
      <c r="B323" s="199" t="str">
        <f>VLOOKUP(A323,'PUR-PARTY MASTER'!$B$6:$J$250,2,FALSE)</f>
        <v>Axis Bank Ltd</v>
      </c>
      <c r="C323" s="403"/>
      <c r="D323" s="398">
        <v>43158</v>
      </c>
      <c r="E323" s="329">
        <f t="shared" si="37"/>
        <v>29.5</v>
      </c>
      <c r="F323" s="199" t="str">
        <f>VLOOKUP(A323,'PUR-PARTY MASTER'!$B$6:$J$250,3,FALSE)</f>
        <v>27-Maharashatra</v>
      </c>
      <c r="G323" s="199" t="str">
        <f>VLOOKUP(A323,'PUR-PARTY MASTER'!$B$6:$J$250,4,FALSE)</f>
        <v>N</v>
      </c>
      <c r="H323" s="199" t="str">
        <f>VLOOKUP(A323,'PUR-PARTY MASTER'!$B$6:$J$250,5,FALSE)</f>
        <v>Regular</v>
      </c>
      <c r="I323" s="199">
        <f>VLOOKUP(A323,'PUR-PARTY MASTER'!$B$6:$J$250,6,FALSE)</f>
        <v>0</v>
      </c>
      <c r="J323" s="201">
        <v>18</v>
      </c>
      <c r="K323" s="400">
        <v>25</v>
      </c>
      <c r="L323" s="202">
        <f t="shared" si="38"/>
        <v>0</v>
      </c>
      <c r="M323" s="202">
        <f t="shared" si="39"/>
        <v>2.25</v>
      </c>
      <c r="N323" s="202">
        <f t="shared" si="40"/>
        <v>2.25</v>
      </c>
      <c r="O323" s="8">
        <v>0</v>
      </c>
      <c r="P323" s="341" t="s">
        <v>177</v>
      </c>
      <c r="Q323" s="329">
        <f t="shared" si="41"/>
        <v>0</v>
      </c>
      <c r="R323" s="329">
        <f t="shared" si="42"/>
        <v>2.25</v>
      </c>
      <c r="S323" s="329">
        <f t="shared" si="43"/>
        <v>2.25</v>
      </c>
      <c r="T323" s="8">
        <f t="shared" si="44"/>
        <v>0</v>
      </c>
      <c r="U323" s="199">
        <f>VLOOKUP(A323,'PUR-PARTY MASTER'!$B$6:$J$250,7,FALSE)</f>
        <v>2</v>
      </c>
      <c r="V323" s="199" t="str">
        <f>VLOOKUP(A323,'PUR-PARTY MASTER'!$B$6:$J$250,8,FALSE)</f>
        <v>Local Pur</v>
      </c>
      <c r="W323" s="199" t="s">
        <v>894</v>
      </c>
      <c r="X323" s="404" t="s">
        <v>612</v>
      </c>
      <c r="Y323" s="201" t="str">
        <f>VLOOKUP(X323,'PUR-HSN MASTER'!$A$6:$D$247,2,FALSE)</f>
        <v>Financial  Related Services</v>
      </c>
      <c r="Z323" s="201" t="str">
        <f>VLOOKUP(X323,'PUR-HSN MASTER'!$A$6:$D$247,3,FALSE)</f>
        <v>NOS-NUMBERS</v>
      </c>
      <c r="AA323" s="334" t="str">
        <f>VLOOKUP(X323,'PUR-HSN MASTER'!$A$6:$D$247,4,FALSE)</f>
        <v>Goods</v>
      </c>
      <c r="AB323" s="401">
        <v>30</v>
      </c>
    </row>
    <row r="324" spans="1:28" ht="14.4" x14ac:dyDescent="0.3">
      <c r="A324" s="429" t="s">
        <v>392</v>
      </c>
      <c r="B324" s="199" t="str">
        <f>VLOOKUP(A324,'PUR-PARTY MASTER'!$B$6:$J$250,2,FALSE)</f>
        <v>Axis Bank Ltd</v>
      </c>
      <c r="C324" s="403"/>
      <c r="D324" s="398">
        <v>43158</v>
      </c>
      <c r="E324" s="329">
        <f t="shared" si="37"/>
        <v>29.5</v>
      </c>
      <c r="F324" s="199" t="str">
        <f>VLOOKUP(A324,'PUR-PARTY MASTER'!$B$6:$J$250,3,FALSE)</f>
        <v>27-Maharashatra</v>
      </c>
      <c r="G324" s="199" t="str">
        <f>VLOOKUP(A324,'PUR-PARTY MASTER'!$B$6:$J$250,4,FALSE)</f>
        <v>N</v>
      </c>
      <c r="H324" s="199" t="str">
        <f>VLOOKUP(A324,'PUR-PARTY MASTER'!$B$6:$J$250,5,FALSE)</f>
        <v>Regular</v>
      </c>
      <c r="I324" s="199">
        <f>VLOOKUP(A324,'PUR-PARTY MASTER'!$B$6:$J$250,6,FALSE)</f>
        <v>0</v>
      </c>
      <c r="J324" s="201">
        <v>18</v>
      </c>
      <c r="K324" s="400">
        <v>25</v>
      </c>
      <c r="L324" s="202">
        <f t="shared" si="38"/>
        <v>0</v>
      </c>
      <c r="M324" s="202">
        <f t="shared" si="39"/>
        <v>2.25</v>
      </c>
      <c r="N324" s="202">
        <f t="shared" si="40"/>
        <v>2.25</v>
      </c>
      <c r="O324" s="8">
        <v>0</v>
      </c>
      <c r="P324" s="341" t="s">
        <v>177</v>
      </c>
      <c r="Q324" s="329">
        <f t="shared" si="41"/>
        <v>0</v>
      </c>
      <c r="R324" s="329">
        <f t="shared" si="42"/>
        <v>2.25</v>
      </c>
      <c r="S324" s="329">
        <f t="shared" si="43"/>
        <v>2.25</v>
      </c>
      <c r="T324" s="8">
        <f t="shared" si="44"/>
        <v>0</v>
      </c>
      <c r="U324" s="199">
        <f>VLOOKUP(A324,'PUR-PARTY MASTER'!$B$6:$J$250,7,FALSE)</f>
        <v>2</v>
      </c>
      <c r="V324" s="199" t="str">
        <f>VLOOKUP(A324,'PUR-PARTY MASTER'!$B$6:$J$250,8,FALSE)</f>
        <v>Local Pur</v>
      </c>
      <c r="W324" s="199" t="s">
        <v>894</v>
      </c>
      <c r="X324" s="404" t="s">
        <v>612</v>
      </c>
      <c r="Y324" s="201" t="str">
        <f>VLOOKUP(X324,'PUR-HSN MASTER'!$A$6:$D$247,2,FALSE)</f>
        <v>Financial  Related Services</v>
      </c>
      <c r="Z324" s="201" t="str">
        <f>VLOOKUP(X324,'PUR-HSN MASTER'!$A$6:$D$247,3,FALSE)</f>
        <v>NOS-NUMBERS</v>
      </c>
      <c r="AA324" s="334" t="str">
        <f>VLOOKUP(X324,'PUR-HSN MASTER'!$A$6:$D$247,4,FALSE)</f>
        <v>Goods</v>
      </c>
      <c r="AB324" s="401">
        <v>30</v>
      </c>
    </row>
    <row r="325" spans="1:28" ht="14.4" x14ac:dyDescent="0.3">
      <c r="A325" s="429" t="s">
        <v>392</v>
      </c>
      <c r="B325" s="199" t="str">
        <f>VLOOKUP(A325,'PUR-PARTY MASTER'!$B$6:$J$250,2,FALSE)</f>
        <v>Axis Bank Ltd</v>
      </c>
      <c r="C325" s="403"/>
      <c r="D325" s="398">
        <v>43159</v>
      </c>
      <c r="E325" s="329">
        <f t="shared" si="37"/>
        <v>29.5</v>
      </c>
      <c r="F325" s="199" t="str">
        <f>VLOOKUP(A325,'PUR-PARTY MASTER'!$B$6:$J$250,3,FALSE)</f>
        <v>27-Maharashatra</v>
      </c>
      <c r="G325" s="199" t="str">
        <f>VLOOKUP(A325,'PUR-PARTY MASTER'!$B$6:$J$250,4,FALSE)</f>
        <v>N</v>
      </c>
      <c r="H325" s="199" t="str">
        <f>VLOOKUP(A325,'PUR-PARTY MASTER'!$B$6:$J$250,5,FALSE)</f>
        <v>Regular</v>
      </c>
      <c r="I325" s="199">
        <f>VLOOKUP(A325,'PUR-PARTY MASTER'!$B$6:$J$250,6,FALSE)</f>
        <v>0</v>
      </c>
      <c r="J325" s="201">
        <v>18</v>
      </c>
      <c r="K325" s="400">
        <v>25</v>
      </c>
      <c r="L325" s="202">
        <f t="shared" si="38"/>
        <v>0</v>
      </c>
      <c r="M325" s="202">
        <f t="shared" si="39"/>
        <v>2.25</v>
      </c>
      <c r="N325" s="202">
        <f t="shared" si="40"/>
        <v>2.25</v>
      </c>
      <c r="O325" s="8">
        <v>0</v>
      </c>
      <c r="P325" s="341" t="s">
        <v>177</v>
      </c>
      <c r="Q325" s="329">
        <f t="shared" si="41"/>
        <v>0</v>
      </c>
      <c r="R325" s="329">
        <f t="shared" si="42"/>
        <v>2.25</v>
      </c>
      <c r="S325" s="329">
        <f t="shared" si="43"/>
        <v>2.25</v>
      </c>
      <c r="T325" s="8">
        <f t="shared" si="44"/>
        <v>0</v>
      </c>
      <c r="U325" s="199">
        <f>VLOOKUP(A325,'PUR-PARTY MASTER'!$B$6:$J$250,7,FALSE)</f>
        <v>2</v>
      </c>
      <c r="V325" s="199" t="str">
        <f>VLOOKUP(A325,'PUR-PARTY MASTER'!$B$6:$J$250,8,FALSE)</f>
        <v>Local Pur</v>
      </c>
      <c r="W325" s="199" t="s">
        <v>894</v>
      </c>
      <c r="X325" s="404" t="s">
        <v>612</v>
      </c>
      <c r="Y325" s="201" t="str">
        <f>VLOOKUP(X325,'PUR-HSN MASTER'!$A$6:$D$247,2,FALSE)</f>
        <v>Financial  Related Services</v>
      </c>
      <c r="Z325" s="201" t="str">
        <f>VLOOKUP(X325,'PUR-HSN MASTER'!$A$6:$D$247,3,FALSE)</f>
        <v>NOS-NUMBERS</v>
      </c>
      <c r="AA325" s="334" t="str">
        <f>VLOOKUP(X325,'PUR-HSN MASTER'!$A$6:$D$247,4,FALSE)</f>
        <v>Goods</v>
      </c>
      <c r="AB325" s="401">
        <v>30</v>
      </c>
    </row>
    <row r="326" spans="1:28" ht="14.4" x14ac:dyDescent="0.3">
      <c r="A326" s="429" t="s">
        <v>392</v>
      </c>
      <c r="B326" s="199" t="str">
        <f>VLOOKUP(A326,'PUR-PARTY MASTER'!$B$6:$J$250,2,FALSE)</f>
        <v>Axis Bank Ltd</v>
      </c>
      <c r="C326" s="403"/>
      <c r="D326" s="398">
        <v>43159</v>
      </c>
      <c r="E326" s="329">
        <f t="shared" si="37"/>
        <v>5.9</v>
      </c>
      <c r="F326" s="199" t="str">
        <f>VLOOKUP(A326,'PUR-PARTY MASTER'!$B$6:$J$250,3,FALSE)</f>
        <v>27-Maharashatra</v>
      </c>
      <c r="G326" s="199" t="str">
        <f>VLOOKUP(A326,'PUR-PARTY MASTER'!$B$6:$J$250,4,FALSE)</f>
        <v>N</v>
      </c>
      <c r="H326" s="199" t="str">
        <f>VLOOKUP(A326,'PUR-PARTY MASTER'!$B$6:$J$250,5,FALSE)</f>
        <v>Regular</v>
      </c>
      <c r="I326" s="199">
        <f>VLOOKUP(A326,'PUR-PARTY MASTER'!$B$6:$J$250,6,FALSE)</f>
        <v>0</v>
      </c>
      <c r="J326" s="201">
        <v>18</v>
      </c>
      <c r="K326" s="400">
        <v>5</v>
      </c>
      <c r="L326" s="202">
        <f t="shared" si="38"/>
        <v>0</v>
      </c>
      <c r="M326" s="202">
        <f t="shared" si="39"/>
        <v>0.44999999999999996</v>
      </c>
      <c r="N326" s="202">
        <f t="shared" si="40"/>
        <v>0.44999999999999996</v>
      </c>
      <c r="O326" s="8">
        <v>0</v>
      </c>
      <c r="P326" s="341" t="s">
        <v>177</v>
      </c>
      <c r="Q326" s="329">
        <f t="shared" si="41"/>
        <v>0</v>
      </c>
      <c r="R326" s="329">
        <f t="shared" si="42"/>
        <v>0.44999999999999996</v>
      </c>
      <c r="S326" s="329">
        <f t="shared" si="43"/>
        <v>0.44999999999999996</v>
      </c>
      <c r="T326" s="8">
        <f t="shared" si="44"/>
        <v>0</v>
      </c>
      <c r="U326" s="199">
        <f>VLOOKUP(A326,'PUR-PARTY MASTER'!$B$6:$J$250,7,FALSE)</f>
        <v>2</v>
      </c>
      <c r="V326" s="199" t="str">
        <f>VLOOKUP(A326,'PUR-PARTY MASTER'!$B$6:$J$250,8,FALSE)</f>
        <v>Local Pur</v>
      </c>
      <c r="W326" s="199" t="s">
        <v>894</v>
      </c>
      <c r="X326" s="404" t="s">
        <v>612</v>
      </c>
      <c r="Y326" s="201" t="str">
        <f>VLOOKUP(X326,'PUR-HSN MASTER'!$A$6:$D$247,2,FALSE)</f>
        <v>Financial  Related Services</v>
      </c>
      <c r="Z326" s="201" t="str">
        <f>VLOOKUP(X326,'PUR-HSN MASTER'!$A$6:$D$247,3,FALSE)</f>
        <v>NOS-NUMBERS</v>
      </c>
      <c r="AA326" s="334" t="str">
        <f>VLOOKUP(X326,'PUR-HSN MASTER'!$A$6:$D$247,4,FALSE)</f>
        <v>Goods</v>
      </c>
      <c r="AB326" s="401">
        <v>30</v>
      </c>
    </row>
    <row r="327" spans="1:28" ht="14.4" x14ac:dyDescent="0.3">
      <c r="A327" s="429" t="s">
        <v>392</v>
      </c>
      <c r="B327" s="199" t="str">
        <f>VLOOKUP(A327,'PUR-PARTY MASTER'!$B$6:$J$250,2,FALSE)</f>
        <v>Axis Bank Ltd</v>
      </c>
      <c r="C327" s="403" t="s">
        <v>1473</v>
      </c>
      <c r="D327" s="398">
        <v>43139</v>
      </c>
      <c r="E327" s="329">
        <f t="shared" ref="E327:E331" si="45">+K327+L327+M327+N327+O327</f>
        <v>4977.8771999999999</v>
      </c>
      <c r="F327" s="199" t="str">
        <f>VLOOKUP(A327,'PUR-PARTY MASTER'!$B$6:$J$250,3,FALSE)</f>
        <v>27-Maharashatra</v>
      </c>
      <c r="G327" s="199" t="str">
        <f>VLOOKUP(A327,'PUR-PARTY MASTER'!$B$6:$J$250,4,FALSE)</f>
        <v>N</v>
      </c>
      <c r="H327" s="199" t="str">
        <f>VLOOKUP(A327,'PUR-PARTY MASTER'!$B$6:$J$250,5,FALSE)</f>
        <v>Regular</v>
      </c>
      <c r="I327" s="199">
        <f>VLOOKUP(A327,'PUR-PARTY MASTER'!$B$6:$J$250,6,FALSE)</f>
        <v>0</v>
      </c>
      <c r="J327" s="201">
        <v>18</v>
      </c>
      <c r="K327" s="400">
        <v>4218.54</v>
      </c>
      <c r="L327" s="202">
        <f t="shared" ref="L327:L331" si="46">+IF(U327=1,0,IF(M327=0,J327*K327/100,0))</f>
        <v>0</v>
      </c>
      <c r="M327" s="202">
        <f t="shared" ref="M327:M331" si="47">+IF(U327=1,0,IF(V327="Local Pur",IF(J327=18,K327*0.09,IF(J327=12,K327*0.06,IF(J327=5,K327*0.025,IF(J327=28,K327*0.14,IF(J327=3,K327*0.015,0))))),0))</f>
        <v>379.66859999999997</v>
      </c>
      <c r="N327" s="202">
        <f t="shared" ref="N327:N331" si="48">+IF(O327=1,0,IF(V327="Local Pur",IF(J327=18,K327*0.09,IF(J327=12,K327*0.06,IF(J327=5,K327*0.025,IF(J327=28,K327*0.14,IF(J327=3,K327*0.015,0))))),0))</f>
        <v>379.66859999999997</v>
      </c>
      <c r="O327" s="8">
        <v>0</v>
      </c>
      <c r="P327" s="341" t="s">
        <v>177</v>
      </c>
      <c r="Q327" s="329">
        <f t="shared" ref="Q327:Q331" si="49">+L327</f>
        <v>0</v>
      </c>
      <c r="R327" s="329">
        <f t="shared" ref="R327:R331" si="50">+M327</f>
        <v>379.66859999999997</v>
      </c>
      <c r="S327" s="329">
        <f t="shared" ref="S327:S331" si="51">+N327</f>
        <v>379.66859999999997</v>
      </c>
      <c r="T327" s="8">
        <f t="shared" ref="T327:T331" si="52">+O327</f>
        <v>0</v>
      </c>
      <c r="U327" s="199">
        <f>VLOOKUP(A327,'PUR-PARTY MASTER'!$B$6:$J$250,7,FALSE)</f>
        <v>2</v>
      </c>
      <c r="V327" s="199" t="str">
        <f>VLOOKUP(A327,'PUR-PARTY MASTER'!$B$6:$J$250,8,FALSE)</f>
        <v>Local Pur</v>
      </c>
      <c r="W327" s="199" t="s">
        <v>894</v>
      </c>
      <c r="X327" s="404" t="s">
        <v>612</v>
      </c>
      <c r="Y327" s="201" t="str">
        <f>VLOOKUP(X327,'PUR-HSN MASTER'!$A$6:$D$247,2,FALSE)</f>
        <v>Financial  Related Services</v>
      </c>
      <c r="Z327" s="201" t="str">
        <f>VLOOKUP(X327,'PUR-HSN MASTER'!$A$6:$D$247,3,FALSE)</f>
        <v>NOS-NUMBERS</v>
      </c>
      <c r="AA327" s="334" t="str">
        <f>VLOOKUP(X327,'PUR-HSN MASTER'!$A$6:$D$247,4,FALSE)</f>
        <v>Goods</v>
      </c>
      <c r="AB327" s="401">
        <v>30</v>
      </c>
    </row>
    <row r="328" spans="1:28" ht="14.4" x14ac:dyDescent="0.3">
      <c r="A328" s="429" t="s">
        <v>392</v>
      </c>
      <c r="B328" s="199" t="str">
        <f>VLOOKUP(A328,'PUR-PARTY MASTER'!$B$6:$J$250,2,FALSE)</f>
        <v>Axis Bank Ltd</v>
      </c>
      <c r="C328" s="403" t="s">
        <v>1474</v>
      </c>
      <c r="D328" s="398">
        <v>43139</v>
      </c>
      <c r="E328" s="329">
        <f t="shared" si="45"/>
        <v>6566.4050000000007</v>
      </c>
      <c r="F328" s="199" t="str">
        <f>VLOOKUP(A328,'PUR-PARTY MASTER'!$B$6:$J$250,3,FALSE)</f>
        <v>27-Maharashatra</v>
      </c>
      <c r="G328" s="199" t="str">
        <f>VLOOKUP(A328,'PUR-PARTY MASTER'!$B$6:$J$250,4,FALSE)</f>
        <v>N</v>
      </c>
      <c r="H328" s="199" t="str">
        <f>VLOOKUP(A328,'PUR-PARTY MASTER'!$B$6:$J$250,5,FALSE)</f>
        <v>Regular</v>
      </c>
      <c r="I328" s="199">
        <f>VLOOKUP(A328,'PUR-PARTY MASTER'!$B$6:$J$250,6,FALSE)</f>
        <v>0</v>
      </c>
      <c r="J328" s="201">
        <v>18</v>
      </c>
      <c r="K328" s="400">
        <v>5564.75</v>
      </c>
      <c r="L328" s="202">
        <f t="shared" si="46"/>
        <v>0</v>
      </c>
      <c r="M328" s="202">
        <f t="shared" si="47"/>
        <v>500.82749999999999</v>
      </c>
      <c r="N328" s="202">
        <f t="shared" si="48"/>
        <v>500.82749999999999</v>
      </c>
      <c r="O328" s="8">
        <v>0</v>
      </c>
      <c r="P328" s="341" t="s">
        <v>177</v>
      </c>
      <c r="Q328" s="329">
        <f t="shared" si="49"/>
        <v>0</v>
      </c>
      <c r="R328" s="329">
        <f t="shared" si="50"/>
        <v>500.82749999999999</v>
      </c>
      <c r="S328" s="329">
        <f t="shared" si="51"/>
        <v>500.82749999999999</v>
      </c>
      <c r="T328" s="8">
        <f t="shared" si="52"/>
        <v>0</v>
      </c>
      <c r="U328" s="199">
        <f>VLOOKUP(A328,'PUR-PARTY MASTER'!$B$6:$J$250,7,FALSE)</f>
        <v>2</v>
      </c>
      <c r="V328" s="199" t="str">
        <f>VLOOKUP(A328,'PUR-PARTY MASTER'!$B$6:$J$250,8,FALSE)</f>
        <v>Local Pur</v>
      </c>
      <c r="W328" s="199" t="s">
        <v>894</v>
      </c>
      <c r="X328" s="404" t="s">
        <v>612</v>
      </c>
      <c r="Y328" s="201" t="str">
        <f>VLOOKUP(X328,'PUR-HSN MASTER'!$A$6:$D$247,2,FALSE)</f>
        <v>Financial  Related Services</v>
      </c>
      <c r="Z328" s="201" t="str">
        <f>VLOOKUP(X328,'PUR-HSN MASTER'!$A$6:$D$247,3,FALSE)</f>
        <v>NOS-NUMBERS</v>
      </c>
      <c r="AA328" s="334" t="str">
        <f>VLOOKUP(X328,'PUR-HSN MASTER'!$A$6:$D$247,4,FALSE)</f>
        <v>Goods</v>
      </c>
      <c r="AB328" s="401">
        <v>30</v>
      </c>
    </row>
    <row r="329" spans="1:28" ht="14.4" x14ac:dyDescent="0.3">
      <c r="A329" s="429" t="s">
        <v>392</v>
      </c>
      <c r="B329" s="199" t="str">
        <f>VLOOKUP(A329,'PUR-PARTY MASTER'!$B$6:$J$250,2,FALSE)</f>
        <v>Axis Bank Ltd</v>
      </c>
      <c r="C329" s="403" t="s">
        <v>1475</v>
      </c>
      <c r="D329" s="398">
        <v>43139</v>
      </c>
      <c r="E329" s="329">
        <f t="shared" si="45"/>
        <v>6173.76</v>
      </c>
      <c r="F329" s="199" t="str">
        <f>VLOOKUP(A329,'PUR-PARTY MASTER'!$B$6:$J$250,3,FALSE)</f>
        <v>27-Maharashatra</v>
      </c>
      <c r="G329" s="199" t="str">
        <f>VLOOKUP(A329,'PUR-PARTY MASTER'!$B$6:$J$250,4,FALSE)</f>
        <v>N</v>
      </c>
      <c r="H329" s="199" t="str">
        <f>VLOOKUP(A329,'PUR-PARTY MASTER'!$B$6:$J$250,5,FALSE)</f>
        <v>Regular</v>
      </c>
      <c r="I329" s="199">
        <f>VLOOKUP(A329,'PUR-PARTY MASTER'!$B$6:$J$250,6,FALSE)</f>
        <v>0</v>
      </c>
      <c r="J329" s="201">
        <v>18</v>
      </c>
      <c r="K329" s="400">
        <v>5232</v>
      </c>
      <c r="L329" s="202">
        <f t="shared" si="46"/>
        <v>0</v>
      </c>
      <c r="M329" s="202">
        <f t="shared" si="47"/>
        <v>470.88</v>
      </c>
      <c r="N329" s="202">
        <f t="shared" si="48"/>
        <v>470.88</v>
      </c>
      <c r="O329" s="8">
        <v>0</v>
      </c>
      <c r="P329" s="341" t="s">
        <v>177</v>
      </c>
      <c r="Q329" s="329">
        <f t="shared" si="49"/>
        <v>0</v>
      </c>
      <c r="R329" s="329">
        <f t="shared" si="50"/>
        <v>470.88</v>
      </c>
      <c r="S329" s="329">
        <f t="shared" si="51"/>
        <v>470.88</v>
      </c>
      <c r="T329" s="8">
        <f t="shared" si="52"/>
        <v>0</v>
      </c>
      <c r="U329" s="199">
        <f>VLOOKUP(A329,'PUR-PARTY MASTER'!$B$6:$J$250,7,FALSE)</f>
        <v>2</v>
      </c>
      <c r="V329" s="199" t="str">
        <f>VLOOKUP(A329,'PUR-PARTY MASTER'!$B$6:$J$250,8,FALSE)</f>
        <v>Local Pur</v>
      </c>
      <c r="W329" s="199" t="s">
        <v>894</v>
      </c>
      <c r="X329" s="404" t="s">
        <v>612</v>
      </c>
      <c r="Y329" s="201" t="str">
        <f>VLOOKUP(X329,'PUR-HSN MASTER'!$A$6:$D$247,2,FALSE)</f>
        <v>Financial  Related Services</v>
      </c>
      <c r="Z329" s="201" t="str">
        <f>VLOOKUP(X329,'PUR-HSN MASTER'!$A$6:$D$247,3,FALSE)</f>
        <v>NOS-NUMBERS</v>
      </c>
      <c r="AA329" s="334" t="str">
        <f>VLOOKUP(X329,'PUR-HSN MASTER'!$A$6:$D$247,4,FALSE)</f>
        <v>Goods</v>
      </c>
      <c r="AB329" s="401">
        <v>30</v>
      </c>
    </row>
    <row r="330" spans="1:28" ht="14.4" x14ac:dyDescent="0.3">
      <c r="A330" s="429" t="s">
        <v>392</v>
      </c>
      <c r="B330" s="199" t="str">
        <f>VLOOKUP(A330,'PUR-PARTY MASTER'!$B$6:$J$250,2,FALSE)</f>
        <v>Axis Bank Ltd</v>
      </c>
      <c r="C330" s="403" t="s">
        <v>1476</v>
      </c>
      <c r="D330" s="398">
        <v>43139</v>
      </c>
      <c r="E330" s="329">
        <f t="shared" si="45"/>
        <v>6815.5619999999999</v>
      </c>
      <c r="F330" s="199" t="str">
        <f>VLOOKUP(A330,'PUR-PARTY MASTER'!$B$6:$J$250,3,FALSE)</f>
        <v>27-Maharashatra</v>
      </c>
      <c r="G330" s="199" t="str">
        <f>VLOOKUP(A330,'PUR-PARTY MASTER'!$B$6:$J$250,4,FALSE)</f>
        <v>N</v>
      </c>
      <c r="H330" s="199" t="str">
        <f>VLOOKUP(A330,'PUR-PARTY MASTER'!$B$6:$J$250,5,FALSE)</f>
        <v>Regular</v>
      </c>
      <c r="I330" s="199">
        <f>VLOOKUP(A330,'PUR-PARTY MASTER'!$B$6:$J$250,6,FALSE)</f>
        <v>0</v>
      </c>
      <c r="J330" s="201">
        <v>18</v>
      </c>
      <c r="K330" s="400">
        <v>5775.9</v>
      </c>
      <c r="L330" s="202">
        <f t="shared" si="46"/>
        <v>0</v>
      </c>
      <c r="M330" s="202">
        <f t="shared" si="47"/>
        <v>519.8309999999999</v>
      </c>
      <c r="N330" s="202">
        <f t="shared" si="48"/>
        <v>519.8309999999999</v>
      </c>
      <c r="O330" s="8">
        <v>0</v>
      </c>
      <c r="P330" s="341" t="s">
        <v>177</v>
      </c>
      <c r="Q330" s="329">
        <f t="shared" si="49"/>
        <v>0</v>
      </c>
      <c r="R330" s="329">
        <f t="shared" si="50"/>
        <v>519.8309999999999</v>
      </c>
      <c r="S330" s="329">
        <f t="shared" si="51"/>
        <v>519.8309999999999</v>
      </c>
      <c r="T330" s="8">
        <f t="shared" si="52"/>
        <v>0</v>
      </c>
      <c r="U330" s="199">
        <f>VLOOKUP(A330,'PUR-PARTY MASTER'!$B$6:$J$250,7,FALSE)</f>
        <v>2</v>
      </c>
      <c r="V330" s="199" t="str">
        <f>VLOOKUP(A330,'PUR-PARTY MASTER'!$B$6:$J$250,8,FALSE)</f>
        <v>Local Pur</v>
      </c>
      <c r="W330" s="199" t="s">
        <v>894</v>
      </c>
      <c r="X330" s="404" t="s">
        <v>612</v>
      </c>
      <c r="Y330" s="201" t="str">
        <f>VLOOKUP(X330,'PUR-HSN MASTER'!$A$6:$D$247,2,FALSE)</f>
        <v>Financial  Related Services</v>
      </c>
      <c r="Z330" s="201" t="str">
        <f>VLOOKUP(X330,'PUR-HSN MASTER'!$A$6:$D$247,3,FALSE)</f>
        <v>NOS-NUMBERS</v>
      </c>
      <c r="AA330" s="334" t="str">
        <f>VLOOKUP(X330,'PUR-HSN MASTER'!$A$6:$D$247,4,FALSE)</f>
        <v>Goods</v>
      </c>
      <c r="AB330" s="401">
        <v>30</v>
      </c>
    </row>
    <row r="331" spans="1:28" ht="14.4" x14ac:dyDescent="0.3">
      <c r="A331" s="429" t="s">
        <v>392</v>
      </c>
      <c r="B331" s="199" t="str">
        <f>VLOOKUP(A331,'PUR-PARTY MASTER'!$B$6:$J$250,2,FALSE)</f>
        <v>Axis Bank Ltd</v>
      </c>
      <c r="C331" s="403" t="s">
        <v>1477</v>
      </c>
      <c r="D331" s="398">
        <v>43139</v>
      </c>
      <c r="E331" s="329">
        <f t="shared" si="45"/>
        <v>8820.4527999999991</v>
      </c>
      <c r="F331" s="199" t="str">
        <f>VLOOKUP(A331,'PUR-PARTY MASTER'!$B$6:$J$250,3,FALSE)</f>
        <v>27-Maharashatra</v>
      </c>
      <c r="G331" s="199" t="str">
        <f>VLOOKUP(A331,'PUR-PARTY MASTER'!$B$6:$J$250,4,FALSE)</f>
        <v>N</v>
      </c>
      <c r="H331" s="199" t="str">
        <f>VLOOKUP(A331,'PUR-PARTY MASTER'!$B$6:$J$250,5,FALSE)</f>
        <v>Regular</v>
      </c>
      <c r="I331" s="199">
        <f>VLOOKUP(A331,'PUR-PARTY MASTER'!$B$6:$J$250,6,FALSE)</f>
        <v>0</v>
      </c>
      <c r="J331" s="201">
        <v>18</v>
      </c>
      <c r="K331" s="400">
        <v>7474.96</v>
      </c>
      <c r="L331" s="202">
        <f t="shared" si="46"/>
        <v>0</v>
      </c>
      <c r="M331" s="202">
        <f t="shared" si="47"/>
        <v>672.74639999999999</v>
      </c>
      <c r="N331" s="202">
        <f t="shared" si="48"/>
        <v>672.74639999999999</v>
      </c>
      <c r="O331" s="8">
        <v>0</v>
      </c>
      <c r="P331" s="341" t="s">
        <v>177</v>
      </c>
      <c r="Q331" s="329">
        <f t="shared" si="49"/>
        <v>0</v>
      </c>
      <c r="R331" s="329">
        <f t="shared" si="50"/>
        <v>672.74639999999999</v>
      </c>
      <c r="S331" s="329">
        <f t="shared" si="51"/>
        <v>672.74639999999999</v>
      </c>
      <c r="T331" s="8">
        <f t="shared" si="52"/>
        <v>0</v>
      </c>
      <c r="U331" s="199">
        <f>VLOOKUP(A331,'PUR-PARTY MASTER'!$B$6:$J$250,7,FALSE)</f>
        <v>2</v>
      </c>
      <c r="V331" s="199" t="str">
        <f>VLOOKUP(A331,'PUR-PARTY MASTER'!$B$6:$J$250,8,FALSE)</f>
        <v>Local Pur</v>
      </c>
      <c r="W331" s="199" t="s">
        <v>894</v>
      </c>
      <c r="X331" s="404" t="s">
        <v>612</v>
      </c>
      <c r="Y331" s="201" t="str">
        <f>VLOOKUP(X331,'PUR-HSN MASTER'!$A$6:$D$247,2,FALSE)</f>
        <v>Financial  Related Services</v>
      </c>
      <c r="Z331" s="201" t="str">
        <f>VLOOKUP(X331,'PUR-HSN MASTER'!$A$6:$D$247,3,FALSE)</f>
        <v>NOS-NUMBERS</v>
      </c>
      <c r="AA331" s="334" t="str">
        <f>VLOOKUP(X331,'PUR-HSN MASTER'!$A$6:$D$247,4,FALSE)</f>
        <v>Goods</v>
      </c>
      <c r="AB331" s="401">
        <v>30</v>
      </c>
    </row>
  </sheetData>
  <dataConsolidate/>
  <conditionalFormatting sqref="X18">
    <cfRule type="duplicateValues" dxfId="20" priority="1"/>
  </conditionalFormatting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'PURCHASE MASTER'!$H$2:$H$18</xm:f>
          </x14:formula1>
          <xm:sqref>P6:P331</xm:sqref>
        </x14:dataValidation>
        <x14:dataValidation type="list" allowBlank="1" showInputMessage="1" showErrorMessage="1">
          <x14:formula1>
            <xm:f>'[4]PUR PARTYWISE'!#REF!</xm:f>
          </x14:formula1>
          <xm:sqref>A6:A331</xm:sqref>
        </x14:dataValidation>
        <x14:dataValidation type="list" allowBlank="1" showInputMessage="1" showErrorMessage="1">
          <x14:formula1>
            <xm:f>'[4]PUR HSN MASTER'!#REF!</xm:f>
          </x14:formula1>
          <xm:sqref>X6:X331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235"/>
  <sheetViews>
    <sheetView topLeftCell="A13" workbookViewId="0">
      <selection activeCell="A88" sqref="A4:E235"/>
    </sheetView>
  </sheetViews>
  <sheetFormatPr defaultColWidth="8.88671875" defaultRowHeight="13.8" x14ac:dyDescent="0.25"/>
  <cols>
    <col min="1" max="1" width="11" style="333" bestFit="1" customWidth="1"/>
    <col min="2" max="2" width="38.44140625" style="5" customWidth="1"/>
    <col min="3" max="3" width="18.33203125" style="5" bestFit="1" customWidth="1"/>
    <col min="4" max="16384" width="8.88671875" style="5"/>
  </cols>
  <sheetData>
    <row r="4" spans="1:5" x14ac:dyDescent="0.25">
      <c r="A4" s="331" t="s">
        <v>74</v>
      </c>
      <c r="B4" s="6" t="s">
        <v>75</v>
      </c>
      <c r="C4" s="6" t="s">
        <v>76</v>
      </c>
      <c r="D4" s="23" t="s">
        <v>77</v>
      </c>
      <c r="E4" s="24" t="s">
        <v>78</v>
      </c>
    </row>
    <row r="5" spans="1:5" x14ac:dyDescent="0.25">
      <c r="A5" s="332" t="s">
        <v>79</v>
      </c>
      <c r="B5" s="7" t="s">
        <v>80</v>
      </c>
      <c r="C5" s="6"/>
      <c r="D5" s="25" t="s">
        <v>11</v>
      </c>
      <c r="E5" s="26" t="s">
        <v>0</v>
      </c>
    </row>
    <row r="6" spans="1:5" ht="14.4" x14ac:dyDescent="0.3">
      <c r="A6" s="432">
        <v>39269099</v>
      </c>
      <c r="B6" s="3" t="s">
        <v>81</v>
      </c>
      <c r="C6" s="405" t="s">
        <v>246</v>
      </c>
      <c r="D6" s="406" t="s">
        <v>83</v>
      </c>
      <c r="E6" s="89">
        <v>28</v>
      </c>
    </row>
    <row r="7" spans="1:5" ht="14.4" x14ac:dyDescent="0.3">
      <c r="A7" s="432">
        <v>87089900</v>
      </c>
      <c r="B7" s="3" t="s">
        <v>81</v>
      </c>
      <c r="C7" s="405" t="s">
        <v>246</v>
      </c>
      <c r="D7" s="406" t="s">
        <v>83</v>
      </c>
      <c r="E7" s="89">
        <v>28</v>
      </c>
    </row>
    <row r="8" spans="1:5" ht="14.4" x14ac:dyDescent="0.3">
      <c r="A8" s="432">
        <v>32082090</v>
      </c>
      <c r="B8" s="3" t="s">
        <v>86</v>
      </c>
      <c r="C8" s="405" t="s">
        <v>237</v>
      </c>
      <c r="D8" s="406" t="s">
        <v>83</v>
      </c>
      <c r="E8" s="89">
        <v>28</v>
      </c>
    </row>
    <row r="9" spans="1:5" ht="14.4" x14ac:dyDescent="0.3">
      <c r="A9" s="432">
        <v>8537</v>
      </c>
      <c r="B9" s="3" t="s">
        <v>458</v>
      </c>
      <c r="C9" s="405" t="s">
        <v>237</v>
      </c>
      <c r="D9" s="406" t="s">
        <v>83</v>
      </c>
      <c r="E9" s="89">
        <v>18</v>
      </c>
    </row>
    <row r="10" spans="1:5" ht="14.4" x14ac:dyDescent="0.3">
      <c r="A10" s="432">
        <v>32089090</v>
      </c>
      <c r="B10" s="3" t="s">
        <v>86</v>
      </c>
      <c r="C10" s="405" t="s">
        <v>246</v>
      </c>
      <c r="D10" s="406" t="s">
        <v>83</v>
      </c>
      <c r="E10" s="89">
        <v>28</v>
      </c>
    </row>
    <row r="11" spans="1:5" ht="14.4" x14ac:dyDescent="0.3">
      <c r="A11" s="432">
        <v>87081090</v>
      </c>
      <c r="B11" s="3" t="s">
        <v>81</v>
      </c>
      <c r="C11" s="405" t="s">
        <v>246</v>
      </c>
      <c r="D11" s="406" t="s">
        <v>83</v>
      </c>
      <c r="E11" s="89">
        <v>28</v>
      </c>
    </row>
    <row r="12" spans="1:5" ht="14.4" x14ac:dyDescent="0.3">
      <c r="A12" s="432">
        <v>87082900</v>
      </c>
      <c r="B12" s="3" t="s">
        <v>81</v>
      </c>
      <c r="C12" s="405" t="s">
        <v>246</v>
      </c>
      <c r="D12" s="406" t="s">
        <v>83</v>
      </c>
      <c r="E12" s="89">
        <v>28</v>
      </c>
    </row>
    <row r="13" spans="1:5" ht="14.4" x14ac:dyDescent="0.3">
      <c r="A13" s="432">
        <v>87142090</v>
      </c>
      <c r="B13" s="3" t="s">
        <v>81</v>
      </c>
      <c r="C13" s="405" t="s">
        <v>246</v>
      </c>
      <c r="D13" s="406" t="s">
        <v>83</v>
      </c>
      <c r="E13" s="89">
        <v>28</v>
      </c>
    </row>
    <row r="14" spans="1:5" ht="14.4" x14ac:dyDescent="0.3">
      <c r="A14" s="432">
        <v>39119090</v>
      </c>
      <c r="B14" s="3" t="s">
        <v>86</v>
      </c>
      <c r="C14" s="405" t="s">
        <v>246</v>
      </c>
      <c r="D14" s="406" t="s">
        <v>83</v>
      </c>
      <c r="E14" s="89">
        <v>18</v>
      </c>
    </row>
    <row r="15" spans="1:5" ht="14.4" x14ac:dyDescent="0.3">
      <c r="A15" s="432">
        <v>87141900</v>
      </c>
      <c r="B15" s="3" t="s">
        <v>81</v>
      </c>
      <c r="C15" s="405" t="s">
        <v>237</v>
      </c>
      <c r="D15" s="406" t="s">
        <v>83</v>
      </c>
      <c r="E15" s="89">
        <v>28</v>
      </c>
    </row>
    <row r="16" spans="1:5" ht="14.4" x14ac:dyDescent="0.3">
      <c r="A16" s="432">
        <v>68052090</v>
      </c>
      <c r="B16" s="3" t="s">
        <v>460</v>
      </c>
      <c r="C16" s="405" t="s">
        <v>246</v>
      </c>
      <c r="D16" s="406" t="s">
        <v>83</v>
      </c>
      <c r="E16" s="89">
        <v>18</v>
      </c>
    </row>
    <row r="17" spans="1:5" ht="14.4" x14ac:dyDescent="0.3">
      <c r="A17" s="432">
        <v>25202090</v>
      </c>
      <c r="B17" s="3" t="s">
        <v>461</v>
      </c>
      <c r="C17" s="405" t="s">
        <v>246</v>
      </c>
      <c r="D17" s="406" t="s">
        <v>83</v>
      </c>
      <c r="E17" s="89">
        <v>28</v>
      </c>
    </row>
    <row r="18" spans="1:5" ht="14.4" x14ac:dyDescent="0.3">
      <c r="A18" s="432">
        <v>3814</v>
      </c>
      <c r="B18" s="3" t="s">
        <v>458</v>
      </c>
      <c r="C18" s="405" t="s">
        <v>246</v>
      </c>
      <c r="D18" s="406" t="s">
        <v>83</v>
      </c>
      <c r="E18" s="89">
        <v>28</v>
      </c>
    </row>
    <row r="19" spans="1:5" ht="14.4" x14ac:dyDescent="0.3">
      <c r="A19" s="432">
        <v>87141090</v>
      </c>
      <c r="B19" s="3" t="s">
        <v>81</v>
      </c>
      <c r="C19" s="405" t="s">
        <v>246</v>
      </c>
      <c r="D19" s="406" t="s">
        <v>83</v>
      </c>
      <c r="E19" s="89">
        <v>28</v>
      </c>
    </row>
    <row r="20" spans="1:5" ht="14.4" x14ac:dyDescent="0.3">
      <c r="A20" s="432">
        <v>96031000</v>
      </c>
      <c r="B20" s="3" t="s">
        <v>462</v>
      </c>
      <c r="C20" s="405" t="s">
        <v>246</v>
      </c>
      <c r="D20" s="406" t="s">
        <v>83</v>
      </c>
      <c r="E20" s="89">
        <v>0</v>
      </c>
    </row>
    <row r="21" spans="1:5" ht="14.4" x14ac:dyDescent="0.3">
      <c r="A21" s="432">
        <v>59111000</v>
      </c>
      <c r="B21" s="3" t="s">
        <v>463</v>
      </c>
      <c r="C21" s="405" t="s">
        <v>246</v>
      </c>
      <c r="D21" s="406" t="s">
        <v>83</v>
      </c>
      <c r="E21" s="89">
        <v>12</v>
      </c>
    </row>
    <row r="22" spans="1:5" ht="14.4" x14ac:dyDescent="0.3">
      <c r="A22" s="432">
        <v>61169200</v>
      </c>
      <c r="B22" s="3" t="s">
        <v>464</v>
      </c>
      <c r="C22" s="405" t="s">
        <v>246</v>
      </c>
      <c r="D22" s="406" t="s">
        <v>83</v>
      </c>
      <c r="E22" s="89">
        <v>5</v>
      </c>
    </row>
    <row r="23" spans="1:5" ht="14.4" x14ac:dyDescent="0.3">
      <c r="A23" s="432">
        <v>60060000</v>
      </c>
      <c r="B23" s="3" t="s">
        <v>465</v>
      </c>
      <c r="C23" s="405" t="s">
        <v>246</v>
      </c>
      <c r="D23" s="406" t="s">
        <v>83</v>
      </c>
      <c r="E23" s="89">
        <v>5</v>
      </c>
    </row>
    <row r="24" spans="1:5" ht="14.4" x14ac:dyDescent="0.3">
      <c r="A24" s="432">
        <v>5407</v>
      </c>
      <c r="B24" s="3" t="s">
        <v>466</v>
      </c>
      <c r="C24" s="405" t="s">
        <v>242</v>
      </c>
      <c r="D24" s="406" t="s">
        <v>83</v>
      </c>
      <c r="E24" s="89">
        <v>5</v>
      </c>
    </row>
    <row r="25" spans="1:5" ht="14.4" x14ac:dyDescent="0.3">
      <c r="A25" s="432">
        <v>96082000</v>
      </c>
      <c r="B25" s="3" t="s">
        <v>467</v>
      </c>
      <c r="C25" s="405" t="s">
        <v>242</v>
      </c>
      <c r="D25" s="406" t="s">
        <v>83</v>
      </c>
      <c r="E25" s="89">
        <v>12</v>
      </c>
    </row>
    <row r="26" spans="1:5" ht="14.4" x14ac:dyDescent="0.3">
      <c r="A26" s="432">
        <v>4820</v>
      </c>
      <c r="B26" s="3" t="s">
        <v>468</v>
      </c>
      <c r="C26" s="405" t="s">
        <v>246</v>
      </c>
      <c r="D26" s="406" t="s">
        <v>83</v>
      </c>
      <c r="E26" s="89">
        <v>18</v>
      </c>
    </row>
    <row r="27" spans="1:5" ht="14.4" x14ac:dyDescent="0.3">
      <c r="A27" s="432">
        <v>96089990</v>
      </c>
      <c r="B27" s="3" t="s">
        <v>469</v>
      </c>
      <c r="C27" s="405" t="s">
        <v>246</v>
      </c>
      <c r="D27" s="406" t="s">
        <v>83</v>
      </c>
      <c r="E27" s="89">
        <v>18</v>
      </c>
    </row>
    <row r="28" spans="1:5" ht="14.4" x14ac:dyDescent="0.3">
      <c r="A28" s="432">
        <v>40151900</v>
      </c>
      <c r="B28" s="3" t="s">
        <v>470</v>
      </c>
      <c r="C28" s="405" t="s">
        <v>246</v>
      </c>
      <c r="D28" s="406" t="s">
        <v>83</v>
      </c>
      <c r="E28" s="89">
        <v>28</v>
      </c>
    </row>
    <row r="29" spans="1:5" ht="14.4" x14ac:dyDescent="0.3">
      <c r="A29" s="432">
        <v>40159030</v>
      </c>
      <c r="B29" s="3" t="s">
        <v>471</v>
      </c>
      <c r="C29" s="405" t="s">
        <v>246</v>
      </c>
      <c r="D29" s="406" t="s">
        <v>83</v>
      </c>
      <c r="E29" s="89">
        <v>28</v>
      </c>
    </row>
    <row r="30" spans="1:5" ht="14.4" x14ac:dyDescent="0.3">
      <c r="A30" s="432">
        <v>85061000</v>
      </c>
      <c r="B30" s="3" t="s">
        <v>472</v>
      </c>
      <c r="C30" s="405" t="s">
        <v>246</v>
      </c>
      <c r="D30" s="406" t="s">
        <v>83</v>
      </c>
      <c r="E30" s="89">
        <v>28</v>
      </c>
    </row>
    <row r="31" spans="1:5" ht="14.4" x14ac:dyDescent="0.3">
      <c r="A31" s="432">
        <v>38089199</v>
      </c>
      <c r="B31" s="3" t="s">
        <v>473</v>
      </c>
      <c r="C31" s="405" t="s">
        <v>246</v>
      </c>
      <c r="D31" s="406" t="s">
        <v>83</v>
      </c>
      <c r="E31" s="89">
        <v>28</v>
      </c>
    </row>
    <row r="32" spans="1:5" ht="14.4" x14ac:dyDescent="0.3">
      <c r="A32" s="432">
        <v>68053050</v>
      </c>
      <c r="B32" s="3" t="s">
        <v>474</v>
      </c>
      <c r="C32" s="405" t="s">
        <v>246</v>
      </c>
      <c r="D32" s="406" t="s">
        <v>83</v>
      </c>
      <c r="E32" s="89">
        <v>18</v>
      </c>
    </row>
    <row r="33" spans="1:5" ht="14.4" x14ac:dyDescent="0.3">
      <c r="A33" s="432">
        <v>28530010</v>
      </c>
      <c r="B33" s="3" t="s">
        <v>475</v>
      </c>
      <c r="C33" s="405" t="s">
        <v>246</v>
      </c>
      <c r="D33" s="406" t="s">
        <v>83</v>
      </c>
      <c r="E33" s="89">
        <v>28</v>
      </c>
    </row>
    <row r="34" spans="1:5" ht="14.4" x14ac:dyDescent="0.3">
      <c r="A34" s="432">
        <v>82055990</v>
      </c>
      <c r="B34" s="3" t="s">
        <v>476</v>
      </c>
      <c r="C34" s="405" t="s">
        <v>246</v>
      </c>
      <c r="D34" s="406" t="s">
        <v>83</v>
      </c>
      <c r="E34" s="89">
        <v>28</v>
      </c>
    </row>
    <row r="35" spans="1:5" ht="14.4" x14ac:dyDescent="0.3">
      <c r="A35" s="432">
        <v>39232100</v>
      </c>
      <c r="B35" s="3" t="s">
        <v>477</v>
      </c>
      <c r="C35" s="405" t="s">
        <v>246</v>
      </c>
      <c r="D35" s="406" t="s">
        <v>83</v>
      </c>
      <c r="E35" s="89">
        <v>28</v>
      </c>
    </row>
    <row r="36" spans="1:5" ht="14.4" x14ac:dyDescent="0.3">
      <c r="A36" s="432">
        <v>48114100</v>
      </c>
      <c r="B36" s="3" t="s">
        <v>477</v>
      </c>
      <c r="C36" s="405" t="s">
        <v>246</v>
      </c>
      <c r="D36" s="406" t="s">
        <v>83</v>
      </c>
      <c r="E36" s="89">
        <v>18</v>
      </c>
    </row>
    <row r="37" spans="1:5" ht="14.4" x14ac:dyDescent="0.3">
      <c r="A37" s="432">
        <v>39199099</v>
      </c>
      <c r="B37" s="3" t="s">
        <v>478</v>
      </c>
      <c r="C37" s="405" t="s">
        <v>246</v>
      </c>
      <c r="D37" s="406" t="s">
        <v>83</v>
      </c>
      <c r="E37" s="89">
        <v>28</v>
      </c>
    </row>
    <row r="38" spans="1:5" ht="14.4" x14ac:dyDescent="0.3">
      <c r="A38" s="432">
        <v>84411090</v>
      </c>
      <c r="B38" s="3" t="s">
        <v>479</v>
      </c>
      <c r="C38" s="405" t="s">
        <v>246</v>
      </c>
      <c r="D38" s="406" t="s">
        <v>83</v>
      </c>
      <c r="E38" s="89">
        <v>18</v>
      </c>
    </row>
    <row r="39" spans="1:5" ht="14.4" x14ac:dyDescent="0.3">
      <c r="A39" s="432">
        <v>84701000</v>
      </c>
      <c r="B39" s="3" t="s">
        <v>480</v>
      </c>
      <c r="C39" s="405" t="s">
        <v>246</v>
      </c>
      <c r="D39" s="406" t="s">
        <v>83</v>
      </c>
      <c r="E39" s="89">
        <v>28</v>
      </c>
    </row>
    <row r="40" spans="1:5" ht="14.4" x14ac:dyDescent="0.3">
      <c r="A40" s="432">
        <v>29023000</v>
      </c>
      <c r="B40" s="3" t="s">
        <v>481</v>
      </c>
      <c r="C40" s="405" t="s">
        <v>246</v>
      </c>
      <c r="D40" s="406" t="s">
        <v>83</v>
      </c>
      <c r="E40" s="89">
        <v>28</v>
      </c>
    </row>
    <row r="41" spans="1:5" ht="14.4" x14ac:dyDescent="0.3">
      <c r="A41" s="432">
        <v>29051220</v>
      </c>
      <c r="B41" s="3" t="s">
        <v>482</v>
      </c>
      <c r="C41" s="405" t="s">
        <v>246</v>
      </c>
      <c r="D41" s="406" t="s">
        <v>83</v>
      </c>
      <c r="E41" s="89">
        <v>18</v>
      </c>
    </row>
    <row r="42" spans="1:5" ht="14.4" x14ac:dyDescent="0.3">
      <c r="A42" s="432">
        <v>63079090</v>
      </c>
      <c r="B42" s="3" t="s">
        <v>483</v>
      </c>
      <c r="C42" s="405" t="s">
        <v>237</v>
      </c>
      <c r="D42" s="406" t="s">
        <v>83</v>
      </c>
      <c r="E42" s="89">
        <v>28</v>
      </c>
    </row>
    <row r="43" spans="1:5" ht="14.4" x14ac:dyDescent="0.3">
      <c r="A43" s="432">
        <v>29029090</v>
      </c>
      <c r="B43" s="3" t="s">
        <v>484</v>
      </c>
      <c r="C43" s="405" t="s">
        <v>246</v>
      </c>
      <c r="D43" s="406" t="s">
        <v>83</v>
      </c>
      <c r="E43" s="89">
        <v>18</v>
      </c>
    </row>
    <row r="44" spans="1:5" ht="14.4" x14ac:dyDescent="0.3">
      <c r="A44" s="432">
        <v>34022090</v>
      </c>
      <c r="B44" s="3" t="s">
        <v>485</v>
      </c>
      <c r="C44" s="405" t="s">
        <v>246</v>
      </c>
      <c r="D44" s="406" t="s">
        <v>83</v>
      </c>
      <c r="E44" s="89">
        <v>18</v>
      </c>
    </row>
    <row r="45" spans="1:5" ht="14.4" x14ac:dyDescent="0.3">
      <c r="A45" s="432">
        <v>38089191</v>
      </c>
      <c r="B45" s="3" t="s">
        <v>922</v>
      </c>
      <c r="C45" s="405" t="s">
        <v>246</v>
      </c>
      <c r="D45" s="406" t="s">
        <v>83</v>
      </c>
      <c r="E45" s="89">
        <v>18</v>
      </c>
    </row>
    <row r="46" spans="1:5" ht="14.4" x14ac:dyDescent="0.3">
      <c r="A46" s="432">
        <v>25232910</v>
      </c>
      <c r="B46" s="3" t="s">
        <v>486</v>
      </c>
      <c r="C46" s="405" t="s">
        <v>246</v>
      </c>
      <c r="D46" s="406" t="s">
        <v>83</v>
      </c>
      <c r="E46" s="89">
        <v>28</v>
      </c>
    </row>
    <row r="47" spans="1:5" ht="14.4" x14ac:dyDescent="0.3">
      <c r="A47" s="432">
        <v>14976</v>
      </c>
      <c r="B47" s="3" t="s">
        <v>458</v>
      </c>
      <c r="C47" s="405" t="s">
        <v>246</v>
      </c>
      <c r="D47" s="406" t="s">
        <v>83</v>
      </c>
      <c r="E47" s="89">
        <v>28</v>
      </c>
    </row>
    <row r="48" spans="1:5" ht="14.4" x14ac:dyDescent="0.3">
      <c r="A48" s="432">
        <v>84717020</v>
      </c>
      <c r="B48" s="3" t="s">
        <v>487</v>
      </c>
      <c r="C48" s="405" t="s">
        <v>246</v>
      </c>
      <c r="D48" s="406" t="s">
        <v>83</v>
      </c>
      <c r="E48" s="89">
        <v>28</v>
      </c>
    </row>
    <row r="49" spans="1:5" ht="14.4" x14ac:dyDescent="0.3">
      <c r="A49" s="432">
        <v>84733099</v>
      </c>
      <c r="B49" s="3" t="s">
        <v>488</v>
      </c>
      <c r="C49" s="405" t="s">
        <v>246</v>
      </c>
      <c r="D49" s="406" t="s">
        <v>83</v>
      </c>
      <c r="E49" s="89">
        <v>18</v>
      </c>
    </row>
    <row r="50" spans="1:5" ht="14.4" x14ac:dyDescent="0.3">
      <c r="A50" s="432">
        <v>998933</v>
      </c>
      <c r="B50" s="3" t="s">
        <v>81</v>
      </c>
      <c r="C50" s="405" t="s">
        <v>246</v>
      </c>
      <c r="D50" s="406" t="s">
        <v>83</v>
      </c>
      <c r="E50" s="89">
        <v>18</v>
      </c>
    </row>
    <row r="51" spans="1:5" ht="14.4" x14ac:dyDescent="0.3">
      <c r="A51" s="432">
        <v>32081090</v>
      </c>
      <c r="B51" s="3" t="s">
        <v>86</v>
      </c>
      <c r="C51" s="405" t="s">
        <v>246</v>
      </c>
      <c r="D51" s="406" t="s">
        <v>83</v>
      </c>
      <c r="E51" s="89">
        <v>28</v>
      </c>
    </row>
    <row r="52" spans="1:5" ht="14.4" x14ac:dyDescent="0.3">
      <c r="A52" s="432">
        <v>39199090</v>
      </c>
      <c r="B52" s="3" t="s">
        <v>81</v>
      </c>
      <c r="C52" s="405" t="s">
        <v>237</v>
      </c>
      <c r="D52" s="406" t="s">
        <v>83</v>
      </c>
      <c r="E52" s="89">
        <v>28</v>
      </c>
    </row>
    <row r="53" spans="1:5" ht="14.4" x14ac:dyDescent="0.3">
      <c r="A53" s="432">
        <v>32089022</v>
      </c>
      <c r="B53" s="3" t="s">
        <v>86</v>
      </c>
      <c r="C53" s="405" t="s">
        <v>246</v>
      </c>
      <c r="D53" s="406" t="s">
        <v>83</v>
      </c>
      <c r="E53" s="89">
        <v>28</v>
      </c>
    </row>
    <row r="54" spans="1:5" ht="14.4" x14ac:dyDescent="0.3">
      <c r="A54" s="432">
        <v>3208</v>
      </c>
      <c r="B54" s="3" t="s">
        <v>458</v>
      </c>
      <c r="C54" s="405" t="s">
        <v>246</v>
      </c>
      <c r="D54" s="406" t="s">
        <v>83</v>
      </c>
      <c r="E54" s="89">
        <v>28</v>
      </c>
    </row>
    <row r="55" spans="1:5" ht="14.4" x14ac:dyDescent="0.3">
      <c r="A55" s="432">
        <v>48171000</v>
      </c>
      <c r="B55" s="3" t="s">
        <v>459</v>
      </c>
      <c r="C55" s="405" t="s">
        <v>246</v>
      </c>
      <c r="D55" s="406" t="s">
        <v>83</v>
      </c>
      <c r="E55" s="89">
        <v>28</v>
      </c>
    </row>
    <row r="56" spans="1:5" ht="14.4" x14ac:dyDescent="0.3">
      <c r="A56" s="432">
        <v>37079090</v>
      </c>
      <c r="B56" s="3" t="s">
        <v>488</v>
      </c>
      <c r="C56" s="405" t="s">
        <v>246</v>
      </c>
      <c r="D56" s="406" t="s">
        <v>83</v>
      </c>
      <c r="E56" s="89">
        <v>18</v>
      </c>
    </row>
    <row r="57" spans="1:5" ht="14.4" x14ac:dyDescent="0.3">
      <c r="A57" s="432">
        <v>84716090</v>
      </c>
      <c r="B57" s="3" t="s">
        <v>488</v>
      </c>
      <c r="C57" s="405" t="s">
        <v>246</v>
      </c>
      <c r="D57" s="406" t="s">
        <v>83</v>
      </c>
      <c r="E57" s="89">
        <v>18</v>
      </c>
    </row>
    <row r="58" spans="1:5" ht="14.4" x14ac:dyDescent="0.3">
      <c r="A58" s="432">
        <v>38249990</v>
      </c>
      <c r="B58" s="3" t="s">
        <v>86</v>
      </c>
      <c r="C58" s="405" t="s">
        <v>246</v>
      </c>
      <c r="D58" s="406" t="s">
        <v>83</v>
      </c>
      <c r="E58" s="89">
        <v>18</v>
      </c>
    </row>
    <row r="59" spans="1:5" ht="14.4" x14ac:dyDescent="0.3">
      <c r="A59" s="432">
        <v>32082020</v>
      </c>
      <c r="B59" s="3" t="s">
        <v>86</v>
      </c>
      <c r="C59" s="405" t="s">
        <v>237</v>
      </c>
      <c r="D59" s="406" t="s">
        <v>83</v>
      </c>
      <c r="E59" s="89">
        <v>28</v>
      </c>
    </row>
    <row r="60" spans="1:5" ht="14.4" x14ac:dyDescent="0.3">
      <c r="A60" s="432">
        <v>29163200</v>
      </c>
      <c r="B60" s="3" t="s">
        <v>86</v>
      </c>
      <c r="C60" s="405" t="s">
        <v>237</v>
      </c>
      <c r="D60" s="406" t="s">
        <v>83</v>
      </c>
      <c r="E60" s="89">
        <v>18</v>
      </c>
    </row>
    <row r="61" spans="1:5" ht="14.4" x14ac:dyDescent="0.3">
      <c r="A61" s="432">
        <v>3813</v>
      </c>
      <c r="B61" s="3" t="s">
        <v>489</v>
      </c>
      <c r="C61" s="405" t="s">
        <v>237</v>
      </c>
      <c r="D61" s="406" t="s">
        <v>83</v>
      </c>
      <c r="E61" s="89">
        <v>28</v>
      </c>
    </row>
    <row r="62" spans="1:5" ht="14.4" x14ac:dyDescent="0.3">
      <c r="A62" s="432">
        <v>38140010</v>
      </c>
      <c r="B62" s="3" t="s">
        <v>458</v>
      </c>
      <c r="C62" s="405" t="s">
        <v>246</v>
      </c>
      <c r="D62" s="406" t="s">
        <v>83</v>
      </c>
      <c r="E62" s="89">
        <v>18</v>
      </c>
    </row>
    <row r="63" spans="1:5" ht="14.4" x14ac:dyDescent="0.3">
      <c r="A63" s="432">
        <v>40151100</v>
      </c>
      <c r="B63" s="3" t="s">
        <v>490</v>
      </c>
      <c r="C63" s="405" t="s">
        <v>246</v>
      </c>
      <c r="D63" s="406" t="s">
        <v>83</v>
      </c>
      <c r="E63" s="89">
        <v>12</v>
      </c>
    </row>
    <row r="64" spans="1:5" ht="14.4" x14ac:dyDescent="0.3">
      <c r="A64" s="432">
        <v>84242000</v>
      </c>
      <c r="B64" s="3" t="s">
        <v>81</v>
      </c>
      <c r="C64" s="405" t="s">
        <v>246</v>
      </c>
      <c r="D64" s="406" t="s">
        <v>83</v>
      </c>
      <c r="E64" s="89">
        <v>18</v>
      </c>
    </row>
    <row r="65" spans="1:5" ht="14.4" x14ac:dyDescent="0.3">
      <c r="A65" s="432">
        <v>441480</v>
      </c>
      <c r="B65" s="3" t="s">
        <v>491</v>
      </c>
      <c r="C65" s="405" t="s">
        <v>246</v>
      </c>
      <c r="D65" s="406" t="s">
        <v>83</v>
      </c>
      <c r="E65" s="89">
        <v>28</v>
      </c>
    </row>
    <row r="66" spans="1:5" ht="14.4" x14ac:dyDescent="0.3">
      <c r="A66" s="432">
        <v>27111900</v>
      </c>
      <c r="B66" s="3" t="s">
        <v>493</v>
      </c>
      <c r="C66" s="405" t="s">
        <v>246</v>
      </c>
      <c r="D66" s="406" t="s">
        <v>83</v>
      </c>
      <c r="E66" s="89">
        <v>18</v>
      </c>
    </row>
    <row r="67" spans="1:5" ht="14.4" x14ac:dyDescent="0.3">
      <c r="A67" s="432">
        <v>34012000</v>
      </c>
      <c r="B67" s="3" t="s">
        <v>494</v>
      </c>
      <c r="C67" s="405" t="s">
        <v>246</v>
      </c>
      <c r="D67" s="406" t="s">
        <v>83</v>
      </c>
      <c r="E67" s="89">
        <v>18</v>
      </c>
    </row>
    <row r="68" spans="1:5" ht="14.4" x14ac:dyDescent="0.3">
      <c r="A68" s="432">
        <v>63071090</v>
      </c>
      <c r="B68" s="3" t="s">
        <v>495</v>
      </c>
      <c r="C68" s="405" t="s">
        <v>246</v>
      </c>
      <c r="D68" s="406" t="s">
        <v>83</v>
      </c>
      <c r="E68" s="89">
        <v>18</v>
      </c>
    </row>
    <row r="69" spans="1:5" ht="14.4" x14ac:dyDescent="0.3">
      <c r="A69" s="432">
        <v>34029092</v>
      </c>
      <c r="B69" s="3" t="s">
        <v>496</v>
      </c>
      <c r="C69" s="405" t="s">
        <v>246</v>
      </c>
      <c r="D69" s="406" t="s">
        <v>83</v>
      </c>
      <c r="E69" s="89">
        <v>18</v>
      </c>
    </row>
    <row r="70" spans="1:5" ht="14.4" x14ac:dyDescent="0.3">
      <c r="A70" s="432">
        <v>84439959</v>
      </c>
      <c r="B70" s="3" t="s">
        <v>497</v>
      </c>
      <c r="C70" s="405" t="s">
        <v>235</v>
      </c>
      <c r="D70" s="406" t="s">
        <v>83</v>
      </c>
      <c r="E70" s="89">
        <v>18</v>
      </c>
    </row>
    <row r="71" spans="1:5" ht="14.4" x14ac:dyDescent="0.3">
      <c r="A71" s="432">
        <v>8443</v>
      </c>
      <c r="B71" s="3" t="s">
        <v>923</v>
      </c>
      <c r="C71" s="405" t="s">
        <v>246</v>
      </c>
      <c r="D71" s="406" t="s">
        <v>83</v>
      </c>
      <c r="E71" s="89">
        <v>18</v>
      </c>
    </row>
    <row r="72" spans="1:5" ht="14.4" x14ac:dyDescent="0.3">
      <c r="A72" s="432">
        <v>8708</v>
      </c>
      <c r="B72" s="3" t="s">
        <v>81</v>
      </c>
      <c r="C72" s="405" t="s">
        <v>246</v>
      </c>
      <c r="D72" s="406" t="s">
        <v>83</v>
      </c>
      <c r="E72" s="89">
        <v>28</v>
      </c>
    </row>
    <row r="73" spans="1:5" ht="14.4" x14ac:dyDescent="0.3">
      <c r="A73" s="432">
        <v>8532299</v>
      </c>
      <c r="B73" s="407" t="s">
        <v>498</v>
      </c>
      <c r="C73" s="405" t="s">
        <v>246</v>
      </c>
      <c r="D73" s="406" t="s">
        <v>83</v>
      </c>
      <c r="E73" s="89">
        <v>18</v>
      </c>
    </row>
    <row r="74" spans="1:5" ht="14.4" x14ac:dyDescent="0.3">
      <c r="A74" s="432">
        <v>32141000</v>
      </c>
      <c r="B74" s="407" t="s">
        <v>924</v>
      </c>
      <c r="C74" s="405" t="s">
        <v>246</v>
      </c>
      <c r="D74" s="406" t="s">
        <v>83</v>
      </c>
      <c r="E74" s="89">
        <v>28</v>
      </c>
    </row>
    <row r="75" spans="1:5" ht="14.4" x14ac:dyDescent="0.3">
      <c r="A75" s="432">
        <v>84818090</v>
      </c>
      <c r="B75" s="407" t="s">
        <v>499</v>
      </c>
      <c r="C75" s="405" t="s">
        <v>246</v>
      </c>
      <c r="D75" s="406" t="s">
        <v>83</v>
      </c>
      <c r="E75" s="89">
        <v>18</v>
      </c>
    </row>
    <row r="76" spans="1:5" ht="14.4" x14ac:dyDescent="0.3">
      <c r="A76" s="432">
        <v>4016932003</v>
      </c>
      <c r="B76" s="407" t="s">
        <v>500</v>
      </c>
      <c r="C76" s="405" t="s">
        <v>246</v>
      </c>
      <c r="D76" s="406" t="s">
        <v>83</v>
      </c>
      <c r="E76" s="89">
        <v>28</v>
      </c>
    </row>
    <row r="77" spans="1:5" ht="14.4" x14ac:dyDescent="0.3">
      <c r="A77" s="432">
        <v>4016999</v>
      </c>
      <c r="B77" s="407" t="s">
        <v>500</v>
      </c>
      <c r="C77" s="405" t="s">
        <v>246</v>
      </c>
      <c r="D77" s="406" t="s">
        <v>83</v>
      </c>
      <c r="E77" s="89">
        <v>28</v>
      </c>
    </row>
    <row r="78" spans="1:5" ht="14.4" x14ac:dyDescent="0.3">
      <c r="A78" s="432">
        <v>73182200</v>
      </c>
      <c r="B78" s="407" t="s">
        <v>501</v>
      </c>
      <c r="C78" s="405" t="s">
        <v>246</v>
      </c>
      <c r="D78" s="406" t="s">
        <v>83</v>
      </c>
      <c r="E78" s="89">
        <v>18</v>
      </c>
    </row>
    <row r="79" spans="1:5" ht="14.4" x14ac:dyDescent="0.3">
      <c r="A79" s="432">
        <v>8467299</v>
      </c>
      <c r="B79" s="407" t="s">
        <v>502</v>
      </c>
      <c r="C79" s="405" t="s">
        <v>246</v>
      </c>
      <c r="D79" s="406" t="s">
        <v>83</v>
      </c>
      <c r="E79" s="89">
        <v>18</v>
      </c>
    </row>
    <row r="80" spans="1:5" ht="14.4" x14ac:dyDescent="0.3">
      <c r="A80" s="432">
        <v>40119320</v>
      </c>
      <c r="B80" s="407" t="s">
        <v>503</v>
      </c>
      <c r="C80" s="405" t="s">
        <v>246</v>
      </c>
      <c r="D80" s="406" t="s">
        <v>83</v>
      </c>
      <c r="E80" s="89">
        <v>28</v>
      </c>
    </row>
    <row r="81" spans="1:5" ht="14.4" x14ac:dyDescent="0.3">
      <c r="A81" s="432" t="s">
        <v>504</v>
      </c>
      <c r="B81" s="407" t="s">
        <v>503</v>
      </c>
      <c r="C81" s="405" t="s">
        <v>246</v>
      </c>
      <c r="D81" s="406" t="s">
        <v>83</v>
      </c>
      <c r="E81" s="89">
        <v>18</v>
      </c>
    </row>
    <row r="82" spans="1:5" ht="14.4" x14ac:dyDescent="0.3">
      <c r="A82" s="432">
        <v>40169320</v>
      </c>
      <c r="B82" s="407" t="s">
        <v>505</v>
      </c>
      <c r="C82" s="405" t="s">
        <v>246</v>
      </c>
      <c r="D82" s="406" t="s">
        <v>83</v>
      </c>
      <c r="E82" s="89">
        <v>18</v>
      </c>
    </row>
    <row r="83" spans="1:5" ht="14.4" x14ac:dyDescent="0.3">
      <c r="A83" s="432" t="s">
        <v>506</v>
      </c>
      <c r="B83" s="407" t="s">
        <v>505</v>
      </c>
      <c r="C83" s="405" t="s">
        <v>246</v>
      </c>
      <c r="D83" s="406" t="s">
        <v>83</v>
      </c>
      <c r="E83" s="89">
        <v>28</v>
      </c>
    </row>
    <row r="84" spans="1:5" ht="14.4" x14ac:dyDescent="0.3">
      <c r="A84" s="432">
        <v>8483300</v>
      </c>
      <c r="B84" s="407" t="s">
        <v>507</v>
      </c>
      <c r="C84" s="405" t="s">
        <v>246</v>
      </c>
      <c r="D84" s="406" t="s">
        <v>83</v>
      </c>
      <c r="E84" s="89">
        <v>28</v>
      </c>
    </row>
    <row r="85" spans="1:5" ht="14.4" x14ac:dyDescent="0.3">
      <c r="A85" s="432">
        <v>4016932</v>
      </c>
      <c r="B85" s="407" t="s">
        <v>503</v>
      </c>
      <c r="C85" s="405" t="s">
        <v>246</v>
      </c>
      <c r="D85" s="406" t="s">
        <v>83</v>
      </c>
      <c r="E85" s="89">
        <v>28</v>
      </c>
    </row>
    <row r="86" spans="1:5" ht="14.4" x14ac:dyDescent="0.3">
      <c r="A86" s="432">
        <v>8483330</v>
      </c>
      <c r="B86" s="407" t="s">
        <v>507</v>
      </c>
      <c r="C86" s="405" t="s">
        <v>246</v>
      </c>
      <c r="D86" s="406" t="s">
        <v>83</v>
      </c>
      <c r="E86" s="89">
        <v>28</v>
      </c>
    </row>
    <row r="87" spans="1:5" ht="14.4" x14ac:dyDescent="0.3">
      <c r="A87" s="432">
        <v>998719</v>
      </c>
      <c r="B87" s="407" t="s">
        <v>508</v>
      </c>
      <c r="C87" s="405" t="s">
        <v>246</v>
      </c>
      <c r="D87" s="406" t="s">
        <v>492</v>
      </c>
      <c r="E87" s="89">
        <v>18</v>
      </c>
    </row>
    <row r="88" spans="1:5" ht="14.4" x14ac:dyDescent="0.3">
      <c r="A88" s="408" t="s">
        <v>509</v>
      </c>
      <c r="B88" s="407" t="s">
        <v>510</v>
      </c>
      <c r="C88" s="405" t="s">
        <v>246</v>
      </c>
      <c r="D88" s="406" t="s">
        <v>83</v>
      </c>
      <c r="E88" s="89">
        <v>18</v>
      </c>
    </row>
    <row r="89" spans="1:5" ht="14.4" x14ac:dyDescent="0.3">
      <c r="A89" s="432">
        <v>39201091</v>
      </c>
      <c r="B89" s="407" t="s">
        <v>511</v>
      </c>
      <c r="C89" s="405" t="s">
        <v>246</v>
      </c>
      <c r="D89" s="406" t="s">
        <v>83</v>
      </c>
      <c r="E89" s="89">
        <v>18</v>
      </c>
    </row>
    <row r="90" spans="1:5" ht="14.4" x14ac:dyDescent="0.3">
      <c r="A90" s="432">
        <v>29214990</v>
      </c>
      <c r="B90" s="407" t="s">
        <v>512</v>
      </c>
      <c r="C90" s="405" t="s">
        <v>237</v>
      </c>
      <c r="D90" s="406" t="s">
        <v>83</v>
      </c>
      <c r="E90" s="89">
        <v>18</v>
      </c>
    </row>
    <row r="91" spans="1:5" ht="14.4" x14ac:dyDescent="0.3">
      <c r="A91" s="432">
        <v>998519</v>
      </c>
      <c r="B91" s="407" t="s">
        <v>513</v>
      </c>
      <c r="C91" s="405" t="s">
        <v>246</v>
      </c>
      <c r="D91" s="406" t="s">
        <v>492</v>
      </c>
      <c r="E91" s="89">
        <v>18</v>
      </c>
    </row>
    <row r="92" spans="1:5" ht="14.4" x14ac:dyDescent="0.3">
      <c r="A92" s="408" t="s">
        <v>514</v>
      </c>
      <c r="B92" s="407" t="s">
        <v>515</v>
      </c>
      <c r="C92" s="405" t="s">
        <v>246</v>
      </c>
      <c r="D92" s="406" t="s">
        <v>492</v>
      </c>
      <c r="E92" s="89">
        <v>18</v>
      </c>
    </row>
    <row r="93" spans="1:5" ht="14.4" x14ac:dyDescent="0.3">
      <c r="A93" s="408" t="s">
        <v>516</v>
      </c>
      <c r="B93" s="407" t="s">
        <v>517</v>
      </c>
      <c r="C93" s="405" t="s">
        <v>246</v>
      </c>
      <c r="D93" s="406" t="s">
        <v>83</v>
      </c>
      <c r="E93" s="89">
        <v>18</v>
      </c>
    </row>
    <row r="94" spans="1:5" ht="14.4" x14ac:dyDescent="0.3">
      <c r="A94" s="408" t="s">
        <v>518</v>
      </c>
      <c r="B94" s="407" t="s">
        <v>519</v>
      </c>
      <c r="C94" s="405" t="s">
        <v>246</v>
      </c>
      <c r="D94" s="406" t="s">
        <v>83</v>
      </c>
      <c r="E94" s="89">
        <v>18</v>
      </c>
    </row>
    <row r="95" spans="1:5" ht="14.4" x14ac:dyDescent="0.3">
      <c r="A95" s="408" t="s">
        <v>520</v>
      </c>
      <c r="B95" s="407" t="s">
        <v>521</v>
      </c>
      <c r="C95" s="405" t="s">
        <v>246</v>
      </c>
      <c r="D95" s="406" t="s">
        <v>83</v>
      </c>
      <c r="E95" s="89">
        <v>18</v>
      </c>
    </row>
    <row r="96" spans="1:5" ht="14.4" x14ac:dyDescent="0.3">
      <c r="A96" s="408" t="s">
        <v>925</v>
      </c>
      <c r="B96" s="407" t="s">
        <v>926</v>
      </c>
      <c r="C96" s="405" t="s">
        <v>246</v>
      </c>
      <c r="D96" s="406" t="s">
        <v>83</v>
      </c>
      <c r="E96" s="89">
        <v>18</v>
      </c>
    </row>
    <row r="97" spans="1:5" ht="14.4" x14ac:dyDescent="0.3">
      <c r="A97" s="408" t="s">
        <v>522</v>
      </c>
      <c r="B97" s="407" t="s">
        <v>523</v>
      </c>
      <c r="C97" s="405" t="s">
        <v>235</v>
      </c>
      <c r="D97" s="406" t="s">
        <v>83</v>
      </c>
      <c r="E97" s="89">
        <v>18</v>
      </c>
    </row>
    <row r="98" spans="1:5" ht="14.4" x14ac:dyDescent="0.3">
      <c r="A98" s="408" t="s">
        <v>524</v>
      </c>
      <c r="B98" s="407" t="s">
        <v>525</v>
      </c>
      <c r="C98" s="405" t="s">
        <v>246</v>
      </c>
      <c r="D98" s="406" t="s">
        <v>83</v>
      </c>
      <c r="E98" s="89">
        <v>18</v>
      </c>
    </row>
    <row r="99" spans="1:5" ht="14.4" x14ac:dyDescent="0.3">
      <c r="A99" s="408" t="s">
        <v>526</v>
      </c>
      <c r="B99" s="407" t="s">
        <v>527</v>
      </c>
      <c r="C99" s="405" t="s">
        <v>246</v>
      </c>
      <c r="D99" s="406" t="s">
        <v>83</v>
      </c>
      <c r="E99" s="89">
        <v>18</v>
      </c>
    </row>
    <row r="100" spans="1:5" ht="14.4" x14ac:dyDescent="0.3">
      <c r="A100" s="432">
        <v>3824</v>
      </c>
      <c r="B100" s="409" t="s">
        <v>528</v>
      </c>
      <c r="C100" s="405" t="s">
        <v>246</v>
      </c>
      <c r="D100" s="406" t="s">
        <v>83</v>
      </c>
      <c r="E100" s="89">
        <v>18</v>
      </c>
    </row>
    <row r="101" spans="1:5" ht="14.4" x14ac:dyDescent="0.3">
      <c r="A101" s="432">
        <v>6810</v>
      </c>
      <c r="B101" s="410" t="s">
        <v>529</v>
      </c>
      <c r="C101" s="405" t="s">
        <v>246</v>
      </c>
      <c r="D101" s="406" t="s">
        <v>83</v>
      </c>
      <c r="E101" s="89">
        <v>28</v>
      </c>
    </row>
    <row r="102" spans="1:5" ht="14.4" x14ac:dyDescent="0.3">
      <c r="A102" s="432">
        <v>846799</v>
      </c>
      <c r="B102" s="410" t="s">
        <v>530</v>
      </c>
      <c r="C102" s="405" t="s">
        <v>246</v>
      </c>
      <c r="D102" s="406" t="s">
        <v>83</v>
      </c>
      <c r="E102" s="89">
        <v>18</v>
      </c>
    </row>
    <row r="103" spans="1:5" ht="14.4" x14ac:dyDescent="0.3">
      <c r="A103" s="432">
        <v>29141100</v>
      </c>
      <c r="B103" s="410" t="s">
        <v>481</v>
      </c>
      <c r="C103" s="405" t="s">
        <v>246</v>
      </c>
      <c r="D103" s="406" t="s">
        <v>83</v>
      </c>
      <c r="E103" s="89">
        <v>18</v>
      </c>
    </row>
    <row r="104" spans="1:5" ht="14.4" x14ac:dyDescent="0.3">
      <c r="A104" s="432">
        <v>401693</v>
      </c>
      <c r="B104" s="407" t="s">
        <v>500</v>
      </c>
      <c r="C104" s="405" t="s">
        <v>246</v>
      </c>
      <c r="D104" s="406" t="s">
        <v>83</v>
      </c>
      <c r="E104" s="89">
        <v>28</v>
      </c>
    </row>
    <row r="105" spans="1:5" ht="14.4" x14ac:dyDescent="0.3">
      <c r="A105" s="432">
        <v>84679900</v>
      </c>
      <c r="B105" s="410" t="s">
        <v>530</v>
      </c>
      <c r="C105" s="405" t="s">
        <v>246</v>
      </c>
      <c r="D105" s="406" t="s">
        <v>83</v>
      </c>
      <c r="E105" s="89">
        <v>18</v>
      </c>
    </row>
    <row r="106" spans="1:5" ht="14.4" x14ac:dyDescent="0.3">
      <c r="A106" s="432">
        <v>3919</v>
      </c>
      <c r="B106" s="3" t="s">
        <v>478</v>
      </c>
      <c r="C106" s="405" t="s">
        <v>235</v>
      </c>
      <c r="D106" s="406" t="s">
        <v>83</v>
      </c>
      <c r="E106" s="89">
        <v>18</v>
      </c>
    </row>
    <row r="107" spans="1:5" ht="14.4" x14ac:dyDescent="0.3">
      <c r="A107" s="432">
        <v>27101990</v>
      </c>
      <c r="B107" s="410" t="s">
        <v>531</v>
      </c>
      <c r="C107" s="405" t="s">
        <v>246</v>
      </c>
      <c r="D107" s="406" t="s">
        <v>83</v>
      </c>
      <c r="E107" s="89">
        <v>18</v>
      </c>
    </row>
    <row r="108" spans="1:5" ht="14.4" x14ac:dyDescent="0.3">
      <c r="A108" s="432">
        <v>8211</v>
      </c>
      <c r="B108" s="410" t="s">
        <v>479</v>
      </c>
      <c r="C108" s="405" t="s">
        <v>246</v>
      </c>
      <c r="D108" s="406" t="s">
        <v>83</v>
      </c>
      <c r="E108" s="89">
        <v>18</v>
      </c>
    </row>
    <row r="109" spans="1:5" ht="14.4" x14ac:dyDescent="0.3">
      <c r="A109" s="432">
        <v>4817200</v>
      </c>
      <c r="B109" s="410" t="s">
        <v>532</v>
      </c>
      <c r="C109" s="405" t="s">
        <v>246</v>
      </c>
      <c r="D109" s="406" t="s">
        <v>83</v>
      </c>
      <c r="E109" s="89">
        <v>18</v>
      </c>
    </row>
    <row r="110" spans="1:5" ht="14.4" x14ac:dyDescent="0.3">
      <c r="A110" s="432">
        <v>85129000</v>
      </c>
      <c r="B110" s="3" t="s">
        <v>459</v>
      </c>
      <c r="C110" s="405" t="s">
        <v>246</v>
      </c>
      <c r="D110" s="406" t="s">
        <v>83</v>
      </c>
      <c r="E110" s="89">
        <v>18</v>
      </c>
    </row>
    <row r="111" spans="1:5" ht="14.4" x14ac:dyDescent="0.3">
      <c r="A111" s="432">
        <v>8207</v>
      </c>
      <c r="B111" s="410" t="s">
        <v>533</v>
      </c>
      <c r="C111" s="405" t="s">
        <v>246</v>
      </c>
      <c r="D111" s="406" t="s">
        <v>83</v>
      </c>
      <c r="E111" s="89">
        <v>18</v>
      </c>
    </row>
    <row r="112" spans="1:5" ht="14.4" x14ac:dyDescent="0.3">
      <c r="A112" s="432">
        <v>7318</v>
      </c>
      <c r="B112" s="407" t="s">
        <v>501</v>
      </c>
      <c r="C112" s="405" t="s">
        <v>246</v>
      </c>
      <c r="D112" s="406" t="s">
        <v>83</v>
      </c>
      <c r="E112" s="89">
        <v>18</v>
      </c>
    </row>
    <row r="113" spans="1:5" ht="14.4" x14ac:dyDescent="0.3">
      <c r="A113" s="432">
        <v>8506</v>
      </c>
      <c r="B113" s="3" t="s">
        <v>472</v>
      </c>
      <c r="C113" s="405" t="s">
        <v>246</v>
      </c>
      <c r="D113" s="406" t="s">
        <v>83</v>
      </c>
      <c r="E113" s="89">
        <v>28</v>
      </c>
    </row>
    <row r="114" spans="1:5" ht="14.4" x14ac:dyDescent="0.3">
      <c r="A114" s="432">
        <v>8205</v>
      </c>
      <c r="B114" s="3" t="s">
        <v>476</v>
      </c>
      <c r="C114" s="405" t="s">
        <v>246</v>
      </c>
      <c r="D114" s="406" t="s">
        <v>83</v>
      </c>
      <c r="E114" s="89">
        <v>18</v>
      </c>
    </row>
    <row r="115" spans="1:5" ht="14.4" x14ac:dyDescent="0.3">
      <c r="A115" s="432">
        <v>8481</v>
      </c>
      <c r="B115" s="407" t="s">
        <v>499</v>
      </c>
      <c r="C115" s="405" t="s">
        <v>246</v>
      </c>
      <c r="D115" s="406" t="s">
        <v>83</v>
      </c>
      <c r="E115" s="89">
        <v>18</v>
      </c>
    </row>
    <row r="116" spans="1:5" ht="14.4" x14ac:dyDescent="0.3">
      <c r="A116" s="432">
        <v>8532</v>
      </c>
      <c r="B116" s="407" t="s">
        <v>498</v>
      </c>
      <c r="C116" s="405" t="s">
        <v>246</v>
      </c>
      <c r="D116" s="406" t="s">
        <v>83</v>
      </c>
      <c r="E116" s="89">
        <v>18</v>
      </c>
    </row>
    <row r="117" spans="1:5" ht="14.4" x14ac:dyDescent="0.3">
      <c r="A117" s="432">
        <v>8546</v>
      </c>
      <c r="B117" s="3" t="s">
        <v>534</v>
      </c>
      <c r="C117" s="405" t="s">
        <v>246</v>
      </c>
      <c r="D117" s="406" t="s">
        <v>83</v>
      </c>
      <c r="E117" s="89">
        <v>18</v>
      </c>
    </row>
    <row r="118" spans="1:5" ht="14.4" x14ac:dyDescent="0.3">
      <c r="A118" s="432">
        <v>3214</v>
      </c>
      <c r="B118" s="3" t="s">
        <v>535</v>
      </c>
      <c r="C118" s="405" t="s">
        <v>246</v>
      </c>
      <c r="D118" s="406" t="s">
        <v>83</v>
      </c>
      <c r="E118" s="89">
        <v>28</v>
      </c>
    </row>
    <row r="119" spans="1:5" ht="14.4" x14ac:dyDescent="0.3">
      <c r="A119" s="432">
        <v>3403</v>
      </c>
      <c r="B119" s="3" t="s">
        <v>536</v>
      </c>
      <c r="C119" s="405" t="s">
        <v>246</v>
      </c>
      <c r="D119" s="406" t="s">
        <v>83</v>
      </c>
      <c r="E119" s="89">
        <v>28</v>
      </c>
    </row>
    <row r="120" spans="1:5" ht="14.4" x14ac:dyDescent="0.3">
      <c r="A120" s="432">
        <v>9603</v>
      </c>
      <c r="B120" s="3" t="s">
        <v>537</v>
      </c>
      <c r="C120" s="405" t="s">
        <v>246</v>
      </c>
      <c r="D120" s="406" t="s">
        <v>83</v>
      </c>
      <c r="E120" s="89">
        <v>18</v>
      </c>
    </row>
    <row r="121" spans="1:5" ht="14.4" x14ac:dyDescent="0.3">
      <c r="A121" s="432">
        <v>2508</v>
      </c>
      <c r="B121" s="3" t="s">
        <v>538</v>
      </c>
      <c r="C121" s="405" t="s">
        <v>235</v>
      </c>
      <c r="D121" s="406" t="s">
        <v>83</v>
      </c>
      <c r="E121" s="89">
        <v>5</v>
      </c>
    </row>
    <row r="122" spans="1:5" ht="14.4" x14ac:dyDescent="0.3">
      <c r="A122" s="432">
        <v>7409</v>
      </c>
      <c r="B122" s="3" t="s">
        <v>539</v>
      </c>
      <c r="C122" s="405" t="s">
        <v>246</v>
      </c>
      <c r="D122" s="406" t="s">
        <v>83</v>
      </c>
      <c r="E122" s="89">
        <v>18</v>
      </c>
    </row>
    <row r="123" spans="1:5" ht="14.4" x14ac:dyDescent="0.3">
      <c r="A123" s="432">
        <v>8535</v>
      </c>
      <c r="B123" s="3" t="s">
        <v>540</v>
      </c>
      <c r="C123" s="405" t="s">
        <v>246</v>
      </c>
      <c r="D123" s="406" t="s">
        <v>492</v>
      </c>
      <c r="E123" s="89">
        <v>18</v>
      </c>
    </row>
    <row r="124" spans="1:5" ht="14.4" x14ac:dyDescent="0.3">
      <c r="A124" s="432">
        <v>998346</v>
      </c>
      <c r="B124" s="409" t="s">
        <v>541</v>
      </c>
      <c r="C124" s="405" t="s">
        <v>246</v>
      </c>
      <c r="D124" s="406" t="s">
        <v>83</v>
      </c>
      <c r="E124" s="89">
        <v>18</v>
      </c>
    </row>
    <row r="125" spans="1:5" ht="14.4" x14ac:dyDescent="0.3">
      <c r="A125" s="432">
        <v>84663020</v>
      </c>
      <c r="B125" s="407" t="s">
        <v>882</v>
      </c>
      <c r="C125" s="405" t="s">
        <v>246</v>
      </c>
      <c r="D125" s="406" t="s">
        <v>83</v>
      </c>
      <c r="E125" s="89">
        <v>18</v>
      </c>
    </row>
    <row r="126" spans="1:5" ht="14.4" x14ac:dyDescent="0.3">
      <c r="A126" s="432">
        <v>84137010</v>
      </c>
      <c r="B126" s="3" t="s">
        <v>542</v>
      </c>
      <c r="C126" s="405" t="s">
        <v>246</v>
      </c>
      <c r="D126" s="406" t="s">
        <v>83</v>
      </c>
      <c r="E126" s="89">
        <v>12</v>
      </c>
    </row>
    <row r="127" spans="1:5" ht="14.4" x14ac:dyDescent="0.3">
      <c r="A127" s="432">
        <v>85364900</v>
      </c>
      <c r="B127" s="3" t="s">
        <v>927</v>
      </c>
      <c r="C127" s="405" t="s">
        <v>246</v>
      </c>
      <c r="D127" s="406" t="s">
        <v>83</v>
      </c>
      <c r="E127" s="89">
        <v>18</v>
      </c>
    </row>
    <row r="128" spans="1:5" ht="14.4" x14ac:dyDescent="0.3">
      <c r="A128" s="432">
        <v>63071030</v>
      </c>
      <c r="B128" s="3" t="s">
        <v>543</v>
      </c>
      <c r="C128" s="405" t="s">
        <v>246</v>
      </c>
      <c r="D128" s="406" t="s">
        <v>83</v>
      </c>
      <c r="E128" s="89">
        <v>5</v>
      </c>
    </row>
    <row r="129" spans="1:5" ht="14.4" x14ac:dyDescent="0.3">
      <c r="A129" s="432" t="s">
        <v>544</v>
      </c>
      <c r="B129" s="3" t="s">
        <v>81</v>
      </c>
      <c r="C129" s="405" t="s">
        <v>246</v>
      </c>
      <c r="D129" s="406" t="s">
        <v>83</v>
      </c>
      <c r="E129" s="89">
        <v>18</v>
      </c>
    </row>
    <row r="130" spans="1:5" ht="14.4" x14ac:dyDescent="0.3">
      <c r="A130" s="432">
        <v>3808</v>
      </c>
      <c r="B130" s="3" t="s">
        <v>473</v>
      </c>
      <c r="C130" s="405" t="s">
        <v>246</v>
      </c>
      <c r="D130" s="406" t="s">
        <v>83</v>
      </c>
      <c r="E130" s="89">
        <v>18</v>
      </c>
    </row>
    <row r="131" spans="1:5" ht="14.4" x14ac:dyDescent="0.3">
      <c r="A131" s="432">
        <v>96091000</v>
      </c>
      <c r="B131" s="3" t="s">
        <v>545</v>
      </c>
      <c r="C131" s="405" t="s">
        <v>246</v>
      </c>
      <c r="D131" s="406" t="s">
        <v>83</v>
      </c>
      <c r="E131" s="89">
        <v>12</v>
      </c>
    </row>
    <row r="132" spans="1:5" ht="14.4" x14ac:dyDescent="0.3">
      <c r="A132" s="432">
        <v>8466300</v>
      </c>
      <c r="B132" s="3" t="s">
        <v>546</v>
      </c>
      <c r="C132" s="405" t="s">
        <v>246</v>
      </c>
      <c r="D132" s="406" t="s">
        <v>83</v>
      </c>
      <c r="E132" s="89">
        <v>18</v>
      </c>
    </row>
    <row r="133" spans="1:5" ht="14.4" x14ac:dyDescent="0.3">
      <c r="A133" s="432">
        <v>84213920</v>
      </c>
      <c r="B133" s="3" t="s">
        <v>547</v>
      </c>
      <c r="C133" s="405" t="s">
        <v>237</v>
      </c>
      <c r="D133" s="406" t="s">
        <v>83</v>
      </c>
      <c r="E133" s="89">
        <v>18</v>
      </c>
    </row>
    <row r="134" spans="1:5" ht="14.4" x14ac:dyDescent="0.3">
      <c r="A134" s="432">
        <v>48211090</v>
      </c>
      <c r="B134" s="3" t="s">
        <v>548</v>
      </c>
      <c r="C134" s="405" t="s">
        <v>246</v>
      </c>
      <c r="D134" s="406" t="s">
        <v>83</v>
      </c>
      <c r="E134" s="89">
        <v>18</v>
      </c>
    </row>
    <row r="135" spans="1:5" ht="14.4" x14ac:dyDescent="0.3">
      <c r="A135" s="432" t="s">
        <v>549</v>
      </c>
      <c r="B135" s="3" t="s">
        <v>458</v>
      </c>
      <c r="C135" s="405" t="s">
        <v>237</v>
      </c>
      <c r="D135" s="406" t="s">
        <v>83</v>
      </c>
      <c r="E135" s="89">
        <v>18</v>
      </c>
    </row>
    <row r="136" spans="1:5" ht="14.4" x14ac:dyDescent="0.3">
      <c r="A136" s="432">
        <v>84733030</v>
      </c>
      <c r="B136" s="3" t="s">
        <v>551</v>
      </c>
      <c r="C136" s="405" t="s">
        <v>246</v>
      </c>
      <c r="D136" s="406" t="s">
        <v>83</v>
      </c>
      <c r="E136" s="89">
        <v>18</v>
      </c>
    </row>
    <row r="137" spans="1:5" ht="14.4" x14ac:dyDescent="0.3">
      <c r="A137" s="432">
        <v>3209</v>
      </c>
      <c r="B137" s="3" t="s">
        <v>552</v>
      </c>
      <c r="C137" s="405" t="s">
        <v>246</v>
      </c>
      <c r="D137" s="406" t="s">
        <v>83</v>
      </c>
      <c r="E137" s="89">
        <v>28</v>
      </c>
    </row>
    <row r="138" spans="1:5" ht="14.4" x14ac:dyDescent="0.3">
      <c r="A138" s="432">
        <v>3920</v>
      </c>
      <c r="B138" s="3" t="s">
        <v>553</v>
      </c>
      <c r="C138" s="405" t="s">
        <v>235</v>
      </c>
      <c r="D138" s="406" t="s">
        <v>83</v>
      </c>
      <c r="E138" s="89">
        <v>18</v>
      </c>
    </row>
    <row r="139" spans="1:5" ht="14.4" x14ac:dyDescent="0.3">
      <c r="A139" s="432">
        <v>3506</v>
      </c>
      <c r="B139" s="3" t="s">
        <v>554</v>
      </c>
      <c r="C139" s="405" t="s">
        <v>246</v>
      </c>
      <c r="D139" s="406" t="s">
        <v>83</v>
      </c>
      <c r="E139" s="89">
        <v>18</v>
      </c>
    </row>
    <row r="140" spans="1:5" ht="14.4" x14ac:dyDescent="0.3">
      <c r="A140" s="432">
        <v>2523</v>
      </c>
      <c r="B140" s="3" t="s">
        <v>486</v>
      </c>
      <c r="C140" s="405" t="s">
        <v>246</v>
      </c>
      <c r="D140" s="406" t="s">
        <v>83</v>
      </c>
      <c r="E140" s="89">
        <v>28</v>
      </c>
    </row>
    <row r="141" spans="1:5" ht="14.4" x14ac:dyDescent="0.3">
      <c r="A141" s="432">
        <v>6805</v>
      </c>
      <c r="B141" s="3" t="s">
        <v>460</v>
      </c>
      <c r="C141" s="405" t="s">
        <v>246</v>
      </c>
      <c r="D141" s="406" t="s">
        <v>83</v>
      </c>
      <c r="E141" s="89">
        <v>18</v>
      </c>
    </row>
    <row r="142" spans="1:5" ht="14.4" x14ac:dyDescent="0.3">
      <c r="A142" s="432">
        <v>8481</v>
      </c>
      <c r="B142" s="3" t="s">
        <v>555</v>
      </c>
      <c r="C142" s="405" t="s">
        <v>246</v>
      </c>
      <c r="D142" s="406" t="s">
        <v>83</v>
      </c>
      <c r="E142" s="89">
        <v>18</v>
      </c>
    </row>
    <row r="143" spans="1:5" ht="14.4" x14ac:dyDescent="0.3">
      <c r="A143" s="432">
        <v>8202</v>
      </c>
      <c r="B143" s="3" t="s">
        <v>556</v>
      </c>
      <c r="C143" s="405" t="s">
        <v>237</v>
      </c>
      <c r="D143" s="406" t="s">
        <v>83</v>
      </c>
      <c r="E143" s="89">
        <v>18</v>
      </c>
    </row>
    <row r="144" spans="1:5" ht="14.4" x14ac:dyDescent="0.3">
      <c r="A144" s="432">
        <v>8539</v>
      </c>
      <c r="B144" s="3" t="s">
        <v>557</v>
      </c>
      <c r="C144" s="405" t="s">
        <v>246</v>
      </c>
      <c r="D144" s="406" t="s">
        <v>83</v>
      </c>
      <c r="E144" s="89">
        <v>28</v>
      </c>
    </row>
    <row r="145" spans="1:5" ht="14.4" x14ac:dyDescent="0.3">
      <c r="A145" s="408" t="s">
        <v>883</v>
      </c>
      <c r="B145" s="407" t="s">
        <v>884</v>
      </c>
      <c r="C145" s="405" t="s">
        <v>246</v>
      </c>
      <c r="D145" s="406" t="s">
        <v>83</v>
      </c>
      <c r="E145" s="89">
        <v>18</v>
      </c>
    </row>
    <row r="146" spans="1:5" ht="14.4" x14ac:dyDescent="0.3">
      <c r="A146" s="432">
        <v>8538</v>
      </c>
      <c r="B146" s="3" t="s">
        <v>559</v>
      </c>
      <c r="C146" s="405" t="s">
        <v>258</v>
      </c>
      <c r="D146" s="406" t="s">
        <v>83</v>
      </c>
      <c r="E146" s="89">
        <v>28</v>
      </c>
    </row>
    <row r="147" spans="1:5" ht="14.4" x14ac:dyDescent="0.3">
      <c r="A147" s="432">
        <v>3405</v>
      </c>
      <c r="B147" s="3" t="s">
        <v>560</v>
      </c>
      <c r="C147" s="405" t="s">
        <v>246</v>
      </c>
      <c r="D147" s="406" t="s">
        <v>83</v>
      </c>
      <c r="E147" s="89">
        <v>28</v>
      </c>
    </row>
    <row r="148" spans="1:5" ht="14.4" x14ac:dyDescent="0.3">
      <c r="A148" s="432">
        <v>8302</v>
      </c>
      <c r="B148" s="3" t="s">
        <v>561</v>
      </c>
      <c r="C148" s="405" t="s">
        <v>246</v>
      </c>
      <c r="D148" s="406" t="s">
        <v>83</v>
      </c>
      <c r="E148" s="89">
        <v>28</v>
      </c>
    </row>
    <row r="149" spans="1:5" ht="14.4" x14ac:dyDescent="0.3">
      <c r="A149" s="432">
        <v>4417</v>
      </c>
      <c r="B149" s="3" t="s">
        <v>562</v>
      </c>
      <c r="C149" s="405" t="s">
        <v>235</v>
      </c>
      <c r="D149" s="406" t="s">
        <v>83</v>
      </c>
      <c r="E149" s="89">
        <v>12</v>
      </c>
    </row>
    <row r="150" spans="1:5" ht="14.4" x14ac:dyDescent="0.3">
      <c r="A150" s="432">
        <v>3917</v>
      </c>
      <c r="B150" s="3" t="s">
        <v>563</v>
      </c>
      <c r="C150" s="405" t="s">
        <v>246</v>
      </c>
      <c r="D150" s="406" t="s">
        <v>83</v>
      </c>
      <c r="E150" s="89">
        <v>18</v>
      </c>
    </row>
    <row r="151" spans="1:5" ht="14.4" x14ac:dyDescent="0.3">
      <c r="A151" s="432">
        <v>2520</v>
      </c>
      <c r="B151" s="3" t="s">
        <v>564</v>
      </c>
      <c r="C151" s="405" t="s">
        <v>246</v>
      </c>
      <c r="D151" s="406" t="s">
        <v>83</v>
      </c>
      <c r="E151" s="89">
        <v>5</v>
      </c>
    </row>
    <row r="152" spans="1:5" ht="14.4" x14ac:dyDescent="0.3">
      <c r="A152" s="432">
        <v>3925</v>
      </c>
      <c r="B152" s="3" t="s">
        <v>565</v>
      </c>
      <c r="C152" s="405" t="s">
        <v>246</v>
      </c>
      <c r="D152" s="406" t="s">
        <v>83</v>
      </c>
      <c r="E152" s="89">
        <v>18</v>
      </c>
    </row>
    <row r="153" spans="1:5" ht="14.4" x14ac:dyDescent="0.3">
      <c r="A153" s="432">
        <v>9608</v>
      </c>
      <c r="B153" s="3" t="s">
        <v>467</v>
      </c>
      <c r="C153" s="405" t="s">
        <v>246</v>
      </c>
      <c r="D153" s="406" t="s">
        <v>83</v>
      </c>
      <c r="E153" s="89">
        <v>12</v>
      </c>
    </row>
    <row r="154" spans="1:5" ht="14.4" x14ac:dyDescent="0.3">
      <c r="A154" s="432">
        <v>39199010</v>
      </c>
      <c r="B154" s="3" t="s">
        <v>566</v>
      </c>
      <c r="C154" s="405" t="s">
        <v>246</v>
      </c>
      <c r="D154" s="406" t="s">
        <v>83</v>
      </c>
      <c r="E154" s="89">
        <v>18</v>
      </c>
    </row>
    <row r="155" spans="1:5" ht="14.4" x14ac:dyDescent="0.3">
      <c r="A155" s="432">
        <v>7412</v>
      </c>
      <c r="B155" s="3" t="s">
        <v>567</v>
      </c>
      <c r="C155" s="405" t="s">
        <v>246</v>
      </c>
      <c r="D155" s="406" t="s">
        <v>83</v>
      </c>
      <c r="E155" s="89">
        <v>18</v>
      </c>
    </row>
    <row r="156" spans="1:5" ht="14.4" x14ac:dyDescent="0.3">
      <c r="A156" s="432">
        <v>6804</v>
      </c>
      <c r="B156" s="3" t="s">
        <v>568</v>
      </c>
      <c r="C156" s="405" t="s">
        <v>246</v>
      </c>
      <c r="D156" s="406" t="s">
        <v>83</v>
      </c>
      <c r="E156" s="89">
        <v>18</v>
      </c>
    </row>
    <row r="157" spans="1:5" ht="14.4" x14ac:dyDescent="0.3">
      <c r="A157" s="432">
        <v>9968</v>
      </c>
      <c r="B157" s="3" t="s">
        <v>569</v>
      </c>
      <c r="C157" s="405" t="s">
        <v>246</v>
      </c>
      <c r="D157" s="406" t="s">
        <v>83</v>
      </c>
      <c r="E157" s="89">
        <v>18</v>
      </c>
    </row>
    <row r="158" spans="1:5" ht="14.4" x14ac:dyDescent="0.3">
      <c r="A158" s="408" t="s">
        <v>885</v>
      </c>
      <c r="B158" s="407" t="s">
        <v>886</v>
      </c>
      <c r="C158" s="405" t="s">
        <v>246</v>
      </c>
      <c r="D158" s="406" t="s">
        <v>83</v>
      </c>
      <c r="E158" s="89">
        <v>18</v>
      </c>
    </row>
    <row r="159" spans="1:5" ht="14.4" x14ac:dyDescent="0.3">
      <c r="A159" s="432">
        <v>8517</v>
      </c>
      <c r="B159" s="3" t="s">
        <v>570</v>
      </c>
      <c r="C159" s="405" t="s">
        <v>246</v>
      </c>
      <c r="D159" s="406" t="s">
        <v>83</v>
      </c>
      <c r="E159" s="89">
        <v>18</v>
      </c>
    </row>
    <row r="160" spans="1:5" ht="14.4" x14ac:dyDescent="0.3">
      <c r="A160" s="432">
        <v>7324</v>
      </c>
      <c r="B160" s="3" t="s">
        <v>571</v>
      </c>
      <c r="C160" s="405" t="s">
        <v>246</v>
      </c>
      <c r="D160" s="406" t="s">
        <v>83</v>
      </c>
      <c r="E160" s="89">
        <v>18</v>
      </c>
    </row>
    <row r="161" spans="1:5" ht="14.4" x14ac:dyDescent="0.3">
      <c r="A161" s="432">
        <v>8544</v>
      </c>
      <c r="B161" s="3" t="s">
        <v>572</v>
      </c>
      <c r="C161" s="405" t="s">
        <v>246</v>
      </c>
      <c r="D161" s="406" t="s">
        <v>83</v>
      </c>
      <c r="E161" s="89">
        <v>18</v>
      </c>
    </row>
    <row r="162" spans="1:5" ht="14.4" x14ac:dyDescent="0.3">
      <c r="A162" s="432">
        <v>8515</v>
      </c>
      <c r="B162" s="3" t="s">
        <v>573</v>
      </c>
      <c r="C162" s="405" t="s">
        <v>246</v>
      </c>
      <c r="D162" s="406" t="s">
        <v>83</v>
      </c>
      <c r="E162" s="89">
        <v>18</v>
      </c>
    </row>
    <row r="163" spans="1:5" ht="14.4" x14ac:dyDescent="0.3">
      <c r="A163" s="432">
        <v>7314</v>
      </c>
      <c r="B163" s="3" t="s">
        <v>928</v>
      </c>
      <c r="C163" s="405" t="s">
        <v>242</v>
      </c>
      <c r="D163" s="406" t="s">
        <v>83</v>
      </c>
      <c r="E163" s="89">
        <v>18</v>
      </c>
    </row>
    <row r="164" spans="1:5" ht="14.4" x14ac:dyDescent="0.3">
      <c r="A164" s="432">
        <v>8203</v>
      </c>
      <c r="B164" s="3" t="s">
        <v>574</v>
      </c>
      <c r="C164" s="405" t="s">
        <v>246</v>
      </c>
      <c r="D164" s="406" t="s">
        <v>83</v>
      </c>
      <c r="E164" s="89">
        <v>18</v>
      </c>
    </row>
    <row r="165" spans="1:5" ht="14.4" x14ac:dyDescent="0.3">
      <c r="A165" s="432">
        <v>8536</v>
      </c>
      <c r="B165" s="3" t="s">
        <v>575</v>
      </c>
      <c r="C165" s="405" t="s">
        <v>246</v>
      </c>
      <c r="D165" s="406" t="s">
        <v>83</v>
      </c>
      <c r="E165" s="89">
        <v>18</v>
      </c>
    </row>
    <row r="166" spans="1:5" ht="14.4" x14ac:dyDescent="0.3">
      <c r="A166" s="432">
        <v>8414</v>
      </c>
      <c r="B166" s="3" t="s">
        <v>576</v>
      </c>
      <c r="C166" s="405" t="s">
        <v>246</v>
      </c>
      <c r="D166" s="406" t="s">
        <v>83</v>
      </c>
      <c r="E166" s="89">
        <v>18</v>
      </c>
    </row>
    <row r="167" spans="1:5" ht="14.4" x14ac:dyDescent="0.3">
      <c r="A167" s="432">
        <v>85446090</v>
      </c>
      <c r="B167" s="3" t="s">
        <v>577</v>
      </c>
      <c r="C167" s="405" t="s">
        <v>246</v>
      </c>
      <c r="D167" s="406" t="s">
        <v>83</v>
      </c>
      <c r="E167" s="89">
        <v>28</v>
      </c>
    </row>
    <row r="168" spans="1:5" ht="14.4" x14ac:dyDescent="0.3">
      <c r="A168" s="432" t="s">
        <v>888</v>
      </c>
      <c r="B168" s="3" t="s">
        <v>577</v>
      </c>
      <c r="C168" s="405" t="s">
        <v>246</v>
      </c>
      <c r="D168" s="406" t="s">
        <v>83</v>
      </c>
      <c r="E168" s="89">
        <v>18</v>
      </c>
    </row>
    <row r="169" spans="1:5" ht="14.4" x14ac:dyDescent="0.3">
      <c r="A169" s="432">
        <v>8545</v>
      </c>
      <c r="B169" s="3" t="s">
        <v>929</v>
      </c>
      <c r="C169" s="405" t="s">
        <v>246</v>
      </c>
      <c r="D169" s="406" t="s">
        <v>83</v>
      </c>
      <c r="E169" s="89">
        <v>18</v>
      </c>
    </row>
    <row r="170" spans="1:5" ht="14.4" x14ac:dyDescent="0.3">
      <c r="A170" s="432" t="s">
        <v>578</v>
      </c>
      <c r="B170" s="3" t="s">
        <v>458</v>
      </c>
      <c r="C170" s="405" t="s">
        <v>246</v>
      </c>
      <c r="D170" s="406" t="s">
        <v>83</v>
      </c>
      <c r="E170" s="89">
        <v>18</v>
      </c>
    </row>
    <row r="171" spans="1:5" ht="14.4" x14ac:dyDescent="0.3">
      <c r="A171" s="432" t="s">
        <v>579</v>
      </c>
      <c r="B171" s="3" t="s">
        <v>81</v>
      </c>
      <c r="C171" s="405" t="s">
        <v>246</v>
      </c>
      <c r="D171" s="406" t="s">
        <v>83</v>
      </c>
      <c r="E171" s="89">
        <v>18</v>
      </c>
    </row>
    <row r="172" spans="1:5" ht="14.4" x14ac:dyDescent="0.3">
      <c r="A172" s="432" t="s">
        <v>580</v>
      </c>
      <c r="B172" s="3" t="s">
        <v>484</v>
      </c>
      <c r="C172" s="405" t="s">
        <v>246</v>
      </c>
      <c r="D172" s="406" t="s">
        <v>83</v>
      </c>
      <c r="E172" s="89">
        <v>18</v>
      </c>
    </row>
    <row r="173" spans="1:5" ht="14.4" x14ac:dyDescent="0.3">
      <c r="A173" s="432">
        <v>27076000</v>
      </c>
      <c r="B173" s="3" t="s">
        <v>581</v>
      </c>
      <c r="C173" s="405" t="s">
        <v>246</v>
      </c>
      <c r="D173" s="406" t="s">
        <v>83</v>
      </c>
      <c r="E173" s="89">
        <v>18</v>
      </c>
    </row>
    <row r="174" spans="1:5" ht="14.4" x14ac:dyDescent="0.3">
      <c r="A174" s="432">
        <v>96039000</v>
      </c>
      <c r="B174" s="3" t="s">
        <v>582</v>
      </c>
      <c r="C174" s="405" t="s">
        <v>246</v>
      </c>
      <c r="D174" s="406" t="s">
        <v>83</v>
      </c>
      <c r="E174" s="89">
        <v>0</v>
      </c>
    </row>
    <row r="175" spans="1:5" ht="14.4" x14ac:dyDescent="0.3">
      <c r="A175" s="432" t="s">
        <v>920</v>
      </c>
      <c r="B175" s="3" t="s">
        <v>582</v>
      </c>
      <c r="C175" s="405" t="s">
        <v>246</v>
      </c>
      <c r="D175" s="406" t="s">
        <v>83</v>
      </c>
      <c r="E175" s="89">
        <v>18</v>
      </c>
    </row>
    <row r="176" spans="1:5" ht="14.4" x14ac:dyDescent="0.3">
      <c r="A176" s="432">
        <v>62104090</v>
      </c>
      <c r="B176" s="3" t="s">
        <v>483</v>
      </c>
      <c r="C176" s="405" t="s">
        <v>246</v>
      </c>
      <c r="D176" s="406" t="s">
        <v>83</v>
      </c>
      <c r="E176" s="89">
        <v>5</v>
      </c>
    </row>
    <row r="177" spans="1:5" ht="14.4" x14ac:dyDescent="0.3">
      <c r="A177" s="432">
        <v>39172190</v>
      </c>
      <c r="B177" s="3" t="s">
        <v>583</v>
      </c>
      <c r="C177" s="405" t="s">
        <v>246</v>
      </c>
      <c r="D177" s="406" t="s">
        <v>83</v>
      </c>
      <c r="E177" s="89">
        <v>18</v>
      </c>
    </row>
    <row r="178" spans="1:5" ht="14.4" x14ac:dyDescent="0.3">
      <c r="A178" s="432">
        <v>85371000</v>
      </c>
      <c r="B178" s="3" t="s">
        <v>584</v>
      </c>
      <c r="C178" s="405" t="s">
        <v>246</v>
      </c>
      <c r="D178" s="406" t="s">
        <v>83</v>
      </c>
      <c r="E178" s="89">
        <v>18</v>
      </c>
    </row>
    <row r="179" spans="1:5" ht="14.4" x14ac:dyDescent="0.3">
      <c r="A179" s="432" t="s">
        <v>585</v>
      </c>
      <c r="B179" s="3" t="s">
        <v>559</v>
      </c>
      <c r="C179" s="405" t="s">
        <v>246</v>
      </c>
      <c r="D179" s="406" t="s">
        <v>83</v>
      </c>
      <c r="E179" s="89">
        <v>18</v>
      </c>
    </row>
    <row r="180" spans="1:5" ht="14.4" x14ac:dyDescent="0.3">
      <c r="A180" s="432">
        <v>85381090</v>
      </c>
      <c r="B180" s="3" t="s">
        <v>586</v>
      </c>
      <c r="C180" s="405" t="s">
        <v>246</v>
      </c>
      <c r="D180" s="406" t="s">
        <v>83</v>
      </c>
      <c r="E180" s="89">
        <v>18</v>
      </c>
    </row>
    <row r="181" spans="1:5" ht="14.4" x14ac:dyDescent="0.3">
      <c r="A181" s="432">
        <v>48201090</v>
      </c>
      <c r="B181" s="3" t="s">
        <v>587</v>
      </c>
      <c r="C181" s="405" t="s">
        <v>246</v>
      </c>
      <c r="D181" s="406" t="s">
        <v>83</v>
      </c>
      <c r="E181" s="89">
        <v>18</v>
      </c>
    </row>
    <row r="182" spans="1:5" ht="14.4" x14ac:dyDescent="0.3">
      <c r="A182" s="432" t="s">
        <v>588</v>
      </c>
      <c r="B182" s="3" t="s">
        <v>471</v>
      </c>
      <c r="C182" s="405" t="s">
        <v>246</v>
      </c>
      <c r="D182" s="406" t="s">
        <v>83</v>
      </c>
      <c r="E182" s="89">
        <v>18</v>
      </c>
    </row>
    <row r="183" spans="1:5" ht="14.4" x14ac:dyDescent="0.3">
      <c r="A183" s="432">
        <v>32149090</v>
      </c>
      <c r="B183" s="3" t="s">
        <v>589</v>
      </c>
      <c r="C183" s="405" t="s">
        <v>246</v>
      </c>
      <c r="D183" s="406" t="s">
        <v>83</v>
      </c>
      <c r="E183" s="89">
        <v>28</v>
      </c>
    </row>
    <row r="184" spans="1:5" ht="14.4" x14ac:dyDescent="0.3">
      <c r="A184" s="432">
        <v>32129090</v>
      </c>
      <c r="B184" s="3" t="s">
        <v>590</v>
      </c>
      <c r="C184" s="405" t="s">
        <v>258</v>
      </c>
      <c r="D184" s="406" t="s">
        <v>83</v>
      </c>
      <c r="E184" s="89">
        <v>18</v>
      </c>
    </row>
    <row r="185" spans="1:5" ht="14.4" x14ac:dyDescent="0.3">
      <c r="A185" s="432">
        <v>39209999</v>
      </c>
      <c r="B185" s="3" t="s">
        <v>591</v>
      </c>
      <c r="C185" s="405" t="s">
        <v>246</v>
      </c>
      <c r="D185" s="406" t="s">
        <v>83</v>
      </c>
      <c r="E185" s="89">
        <v>18</v>
      </c>
    </row>
    <row r="186" spans="1:5" ht="14.4" x14ac:dyDescent="0.3">
      <c r="A186" s="432">
        <v>3001</v>
      </c>
      <c r="B186" s="3" t="s">
        <v>592</v>
      </c>
      <c r="C186" s="405" t="s">
        <v>246</v>
      </c>
      <c r="D186" s="406" t="s">
        <v>83</v>
      </c>
      <c r="E186" s="89">
        <v>12</v>
      </c>
    </row>
    <row r="187" spans="1:5" ht="14.4" x14ac:dyDescent="0.3">
      <c r="A187" s="432">
        <v>48211020</v>
      </c>
      <c r="B187" s="3" t="s">
        <v>593</v>
      </c>
      <c r="C187" s="405" t="s">
        <v>246</v>
      </c>
      <c r="D187" s="406" t="s">
        <v>83</v>
      </c>
      <c r="E187" s="89">
        <v>18</v>
      </c>
    </row>
    <row r="188" spans="1:5" ht="14.4" x14ac:dyDescent="0.3">
      <c r="A188" s="432" t="s">
        <v>594</v>
      </c>
      <c r="B188" s="3" t="s">
        <v>472</v>
      </c>
      <c r="C188" s="405" t="s">
        <v>246</v>
      </c>
      <c r="D188" s="406" t="s">
        <v>83</v>
      </c>
      <c r="E188" s="89">
        <v>18</v>
      </c>
    </row>
    <row r="189" spans="1:5" ht="14.4" x14ac:dyDescent="0.3">
      <c r="A189" s="432" t="s">
        <v>595</v>
      </c>
      <c r="B189" s="3" t="s">
        <v>561</v>
      </c>
      <c r="C189" s="405" t="s">
        <v>246</v>
      </c>
      <c r="D189" s="406" t="s">
        <v>83</v>
      </c>
      <c r="E189" s="89">
        <v>18</v>
      </c>
    </row>
    <row r="190" spans="1:5" ht="14.4" x14ac:dyDescent="0.3">
      <c r="A190" s="432">
        <v>7007290</v>
      </c>
      <c r="B190" s="3" t="s">
        <v>596</v>
      </c>
      <c r="C190" s="405" t="s">
        <v>246</v>
      </c>
      <c r="D190" s="406" t="s">
        <v>83</v>
      </c>
      <c r="E190" s="89">
        <v>18</v>
      </c>
    </row>
    <row r="191" spans="1:5" ht="14.4" x14ac:dyDescent="0.3">
      <c r="A191" s="432">
        <v>8467</v>
      </c>
      <c r="B191" s="3" t="s">
        <v>597</v>
      </c>
      <c r="C191" s="405" t="s">
        <v>246</v>
      </c>
      <c r="D191" s="406" t="s">
        <v>83</v>
      </c>
      <c r="E191" s="89">
        <v>18</v>
      </c>
    </row>
    <row r="192" spans="1:5" ht="14.4" x14ac:dyDescent="0.3">
      <c r="A192" s="432">
        <v>3926</v>
      </c>
      <c r="B192" s="3" t="s">
        <v>598</v>
      </c>
      <c r="C192" s="405" t="s">
        <v>246</v>
      </c>
      <c r="D192" s="406" t="s">
        <v>83</v>
      </c>
      <c r="E192" s="89">
        <v>18</v>
      </c>
    </row>
    <row r="193" spans="1:5" ht="14.4" x14ac:dyDescent="0.3">
      <c r="A193" s="432">
        <v>8487</v>
      </c>
      <c r="B193" s="3" t="s">
        <v>599</v>
      </c>
      <c r="C193" s="405" t="s">
        <v>173</v>
      </c>
      <c r="D193" s="406" t="s">
        <v>83</v>
      </c>
      <c r="E193" s="89">
        <v>18</v>
      </c>
    </row>
    <row r="194" spans="1:5" ht="14.4" x14ac:dyDescent="0.3">
      <c r="A194" s="432">
        <v>76071994</v>
      </c>
      <c r="B194" s="3" t="s">
        <v>600</v>
      </c>
      <c r="C194" s="405" t="s">
        <v>237</v>
      </c>
      <c r="D194" s="406" t="s">
        <v>83</v>
      </c>
      <c r="E194" s="89">
        <v>18</v>
      </c>
    </row>
    <row r="195" spans="1:5" ht="14.4" x14ac:dyDescent="0.3">
      <c r="A195" s="432">
        <v>73182100</v>
      </c>
      <c r="B195" s="3" t="s">
        <v>601</v>
      </c>
      <c r="C195" s="405" t="s">
        <v>246</v>
      </c>
      <c r="D195" s="406" t="s">
        <v>492</v>
      </c>
      <c r="E195" s="89">
        <v>18</v>
      </c>
    </row>
    <row r="196" spans="1:5" ht="14.4" x14ac:dyDescent="0.3">
      <c r="A196" s="432" t="s">
        <v>602</v>
      </c>
      <c r="B196" s="3" t="s">
        <v>472</v>
      </c>
      <c r="C196" s="405" t="s">
        <v>246</v>
      </c>
      <c r="D196" s="406" t="s">
        <v>83</v>
      </c>
      <c r="E196" s="89">
        <v>18</v>
      </c>
    </row>
    <row r="197" spans="1:5" ht="14.4" x14ac:dyDescent="0.3">
      <c r="A197" s="432">
        <v>8301</v>
      </c>
      <c r="B197" s="3" t="s">
        <v>603</v>
      </c>
      <c r="C197" s="405" t="s">
        <v>246</v>
      </c>
      <c r="D197" s="406" t="s">
        <v>492</v>
      </c>
      <c r="E197" s="89">
        <v>18</v>
      </c>
    </row>
    <row r="198" spans="1:5" ht="14.4" x14ac:dyDescent="0.3">
      <c r="A198" s="432">
        <v>3907</v>
      </c>
      <c r="B198" s="3" t="s">
        <v>590</v>
      </c>
      <c r="C198" s="405" t="s">
        <v>246</v>
      </c>
      <c r="D198" s="406" t="s">
        <v>83</v>
      </c>
      <c r="E198" s="89">
        <v>28</v>
      </c>
    </row>
    <row r="199" spans="1:5" ht="14.4" x14ac:dyDescent="0.3">
      <c r="A199" s="432">
        <v>25232930</v>
      </c>
      <c r="B199" s="3" t="s">
        <v>604</v>
      </c>
      <c r="C199" s="405" t="s">
        <v>246</v>
      </c>
      <c r="D199" s="406" t="s">
        <v>492</v>
      </c>
      <c r="E199" s="89">
        <v>28</v>
      </c>
    </row>
    <row r="200" spans="1:5" ht="14.4" x14ac:dyDescent="0.3">
      <c r="A200" s="432">
        <v>320890</v>
      </c>
      <c r="B200" s="3" t="s">
        <v>86</v>
      </c>
      <c r="C200" s="405" t="s">
        <v>246</v>
      </c>
      <c r="D200" s="406" t="s">
        <v>83</v>
      </c>
      <c r="E200" s="89">
        <v>28</v>
      </c>
    </row>
    <row r="201" spans="1:5" ht="14.4" x14ac:dyDescent="0.3">
      <c r="A201" s="432">
        <v>998311</v>
      </c>
      <c r="B201" s="3" t="s">
        <v>605</v>
      </c>
      <c r="C201" s="405" t="s">
        <v>246</v>
      </c>
      <c r="D201" s="406" t="s">
        <v>83</v>
      </c>
      <c r="E201" s="89">
        <v>18</v>
      </c>
    </row>
    <row r="202" spans="1:5" ht="14.4" x14ac:dyDescent="0.3">
      <c r="A202" s="432" t="s">
        <v>606</v>
      </c>
      <c r="B202" s="3" t="s">
        <v>557</v>
      </c>
      <c r="C202" s="405" t="s">
        <v>246</v>
      </c>
      <c r="D202" s="406" t="s">
        <v>83</v>
      </c>
      <c r="E202" s="89">
        <v>18</v>
      </c>
    </row>
    <row r="203" spans="1:5" ht="14.4" x14ac:dyDescent="0.3">
      <c r="A203" s="408" t="s">
        <v>607</v>
      </c>
      <c r="B203" s="407" t="s">
        <v>608</v>
      </c>
      <c r="C203" s="405" t="s">
        <v>246</v>
      </c>
      <c r="D203" s="406" t="s">
        <v>83</v>
      </c>
      <c r="E203" s="89">
        <v>18</v>
      </c>
    </row>
    <row r="204" spans="1:5" ht="14.4" x14ac:dyDescent="0.3">
      <c r="A204" s="408" t="s">
        <v>609</v>
      </c>
      <c r="B204" s="407" t="s">
        <v>610</v>
      </c>
      <c r="C204" s="405" t="s">
        <v>246</v>
      </c>
      <c r="D204" s="406" t="s">
        <v>83</v>
      </c>
      <c r="E204" s="89">
        <v>18</v>
      </c>
    </row>
    <row r="205" spans="1:5" ht="15.6" x14ac:dyDescent="0.3">
      <c r="A205" s="408" t="s">
        <v>887</v>
      </c>
      <c r="B205" s="435" t="s">
        <v>930</v>
      </c>
      <c r="C205" s="405" t="s">
        <v>246</v>
      </c>
      <c r="D205" s="406" t="s">
        <v>83</v>
      </c>
      <c r="E205" s="89">
        <v>12</v>
      </c>
    </row>
    <row r="206" spans="1:5" ht="15.6" x14ac:dyDescent="0.3">
      <c r="A206" s="408" t="s">
        <v>931</v>
      </c>
      <c r="B206" s="435" t="s">
        <v>930</v>
      </c>
      <c r="C206" s="405" t="s">
        <v>246</v>
      </c>
      <c r="D206" s="406" t="s">
        <v>83</v>
      </c>
      <c r="E206" s="89">
        <v>12</v>
      </c>
    </row>
    <row r="207" spans="1:5" ht="14.4" x14ac:dyDescent="0.3">
      <c r="A207" s="408" t="s">
        <v>932</v>
      </c>
      <c r="B207" s="407" t="s">
        <v>933</v>
      </c>
      <c r="C207" s="405" t="s">
        <v>246</v>
      </c>
      <c r="D207" s="406" t="s">
        <v>83</v>
      </c>
      <c r="E207" s="89">
        <v>18</v>
      </c>
    </row>
    <row r="208" spans="1:5" ht="14.4" x14ac:dyDescent="0.3">
      <c r="A208" s="408" t="s">
        <v>934</v>
      </c>
      <c r="B208" s="407" t="s">
        <v>935</v>
      </c>
      <c r="C208" s="405" t="s">
        <v>246</v>
      </c>
      <c r="D208" s="406" t="s">
        <v>83</v>
      </c>
      <c r="E208" s="89">
        <v>18</v>
      </c>
    </row>
    <row r="209" spans="1:5" ht="14.4" x14ac:dyDescent="0.3">
      <c r="A209" s="408" t="s">
        <v>936</v>
      </c>
      <c r="B209" s="407" t="s">
        <v>937</v>
      </c>
      <c r="C209" s="405" t="s">
        <v>246</v>
      </c>
      <c r="D209" s="406" t="s">
        <v>83</v>
      </c>
      <c r="E209" s="89">
        <v>12</v>
      </c>
    </row>
    <row r="210" spans="1:5" ht="14.4" x14ac:dyDescent="0.3">
      <c r="A210" s="408" t="s">
        <v>913</v>
      </c>
      <c r="B210" s="407" t="s">
        <v>938</v>
      </c>
      <c r="C210" s="405" t="s">
        <v>246</v>
      </c>
      <c r="D210" s="406" t="s">
        <v>83</v>
      </c>
      <c r="E210" s="89">
        <v>18</v>
      </c>
    </row>
    <row r="211" spans="1:5" ht="14.4" x14ac:dyDescent="0.3">
      <c r="A211" s="408" t="s">
        <v>914</v>
      </c>
      <c r="B211" s="407" t="s">
        <v>939</v>
      </c>
      <c r="C211" s="405" t="s">
        <v>246</v>
      </c>
      <c r="D211" s="406" t="s">
        <v>83</v>
      </c>
      <c r="E211" s="89">
        <v>18</v>
      </c>
    </row>
    <row r="212" spans="1:5" ht="14.4" x14ac:dyDescent="0.3">
      <c r="A212" s="408" t="s">
        <v>917</v>
      </c>
      <c r="B212" s="407" t="s">
        <v>940</v>
      </c>
      <c r="C212" s="405" t="s">
        <v>246</v>
      </c>
      <c r="D212" s="406" t="s">
        <v>83</v>
      </c>
      <c r="E212" s="89">
        <v>18</v>
      </c>
    </row>
    <row r="213" spans="1:5" ht="14.4" x14ac:dyDescent="0.3">
      <c r="A213" s="432" t="s">
        <v>888</v>
      </c>
      <c r="B213" s="3" t="s">
        <v>577</v>
      </c>
      <c r="C213" s="405" t="s">
        <v>246</v>
      </c>
      <c r="D213" s="406" t="s">
        <v>83</v>
      </c>
      <c r="E213" s="89">
        <v>18</v>
      </c>
    </row>
    <row r="214" spans="1:5" ht="14.4" x14ac:dyDescent="0.3">
      <c r="A214" s="408" t="s">
        <v>889</v>
      </c>
      <c r="B214" s="407" t="s">
        <v>941</v>
      </c>
      <c r="C214" s="405" t="s">
        <v>246</v>
      </c>
      <c r="D214" s="406" t="s">
        <v>83</v>
      </c>
      <c r="E214" s="89">
        <v>18</v>
      </c>
    </row>
    <row r="215" spans="1:5" ht="14.4" x14ac:dyDescent="0.3">
      <c r="A215" s="408" t="s">
        <v>919</v>
      </c>
      <c r="B215" s="407" t="s">
        <v>942</v>
      </c>
      <c r="C215" s="405" t="s">
        <v>246</v>
      </c>
      <c r="D215" s="406" t="s">
        <v>83</v>
      </c>
      <c r="E215" s="89">
        <v>18</v>
      </c>
    </row>
    <row r="216" spans="1:5" ht="14.4" x14ac:dyDescent="0.3">
      <c r="A216" s="408" t="s">
        <v>890</v>
      </c>
      <c r="B216" s="407" t="s">
        <v>943</v>
      </c>
      <c r="C216" s="405" t="s">
        <v>246</v>
      </c>
      <c r="D216" s="406" t="s">
        <v>83</v>
      </c>
      <c r="E216" s="89">
        <v>12</v>
      </c>
    </row>
    <row r="217" spans="1:5" ht="14.4" x14ac:dyDescent="0.3">
      <c r="A217" s="408" t="s">
        <v>944</v>
      </c>
      <c r="B217" s="407" t="s">
        <v>945</v>
      </c>
      <c r="C217" s="405" t="s">
        <v>246</v>
      </c>
      <c r="D217" s="406" t="s">
        <v>83</v>
      </c>
      <c r="E217" s="89">
        <v>18</v>
      </c>
    </row>
    <row r="218" spans="1:5" ht="14.4" x14ac:dyDescent="0.3">
      <c r="A218" s="408" t="s">
        <v>946</v>
      </c>
      <c r="B218" s="407" t="s">
        <v>947</v>
      </c>
      <c r="C218" s="405" t="s">
        <v>246</v>
      </c>
      <c r="D218" s="406" t="s">
        <v>83</v>
      </c>
      <c r="E218" s="89">
        <v>18</v>
      </c>
    </row>
    <row r="219" spans="1:5" ht="14.4" x14ac:dyDescent="0.3">
      <c r="A219" s="408" t="s">
        <v>948</v>
      </c>
      <c r="B219" s="407" t="s">
        <v>949</v>
      </c>
      <c r="C219" s="405" t="s">
        <v>246</v>
      </c>
      <c r="D219" s="406" t="s">
        <v>83</v>
      </c>
      <c r="E219" s="89">
        <v>18</v>
      </c>
    </row>
    <row r="220" spans="1:5" ht="14.4" x14ac:dyDescent="0.3">
      <c r="A220" s="408" t="s">
        <v>918</v>
      </c>
      <c r="B220" s="407" t="s">
        <v>950</v>
      </c>
      <c r="C220" s="405" t="s">
        <v>246</v>
      </c>
      <c r="D220" s="406" t="s">
        <v>83</v>
      </c>
      <c r="E220" s="89">
        <v>18</v>
      </c>
    </row>
    <row r="221" spans="1:5" ht="14.4" x14ac:dyDescent="0.3">
      <c r="A221" s="408" t="s">
        <v>951</v>
      </c>
      <c r="B221" s="407" t="s">
        <v>952</v>
      </c>
      <c r="C221" s="405" t="s">
        <v>246</v>
      </c>
      <c r="D221" s="406" t="s">
        <v>83</v>
      </c>
      <c r="E221" s="89">
        <v>18</v>
      </c>
    </row>
    <row r="222" spans="1:5" ht="14.4" x14ac:dyDescent="0.3">
      <c r="A222" s="432">
        <v>996519</v>
      </c>
      <c r="B222" s="3" t="s">
        <v>611</v>
      </c>
      <c r="C222" s="405" t="s">
        <v>246</v>
      </c>
      <c r="D222" s="406" t="s">
        <v>492</v>
      </c>
      <c r="E222" s="89">
        <v>18</v>
      </c>
    </row>
    <row r="223" spans="1:5" ht="14.4" x14ac:dyDescent="0.3">
      <c r="A223" s="408" t="s">
        <v>915</v>
      </c>
      <c r="B223" s="407" t="s">
        <v>596</v>
      </c>
      <c r="C223" s="405" t="s">
        <v>246</v>
      </c>
      <c r="D223" s="406" t="s">
        <v>83</v>
      </c>
      <c r="E223" s="89">
        <v>18</v>
      </c>
    </row>
    <row r="224" spans="1:5" ht="14.4" x14ac:dyDescent="0.3">
      <c r="A224" s="408" t="s">
        <v>916</v>
      </c>
      <c r="B224" s="407" t="s">
        <v>953</v>
      </c>
      <c r="C224" s="405" t="s">
        <v>246</v>
      </c>
      <c r="D224" s="406" t="s">
        <v>83</v>
      </c>
      <c r="E224" s="89">
        <v>18</v>
      </c>
    </row>
    <row r="225" spans="1:5" ht="14.4" x14ac:dyDescent="0.3">
      <c r="A225" s="432">
        <v>70071100</v>
      </c>
      <c r="B225" s="3" t="s">
        <v>596</v>
      </c>
      <c r="C225" s="405" t="s">
        <v>246</v>
      </c>
      <c r="D225" s="406" t="s">
        <v>83</v>
      </c>
      <c r="E225" s="89">
        <v>18</v>
      </c>
    </row>
    <row r="226" spans="1:5" ht="14.4" x14ac:dyDescent="0.3">
      <c r="A226" s="432">
        <v>996511</v>
      </c>
      <c r="B226" s="3" t="s">
        <v>611</v>
      </c>
      <c r="C226" s="405" t="s">
        <v>246</v>
      </c>
      <c r="D226" s="406" t="s">
        <v>492</v>
      </c>
      <c r="E226" s="89">
        <v>12</v>
      </c>
    </row>
    <row r="227" spans="1:5" ht="14.4" x14ac:dyDescent="0.3">
      <c r="A227" s="432">
        <v>28151110</v>
      </c>
      <c r="B227" s="3" t="s">
        <v>954</v>
      </c>
      <c r="C227" s="405" t="s">
        <v>246</v>
      </c>
      <c r="D227" s="406" t="s">
        <v>83</v>
      </c>
      <c r="E227" s="89">
        <v>18</v>
      </c>
    </row>
    <row r="228" spans="1:5" ht="14.4" x14ac:dyDescent="0.3">
      <c r="A228" s="433">
        <v>8421</v>
      </c>
      <c r="B228" s="411" t="s">
        <v>81</v>
      </c>
      <c r="C228" s="405" t="s">
        <v>246</v>
      </c>
      <c r="D228" s="406" t="s">
        <v>83</v>
      </c>
      <c r="E228" s="89">
        <v>18</v>
      </c>
    </row>
    <row r="229" spans="1:5" ht="14.4" x14ac:dyDescent="0.3">
      <c r="A229" s="432">
        <v>64011090</v>
      </c>
      <c r="B229" s="3" t="s">
        <v>955</v>
      </c>
      <c r="C229" s="405" t="s">
        <v>246</v>
      </c>
      <c r="D229" s="406" t="s">
        <v>83</v>
      </c>
      <c r="E229" s="89">
        <v>18</v>
      </c>
    </row>
    <row r="230" spans="1:5" ht="15" thickBot="1" x14ac:dyDescent="0.35">
      <c r="A230" s="434" t="s">
        <v>612</v>
      </c>
      <c r="B230" s="412" t="s">
        <v>613</v>
      </c>
      <c r="C230" s="413" t="s">
        <v>246</v>
      </c>
      <c r="D230" s="414" t="s">
        <v>83</v>
      </c>
      <c r="E230" s="415">
        <v>18</v>
      </c>
    </row>
    <row r="235" spans="1:5" x14ac:dyDescent="0.25">
      <c r="E235" s="5" t="s">
        <v>835</v>
      </c>
    </row>
  </sheetData>
  <conditionalFormatting sqref="A231:A1048576 A1:A5">
    <cfRule type="duplicateValues" dxfId="19" priority="21"/>
  </conditionalFormatting>
  <conditionalFormatting sqref="A230">
    <cfRule type="duplicateValues" dxfId="18" priority="14"/>
  </conditionalFormatting>
  <conditionalFormatting sqref="A203">
    <cfRule type="duplicateValues" dxfId="17" priority="13"/>
  </conditionalFormatting>
  <conditionalFormatting sqref="A216:A221 A204:A205 A207:A212 A223:A224">
    <cfRule type="duplicateValues" dxfId="16" priority="12"/>
  </conditionalFormatting>
  <conditionalFormatting sqref="A214:A215">
    <cfRule type="duplicateValues" dxfId="15" priority="11"/>
  </conditionalFormatting>
  <conditionalFormatting sqref="A145">
    <cfRule type="duplicateValues" dxfId="14" priority="10"/>
  </conditionalFormatting>
  <conditionalFormatting sqref="A158">
    <cfRule type="duplicateValues" dxfId="13" priority="9"/>
  </conditionalFormatting>
  <conditionalFormatting sqref="A206">
    <cfRule type="duplicateValues" dxfId="12" priority="8"/>
  </conditionalFormatting>
  <conditionalFormatting sqref="A230 A223:A224 A6:A95 A169:A174 A226:A228 A97:A167 A176:A221">
    <cfRule type="duplicateValues" dxfId="11" priority="7"/>
  </conditionalFormatting>
  <conditionalFormatting sqref="A222">
    <cfRule type="duplicateValues" dxfId="10" priority="6"/>
  </conditionalFormatting>
  <conditionalFormatting sqref="A168">
    <cfRule type="duplicateValues" dxfId="9" priority="5"/>
  </conditionalFormatting>
  <conditionalFormatting sqref="A229">
    <cfRule type="duplicateValues" dxfId="8" priority="4"/>
  </conditionalFormatting>
  <conditionalFormatting sqref="A225">
    <cfRule type="duplicateValues" dxfId="7" priority="3"/>
  </conditionalFormatting>
  <conditionalFormatting sqref="A96">
    <cfRule type="duplicateValues" dxfId="6" priority="2"/>
  </conditionalFormatting>
  <conditionalFormatting sqref="A175">
    <cfRule type="duplicateValues" dxfId="5" priority="1"/>
  </conditionalFormatting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C12"/>
  <sheetViews>
    <sheetView topLeftCell="I1" workbookViewId="0">
      <selection activeCell="L8" sqref="L8"/>
    </sheetView>
  </sheetViews>
  <sheetFormatPr defaultRowHeight="14.4" x14ac:dyDescent="0.3"/>
  <cols>
    <col min="1" max="1" width="16.33203125" customWidth="1"/>
    <col min="2" max="2" width="15.5546875" bestFit="1" customWidth="1"/>
    <col min="3" max="3" width="12.33203125" bestFit="1" customWidth="1"/>
    <col min="4" max="5" width="22.44140625" bestFit="1" customWidth="1"/>
    <col min="6" max="6" width="8.33203125" bestFit="1" customWidth="1"/>
    <col min="7" max="7" width="9.44140625" bestFit="1" customWidth="1"/>
    <col min="8" max="8" width="15.6640625" bestFit="1" customWidth="1"/>
    <col min="9" max="9" width="6.33203125" bestFit="1" customWidth="1"/>
    <col min="10" max="10" width="13.5546875" bestFit="1" customWidth="1"/>
    <col min="11" max="11" width="4.6640625" bestFit="1" customWidth="1"/>
    <col min="12" max="12" width="7.33203125" bestFit="1" customWidth="1"/>
    <col min="13" max="13" width="12.6640625" bestFit="1" customWidth="1"/>
    <col min="14" max="14" width="11" bestFit="1" customWidth="1"/>
    <col min="15" max="15" width="12.5546875" bestFit="1" customWidth="1"/>
    <col min="16" max="16" width="4.6640625" bestFit="1" customWidth="1"/>
    <col min="17" max="17" width="12" bestFit="1" customWidth="1"/>
    <col min="18" max="18" width="12.6640625" bestFit="1" customWidth="1"/>
    <col min="19" max="19" width="11.44140625" bestFit="1" customWidth="1"/>
    <col min="20" max="20" width="12" bestFit="1" customWidth="1"/>
    <col min="21" max="21" width="11.44140625" bestFit="1" customWidth="1"/>
    <col min="23" max="23" width="8.88671875" customWidth="1"/>
    <col min="24" max="24" width="12.33203125" style="128" bestFit="1" customWidth="1"/>
  </cols>
  <sheetData>
    <row r="2" spans="1:29" x14ac:dyDescent="0.3">
      <c r="A2" s="185"/>
      <c r="B2" s="185"/>
      <c r="C2" s="185"/>
      <c r="D2" s="185"/>
      <c r="E2" s="185" t="s">
        <v>622</v>
      </c>
      <c r="F2" s="185"/>
      <c r="G2" s="185"/>
      <c r="H2" s="185"/>
      <c r="I2" s="185"/>
      <c r="J2" s="185"/>
      <c r="K2" s="185"/>
      <c r="L2" s="185">
        <f>SUM(L5:L500)</f>
        <v>0</v>
      </c>
      <c r="M2" s="185">
        <f t="shared" ref="M2:AC2" si="0">SUM(M5:M500)</f>
        <v>0</v>
      </c>
      <c r="N2" s="185">
        <f t="shared" si="0"/>
        <v>0</v>
      </c>
      <c r="O2" s="185">
        <f t="shared" si="0"/>
        <v>0</v>
      </c>
      <c r="P2" s="185">
        <f t="shared" si="0"/>
        <v>0</v>
      </c>
      <c r="Q2" s="185"/>
      <c r="R2" s="185">
        <f t="shared" si="0"/>
        <v>0</v>
      </c>
      <c r="S2" s="185">
        <f t="shared" si="0"/>
        <v>0</v>
      </c>
      <c r="T2" s="185">
        <f t="shared" si="0"/>
        <v>0</v>
      </c>
      <c r="U2" s="185">
        <f t="shared" si="0"/>
        <v>0</v>
      </c>
      <c r="V2" s="185"/>
      <c r="W2" s="185"/>
      <c r="X2" s="185"/>
      <c r="Y2" s="185"/>
      <c r="Z2" s="185"/>
      <c r="AA2" s="185"/>
      <c r="AB2" s="185"/>
      <c r="AC2" s="185">
        <f t="shared" si="0"/>
        <v>10</v>
      </c>
    </row>
    <row r="3" spans="1:29" x14ac:dyDescent="0.3">
      <c r="A3" s="5" t="s">
        <v>4</v>
      </c>
      <c r="B3" t="s">
        <v>99</v>
      </c>
      <c r="C3" t="s">
        <v>99</v>
      </c>
      <c r="D3" t="s">
        <v>809</v>
      </c>
      <c r="E3" s="128" t="s">
        <v>809</v>
      </c>
      <c r="G3" t="s">
        <v>813</v>
      </c>
      <c r="H3" t="s">
        <v>812</v>
      </c>
      <c r="I3" t="s">
        <v>11</v>
      </c>
      <c r="J3" t="s">
        <v>99</v>
      </c>
      <c r="K3" s="5"/>
      <c r="L3" s="5" t="s">
        <v>19</v>
      </c>
      <c r="M3" s="51" t="s">
        <v>643</v>
      </c>
      <c r="N3" s="51" t="s">
        <v>805</v>
      </c>
      <c r="O3" s="51" t="s">
        <v>807</v>
      </c>
      <c r="P3" s="51" t="s">
        <v>21</v>
      </c>
      <c r="Q3" s="38" t="s">
        <v>803</v>
      </c>
      <c r="R3" s="52" t="s">
        <v>802</v>
      </c>
      <c r="S3" s="52" t="s">
        <v>802</v>
      </c>
      <c r="T3" s="52" t="s">
        <v>802</v>
      </c>
      <c r="U3" s="52" t="s">
        <v>802</v>
      </c>
      <c r="V3" s="28" t="s">
        <v>66</v>
      </c>
      <c r="W3" s="247" t="s">
        <v>67</v>
      </c>
      <c r="X3" s="247" t="s">
        <v>78</v>
      </c>
      <c r="Y3" s="29" t="s">
        <v>74</v>
      </c>
      <c r="Z3" s="22" t="s">
        <v>75</v>
      </c>
      <c r="AA3" s="22" t="s">
        <v>92</v>
      </c>
      <c r="AB3" s="30" t="s">
        <v>77</v>
      </c>
      <c r="AC3" s="31" t="s">
        <v>93</v>
      </c>
    </row>
    <row r="4" spans="1:29" x14ac:dyDescent="0.3">
      <c r="A4" s="2" t="s">
        <v>3</v>
      </c>
      <c r="B4" s="53" t="s">
        <v>100</v>
      </c>
      <c r="C4" s="54" t="s">
        <v>808</v>
      </c>
      <c r="D4" s="55" t="s">
        <v>100</v>
      </c>
      <c r="E4" s="56" t="s">
        <v>810</v>
      </c>
      <c r="F4" s="53" t="s">
        <v>107</v>
      </c>
      <c r="G4" s="54" t="s">
        <v>15</v>
      </c>
      <c r="H4" s="55" t="s">
        <v>811</v>
      </c>
      <c r="I4" s="55" t="s">
        <v>15</v>
      </c>
      <c r="J4" s="55" t="s">
        <v>814</v>
      </c>
      <c r="K4" s="1" t="s">
        <v>0</v>
      </c>
      <c r="L4" s="1" t="s">
        <v>18</v>
      </c>
      <c r="M4" s="1" t="s">
        <v>806</v>
      </c>
      <c r="N4" s="1" t="s">
        <v>806</v>
      </c>
      <c r="O4" s="1" t="s">
        <v>806</v>
      </c>
      <c r="P4" s="1" t="s">
        <v>806</v>
      </c>
      <c r="Q4" s="1" t="s">
        <v>804</v>
      </c>
      <c r="R4" s="32" t="s">
        <v>643</v>
      </c>
      <c r="S4" s="32" t="s">
        <v>644</v>
      </c>
      <c r="T4" s="32" t="s">
        <v>645</v>
      </c>
      <c r="U4" s="32" t="s">
        <v>21</v>
      </c>
      <c r="V4" s="22" t="s">
        <v>68</v>
      </c>
      <c r="W4" s="76" t="s">
        <v>69</v>
      </c>
      <c r="X4" s="76" t="s">
        <v>0</v>
      </c>
      <c r="Y4" s="31" t="s">
        <v>94</v>
      </c>
      <c r="Z4" s="22" t="s">
        <v>80</v>
      </c>
      <c r="AA4" s="22"/>
      <c r="AB4" s="30" t="s">
        <v>11</v>
      </c>
      <c r="AC4" s="31" t="s">
        <v>95</v>
      </c>
    </row>
    <row r="5" spans="1:29" x14ac:dyDescent="0.3">
      <c r="A5" s="128" t="s">
        <v>27</v>
      </c>
      <c r="K5" s="50">
        <f>VLOOKUP(Y5,'PUR-HSN MASTER'!$A$6:$E$89,5)</f>
        <v>28</v>
      </c>
      <c r="L5" s="128">
        <v>0</v>
      </c>
      <c r="M5" s="34">
        <f>+IF(V5=1,0,IF(N5=0,K5*L5/100,0))</f>
        <v>0</v>
      </c>
      <c r="N5" s="34">
        <f>+IF(V5=1,0,IF(W5="Local Pur",IF(K5=18,L5*0.09,IF(K5=12,L5*0.06,IF(K5=5,L5*0.025,IF(K5=28,L5*0.14,IF(K5=3,L5*0.015,0))))),0))</f>
        <v>0</v>
      </c>
      <c r="O5" s="34">
        <f>+IF(P5=1,0,IF(W5="Local Pur",IF(K5=18,L5*0.09,IF(K5=12,L5*0.06,IF(K5=5,L5*0.025,IF(K5=28,L5*0.14,IF(K5=3,L5*0.015,0))))),0))</f>
        <v>0</v>
      </c>
      <c r="P5" s="128">
        <v>0</v>
      </c>
      <c r="Q5" s="61" t="s">
        <v>187</v>
      </c>
      <c r="R5" s="90">
        <f>+M5</f>
        <v>0</v>
      </c>
      <c r="S5" s="90">
        <f>+N5</f>
        <v>0</v>
      </c>
      <c r="T5" s="90">
        <f>+O5</f>
        <v>0</v>
      </c>
      <c r="U5" s="128">
        <f>+P5</f>
        <v>0</v>
      </c>
      <c r="V5" s="48">
        <f>VLOOKUP(A5,'PUR-PARTY MASTER'!$B$6:$J$260,7,FALSE)</f>
        <v>2</v>
      </c>
      <c r="W5" s="48" t="str">
        <f>VLOOKUP(A5,'PUR-PARTY MASTER'!$B$6:$J$260,8,FALSE)</f>
        <v>Local Pur</v>
      </c>
      <c r="X5" s="386" t="s">
        <v>901</v>
      </c>
      <c r="Y5" s="49">
        <v>39269099</v>
      </c>
      <c r="Z5" s="50" t="str">
        <f>VLOOKUP(Y5,'PUR-HSN MASTER'!$A$6:$D$247,2,FALSE)</f>
        <v>Parts &amp; Accessories Of Motor Vehicles Other</v>
      </c>
      <c r="AA5" s="50" t="str">
        <f>VLOOKUP(Y5,'PUR-HSN MASTER'!$A$6:$D$247,3,FALSE)</f>
        <v>NOS-NUMBERS</v>
      </c>
      <c r="AB5" s="50" t="str">
        <f>VLOOKUP(Y5,'PUR-HSN MASTER'!$A$6:$D$247,4,FALSE)</f>
        <v>Goods</v>
      </c>
      <c r="AC5" s="128">
        <v>10</v>
      </c>
    </row>
    <row r="6" spans="1:29" x14ac:dyDescent="0.3">
      <c r="A6" s="5" t="s">
        <v>37</v>
      </c>
      <c r="K6" s="50">
        <f>VLOOKUP(Y6,'PUR-HSN MASTER'!$A$6:$E$89,5)</f>
        <v>28</v>
      </c>
      <c r="L6">
        <v>0</v>
      </c>
      <c r="M6" s="34">
        <f>+IF(V6=1,0,IF(N6=0,K6*L6/100,0))</f>
        <v>0</v>
      </c>
      <c r="N6" s="34">
        <f>+IF(V6=1,0,IF(W6="Local Pur",IF(K6=18,L6*0.09,IF(K6=12,L6*0.06,IF(K6=5,L6*0.025,IF(K6=28,L6*0.14,IF(K6=3,L6*0.015,0))))),0))</f>
        <v>0</v>
      </c>
      <c r="O6" s="34">
        <f>+IF(P6=1,0,IF(W6="Local Pur",IF(K6=18,L6*0.09,IF(K6=12,L6*0.06,IF(K6=5,L6*0.025,IF(K6=28,L6*0.14,IF(K6=3,L6*0.015,0))))),0))</f>
        <v>0</v>
      </c>
      <c r="V6" s="48">
        <f>VLOOKUP(A6,'PUR-PARTY MASTER'!$B$6:$J$260,7,FALSE)</f>
        <v>2</v>
      </c>
      <c r="W6" s="48" t="str">
        <f>VLOOKUP(A6,'PUR-PARTY MASTER'!$B$6:$J$260,8,FALSE)</f>
        <v>Oms Pur</v>
      </c>
      <c r="X6" s="386" t="s">
        <v>900</v>
      </c>
      <c r="Y6" s="49">
        <v>39269099</v>
      </c>
    </row>
    <row r="7" spans="1:29" x14ac:dyDescent="0.3">
      <c r="A7" s="5" t="s">
        <v>335</v>
      </c>
      <c r="K7" s="50">
        <f>VLOOKUP(Y7,'PUR-HSN MASTER'!$A$6:$E$89,5)</f>
        <v>28</v>
      </c>
      <c r="L7">
        <v>0</v>
      </c>
      <c r="M7" s="34">
        <f>+IF(V7=1,0,IF(N7=0,K7*L7/100,0))</f>
        <v>0</v>
      </c>
      <c r="N7" s="34">
        <f>+IF(V7=1,0,IF(W7="Local Pur",IF(K7=18,L7*0.09,IF(K7=12,L7*0.06,IF(K7=5,L7*0.025,IF(K7=28,L7*0.14,IF(K7=3,L7*0.015,0))))),0))</f>
        <v>0</v>
      </c>
      <c r="O7" s="34">
        <f>+IF(P7=1,0,IF(W7="Local Pur",IF(K7=18,L7*0.09,IF(K7=12,L7*0.06,IF(K7=5,L7*0.025,IF(K7=28,L7*0.14,IF(K7=3,L7*0.015,0))))),0))</f>
        <v>0</v>
      </c>
      <c r="V7" s="48">
        <f>VLOOKUP(A7,'PUR-PARTY MASTER'!$B$6:$J$260,7,FALSE)</f>
        <v>2</v>
      </c>
      <c r="W7" s="48" t="str">
        <f>VLOOKUP(A7,'PUR-PARTY MASTER'!$B$6:$J$260,8,FALSE)</f>
        <v>Local Pur</v>
      </c>
      <c r="X7" s="386" t="s">
        <v>898</v>
      </c>
      <c r="Y7" s="49">
        <v>39269099</v>
      </c>
    </row>
    <row r="8" spans="1:29" x14ac:dyDescent="0.3">
      <c r="A8" s="5" t="s">
        <v>334</v>
      </c>
      <c r="K8" s="50" t="e">
        <f>VLOOKUP(Y8,'PUR-HSN MASTER'!$A$6:$E$89,5)</f>
        <v>#N/A</v>
      </c>
      <c r="X8" s="386" t="s">
        <v>902</v>
      </c>
    </row>
    <row r="9" spans="1:29" x14ac:dyDescent="0.3">
      <c r="K9" s="50" t="e">
        <f>VLOOKUP(Y9,'PUR-HSN MASTER'!$A$6:$E$89,5)</f>
        <v>#N/A</v>
      </c>
      <c r="X9" s="386" t="s">
        <v>894</v>
      </c>
    </row>
    <row r="10" spans="1:29" x14ac:dyDescent="0.3">
      <c r="K10" s="50" t="e">
        <f>VLOOKUP(Y10,'PUR-HSN MASTER'!$A$6:$E$89,5)</f>
        <v>#N/A</v>
      </c>
      <c r="X10" s="386" t="s">
        <v>897</v>
      </c>
    </row>
    <row r="11" spans="1:29" x14ac:dyDescent="0.3">
      <c r="K11" s="50" t="e">
        <f>VLOOKUP(Y11,'PUR-HSN MASTER'!$A$6:$E$89,5)</f>
        <v>#N/A</v>
      </c>
    </row>
    <row r="12" spans="1:29" x14ac:dyDescent="0.3">
      <c r="K12" s="50" t="e">
        <f>VLOOKUP(Y12,'PUR-HSN MASTER'!$A$6:$E$89,5)</f>
        <v>#N/A</v>
      </c>
    </row>
  </sheetData>
  <dataValidations count="1">
    <dataValidation type="list" allowBlank="1" showInputMessage="1" showErrorMessage="1" sqref="Q5">
      <formula1>ITCEgl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'PUR-HSN MASTER'!$A$6:$A$36</xm:f>
          </x14:formula1>
          <xm:sqref>Y5:Y7</xm:sqref>
        </x14:dataValidation>
        <x14:dataValidation type="list" allowBlank="1" showInputMessage="1" showErrorMessage="1">
          <x14:formula1>
            <xm:f>'PUR-PARTY MASTER'!$B$6:$B$77</xm:f>
          </x14:formula1>
          <xm:sqref>A5</xm:sqref>
        </x14:dataValidation>
        <x14:dataValidation type="list" allowBlank="1" showInputMessage="1" showErrorMessage="1">
          <x14:formula1>
            <xm:f>'[1]PUR PARTYWISE'!#REF!</xm:f>
          </x14:formula1>
          <xm:sqref>A6:A8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28"/>
  <sheetViews>
    <sheetView workbookViewId="0">
      <selection activeCell="J5" sqref="J5"/>
    </sheetView>
  </sheetViews>
  <sheetFormatPr defaultRowHeight="14.4" x14ac:dyDescent="0.3"/>
  <cols>
    <col min="1" max="1" width="9.109375" bestFit="1" customWidth="1"/>
    <col min="2" max="2" width="17.6640625" bestFit="1" customWidth="1"/>
    <col min="3" max="3" width="15" bestFit="1" customWidth="1"/>
    <col min="4" max="4" width="15.6640625" bestFit="1" customWidth="1"/>
    <col min="5" max="5" width="13.5546875" bestFit="1" customWidth="1"/>
    <col min="6" max="6" width="39.33203125" bestFit="1" customWidth="1"/>
    <col min="7" max="7" width="4.6640625" bestFit="1" customWidth="1"/>
    <col min="8" max="8" width="12.44140625" bestFit="1" customWidth="1"/>
    <col min="9" max="9" width="16.88671875" bestFit="1" customWidth="1"/>
    <col min="11" max="11" width="15.6640625" bestFit="1" customWidth="1"/>
    <col min="12" max="12" width="23.44140625" bestFit="1" customWidth="1"/>
    <col min="13" max="13" width="15.33203125" bestFit="1" customWidth="1"/>
  </cols>
  <sheetData>
    <row r="3" spans="1:13" x14ac:dyDescent="0.3">
      <c r="A3" s="203"/>
      <c r="B3" s="203"/>
      <c r="C3" s="203"/>
      <c r="D3" s="203"/>
      <c r="E3" s="203"/>
      <c r="F3" s="203" t="s">
        <v>622</v>
      </c>
      <c r="G3" s="203"/>
      <c r="H3" s="203">
        <f>SUM(H5:H500)</f>
        <v>0</v>
      </c>
      <c r="I3" s="203">
        <f t="shared" ref="I3:M3" si="0">SUM(I5:I500)</f>
        <v>0</v>
      </c>
      <c r="J3" s="203">
        <f t="shared" si="0"/>
        <v>0</v>
      </c>
      <c r="K3" s="203">
        <f t="shared" si="0"/>
        <v>0</v>
      </c>
      <c r="L3" s="203">
        <f t="shared" si="0"/>
        <v>0</v>
      </c>
      <c r="M3" s="203">
        <f t="shared" si="0"/>
        <v>0</v>
      </c>
    </row>
    <row r="4" spans="1:13" x14ac:dyDescent="0.3">
      <c r="A4" s="207" t="s">
        <v>142</v>
      </c>
      <c r="B4" s="207" t="s">
        <v>143</v>
      </c>
      <c r="C4" s="207" t="s">
        <v>144</v>
      </c>
      <c r="D4" s="207" t="s">
        <v>145</v>
      </c>
      <c r="E4" s="207" t="s">
        <v>146</v>
      </c>
      <c r="F4" s="207" t="s">
        <v>147</v>
      </c>
      <c r="G4" s="208" t="s">
        <v>0</v>
      </c>
      <c r="H4" s="208" t="s">
        <v>1</v>
      </c>
      <c r="I4" s="209" t="s">
        <v>133</v>
      </c>
      <c r="J4" s="208" t="s">
        <v>134</v>
      </c>
      <c r="K4" s="208" t="s">
        <v>135</v>
      </c>
      <c r="L4" s="208" t="s">
        <v>136</v>
      </c>
      <c r="M4" s="208" t="s">
        <v>137</v>
      </c>
    </row>
    <row r="5" spans="1:13" x14ac:dyDescent="0.3">
      <c r="A5" s="126"/>
      <c r="B5" s="126"/>
      <c r="C5" s="126"/>
      <c r="D5" s="126"/>
      <c r="E5" s="126"/>
      <c r="F5" s="210" t="s">
        <v>456</v>
      </c>
      <c r="G5" s="126"/>
      <c r="H5" s="126"/>
      <c r="I5" s="126">
        <v>0</v>
      </c>
      <c r="J5" s="126"/>
      <c r="K5" s="126"/>
      <c r="L5" s="126"/>
      <c r="M5" s="126"/>
    </row>
    <row r="6" spans="1:13" x14ac:dyDescent="0.3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  <c r="L6" s="132"/>
      <c r="M6" s="132"/>
    </row>
    <row r="7" spans="1:13" x14ac:dyDescent="0.3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  <c r="L7" s="132"/>
      <c r="M7" s="132"/>
    </row>
    <row r="8" spans="1:13" x14ac:dyDescent="0.3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</row>
    <row r="9" spans="1:13" x14ac:dyDescent="0.3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</row>
    <row r="10" spans="1:13" x14ac:dyDescent="0.3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</row>
    <row r="11" spans="1:13" x14ac:dyDescent="0.3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</row>
    <row r="12" spans="1:13" x14ac:dyDescent="0.3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</row>
    <row r="13" spans="1:13" x14ac:dyDescent="0.3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</row>
    <row r="14" spans="1:13" x14ac:dyDescent="0.3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</row>
    <row r="15" spans="1:13" x14ac:dyDescent="0.3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</row>
    <row r="16" spans="1:13" x14ac:dyDescent="0.3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</row>
    <row r="17" spans="1:13" x14ac:dyDescent="0.3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</row>
    <row r="18" spans="1:13" x14ac:dyDescent="0.3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</row>
    <row r="19" spans="1:13" x14ac:dyDescent="0.3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</row>
    <row r="20" spans="1:13" x14ac:dyDescent="0.3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</row>
    <row r="21" spans="1:13" x14ac:dyDescent="0.3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</row>
    <row r="22" spans="1:13" x14ac:dyDescent="0.3">
      <c r="A22" s="132"/>
      <c r="B22" s="132"/>
      <c r="C22" s="132"/>
      <c r="D22" s="132"/>
      <c r="E22" s="132"/>
      <c r="F22" s="132"/>
      <c r="G22" s="132"/>
      <c r="H22" s="132"/>
      <c r="I22" s="132"/>
      <c r="J22" s="132"/>
      <c r="K22" s="132"/>
      <c r="L22" s="132"/>
      <c r="M22" s="132"/>
    </row>
    <row r="23" spans="1:13" x14ac:dyDescent="0.3">
      <c r="A23" s="132"/>
      <c r="B23" s="132"/>
      <c r="C23" s="132"/>
      <c r="D23" s="132"/>
      <c r="E23" s="132"/>
      <c r="F23" s="132"/>
      <c r="G23" s="132"/>
      <c r="H23" s="132"/>
      <c r="I23" s="132"/>
      <c r="J23" s="132"/>
      <c r="K23" s="132"/>
      <c r="L23" s="132"/>
      <c r="M23" s="132"/>
    </row>
    <row r="24" spans="1:13" x14ac:dyDescent="0.3">
      <c r="A24" s="132"/>
      <c r="B24" s="132"/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</row>
    <row r="25" spans="1:13" x14ac:dyDescent="0.3">
      <c r="A25" s="13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</row>
    <row r="26" spans="1:13" x14ac:dyDescent="0.3">
      <c r="A26" s="132"/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</row>
    <row r="27" spans="1:13" x14ac:dyDescent="0.3">
      <c r="A27" s="132"/>
      <c r="B27" s="132"/>
      <c r="C27" s="132"/>
      <c r="D27" s="132"/>
      <c r="E27" s="132"/>
      <c r="F27" s="132"/>
      <c r="G27" s="132"/>
      <c r="H27" s="132"/>
      <c r="I27" s="132"/>
      <c r="J27" s="132"/>
      <c r="K27" s="132"/>
      <c r="L27" s="132"/>
      <c r="M27" s="132"/>
    </row>
    <row r="28" spans="1:13" x14ac:dyDescent="0.3">
      <c r="A28" s="132"/>
      <c r="B28" s="132"/>
      <c r="C28" s="132"/>
      <c r="D28" s="132"/>
      <c r="E28" s="132"/>
      <c r="F28" s="132"/>
      <c r="G28" s="132"/>
      <c r="H28" s="132"/>
      <c r="I28" s="132"/>
      <c r="J28" s="132"/>
      <c r="K28" s="132"/>
      <c r="L28" s="132"/>
      <c r="M28" s="13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93"/>
  <sheetViews>
    <sheetView topLeftCell="A10" workbookViewId="0">
      <selection activeCell="B24" sqref="B24"/>
    </sheetView>
  </sheetViews>
  <sheetFormatPr defaultRowHeight="14.4" x14ac:dyDescent="0.3"/>
  <cols>
    <col min="1" max="1" width="11" bestFit="1" customWidth="1"/>
    <col min="2" max="2" width="45.6640625" bestFit="1" customWidth="1"/>
    <col min="3" max="3" width="5.33203125" bestFit="1" customWidth="1"/>
    <col min="4" max="4" width="12.6640625" bestFit="1" customWidth="1"/>
    <col min="5" max="5" width="11" customWidth="1"/>
    <col min="6" max="6" width="12.44140625" bestFit="1" customWidth="1"/>
    <col min="7" max="7" width="19.88671875" bestFit="1" customWidth="1"/>
    <col min="8" max="8" width="17.6640625" bestFit="1" customWidth="1"/>
    <col min="9" max="9" width="19.33203125" bestFit="1" customWidth="1"/>
    <col min="10" max="10" width="11.6640625" bestFit="1" customWidth="1"/>
  </cols>
  <sheetData>
    <row r="3" spans="1:10" x14ac:dyDescent="0.3">
      <c r="A3" s="211"/>
      <c r="B3" s="211" t="s">
        <v>622</v>
      </c>
      <c r="C3" s="211"/>
      <c r="D3" s="224">
        <f>SUM(D5:D250)</f>
        <v>171170.41999999998</v>
      </c>
      <c r="E3" s="224">
        <f t="shared" ref="E3:J3" si="0">SUM(E5:E250)</f>
        <v>9008182.3593999986</v>
      </c>
      <c r="F3" s="224">
        <f t="shared" si="0"/>
        <v>7297112.6300000008</v>
      </c>
      <c r="G3" s="224">
        <f t="shared" si="0"/>
        <v>10923.0576</v>
      </c>
      <c r="H3" s="224">
        <f t="shared" si="0"/>
        <v>850073.3359000003</v>
      </c>
      <c r="I3" s="224">
        <f t="shared" si="0"/>
        <v>850073.3359000003</v>
      </c>
      <c r="J3" s="224">
        <f t="shared" si="0"/>
        <v>0</v>
      </c>
    </row>
    <row r="4" spans="1:10" x14ac:dyDescent="0.3">
      <c r="A4" s="222" t="s">
        <v>74</v>
      </c>
      <c r="B4" s="222" t="s">
        <v>75</v>
      </c>
      <c r="C4" s="222" t="s">
        <v>109</v>
      </c>
      <c r="D4" s="222" t="s">
        <v>110</v>
      </c>
      <c r="E4" s="223" t="s">
        <v>111</v>
      </c>
      <c r="F4" s="223" t="s">
        <v>1</v>
      </c>
      <c r="G4" s="223" t="s">
        <v>112</v>
      </c>
      <c r="H4" s="223" t="s">
        <v>113</v>
      </c>
      <c r="I4" s="223" t="s">
        <v>114</v>
      </c>
      <c r="J4" s="223" t="s">
        <v>2</v>
      </c>
    </row>
    <row r="5" spans="1:10" x14ac:dyDescent="0.3">
      <c r="A5" s="214">
        <v>39269099</v>
      </c>
      <c r="B5" s="214" t="s">
        <v>81</v>
      </c>
      <c r="C5" s="215" t="s">
        <v>246</v>
      </c>
      <c r="D5" s="36">
        <f>SUMIF(PURCHASE!$X$6:$X$446,$A$5:$A$200,PURCHASE!$AB$6:$AB$446)</f>
        <v>0</v>
      </c>
      <c r="E5" s="36">
        <f>SUMIF(PURCHASE!$X$6:$X$446,$A$5:$A$500,PURCHASE!$E$6:$E$446)</f>
        <v>0</v>
      </c>
      <c r="F5" s="36">
        <f>SUMIF(PURCHASE!$X$6:$X$446,$A$5:$A$200,PURCHASE!$K$6:$K$446)</f>
        <v>0</v>
      </c>
      <c r="G5" s="36">
        <f>SUMIF(PURCHASE!$X$6:$X$446,$A$5:$A$200,PURCHASE!$L$6:$L$446)</f>
        <v>0</v>
      </c>
      <c r="H5" s="36">
        <f>SUMIF(PURCHASE!$X$6:$X$446,$A$5:$A$200,PURCHASE!$M$6:$M$446)</f>
        <v>0</v>
      </c>
      <c r="I5" s="36">
        <f>SUMIF(PURCHASE!$X$6:$X$446,$A$5:$A$200,PURCHASE!$N$6:$N$446)</f>
        <v>0</v>
      </c>
      <c r="J5" s="36">
        <f>SUMIF(PURCHASE!$X$6:$X$446,$A$5:$A$200,PURCHASE!$O$6:$O$446)</f>
        <v>0</v>
      </c>
    </row>
    <row r="6" spans="1:10" x14ac:dyDescent="0.3">
      <c r="A6" s="214">
        <v>87089900</v>
      </c>
      <c r="B6" s="214" t="s">
        <v>81</v>
      </c>
      <c r="C6" s="215" t="s">
        <v>246</v>
      </c>
      <c r="D6" s="36">
        <f>SUMIF(PURCHASE!$X$6:$X$446,$A$5:$A$200,PURCHASE!$AB$6:$AB$446)</f>
        <v>9145</v>
      </c>
      <c r="E6" s="36">
        <f>SUMIF(PURCHASE!$X$6:$X$446,$A$5:$A$500,PURCHASE!$E$6:$E$446)</f>
        <v>300778.23999999999</v>
      </c>
      <c r="F6" s="36">
        <f>SUMIF(PURCHASE!$X$6:$X$446,$A$5:$A$200,PURCHASE!$K$6:$K$446)</f>
        <v>234983</v>
      </c>
      <c r="G6" s="36">
        <f>SUMIF(PURCHASE!$X$6:$X$446,$A$5:$A$200,PURCHASE!$L$6:$L$446)</f>
        <v>0</v>
      </c>
      <c r="H6" s="36">
        <f>SUMIF(PURCHASE!$X$6:$X$446,$A$5:$A$200,PURCHASE!$M$6:$M$446)</f>
        <v>32897.62000000001</v>
      </c>
      <c r="I6" s="36">
        <f>SUMIF(PURCHASE!$X$6:$X$446,$A$5:$A$200,PURCHASE!$N$6:$N$446)</f>
        <v>32897.62000000001</v>
      </c>
      <c r="J6" s="36">
        <f>SUMIF(PURCHASE!$X$6:$X$446,$A$5:$A$200,PURCHASE!$O$6:$O$446)</f>
        <v>0</v>
      </c>
    </row>
    <row r="7" spans="1:10" x14ac:dyDescent="0.3">
      <c r="A7" s="214">
        <v>32082090</v>
      </c>
      <c r="B7" s="214" t="s">
        <v>86</v>
      </c>
      <c r="C7" s="215" t="s">
        <v>237</v>
      </c>
      <c r="D7" s="36">
        <f>SUMIF(PURCHASE!$X$6:$X$446,$A$5:$A$200,PURCHASE!$AB$6:$AB$446)</f>
        <v>1138</v>
      </c>
      <c r="E7" s="36">
        <f>SUMIF(PURCHASE!$X$6:$X$446,$A$5:$A$500,PURCHASE!$E$6:$E$446)</f>
        <v>469972.73600000003</v>
      </c>
      <c r="F7" s="36">
        <f>SUMIF(PURCHASE!$X$6:$X$446,$A$5:$A$200,PURCHASE!$K$6:$K$446)</f>
        <v>367166.19999999995</v>
      </c>
      <c r="G7" s="36">
        <f>SUMIF(PURCHASE!$X$6:$X$446,$A$5:$A$200,PURCHASE!$L$6:$L$446)</f>
        <v>0</v>
      </c>
      <c r="H7" s="36">
        <f>SUMIF(PURCHASE!$X$6:$X$446,$A$5:$A$200,PURCHASE!$M$6:$M$446)</f>
        <v>51403.268000000011</v>
      </c>
      <c r="I7" s="36">
        <f>SUMIF(PURCHASE!$X$6:$X$446,$A$5:$A$200,PURCHASE!$N$6:$N$446)</f>
        <v>51403.268000000011</v>
      </c>
      <c r="J7" s="36">
        <f>SUMIF(PURCHASE!$X$6:$X$446,$A$5:$A$200,PURCHASE!$O$6:$O$446)</f>
        <v>0</v>
      </c>
    </row>
    <row r="8" spans="1:10" x14ac:dyDescent="0.3">
      <c r="A8" s="214">
        <v>38140010</v>
      </c>
      <c r="B8" s="214" t="s">
        <v>458</v>
      </c>
      <c r="C8" s="215" t="s">
        <v>237</v>
      </c>
      <c r="D8" s="36">
        <f>SUMIF(PURCHASE!$X$6:$X$446,$A$5:$A$200,PURCHASE!$AB$6:$AB$446)</f>
        <v>280</v>
      </c>
      <c r="E8" s="36">
        <f>SUMIF(PURCHASE!$X$6:$X$446,$A$5:$A$500,PURCHASE!$E$6:$E$446)</f>
        <v>40919.567999999999</v>
      </c>
      <c r="F8" s="36">
        <f>SUMIF(PURCHASE!$X$6:$X$446,$A$5:$A$200,PURCHASE!$K$6:$K$446)</f>
        <v>34677.599999999999</v>
      </c>
      <c r="G8" s="36">
        <f>SUMIF(PURCHASE!$X$6:$X$446,$A$5:$A$200,PURCHASE!$L$6:$L$446)</f>
        <v>0</v>
      </c>
      <c r="H8" s="36">
        <f>SUMIF(PURCHASE!$X$6:$X$446,$A$5:$A$200,PURCHASE!$M$6:$M$446)</f>
        <v>3120.9840000000004</v>
      </c>
      <c r="I8" s="36">
        <f>SUMIF(PURCHASE!$X$6:$X$446,$A$5:$A$200,PURCHASE!$N$6:$N$446)</f>
        <v>3120.9840000000004</v>
      </c>
      <c r="J8" s="36">
        <f>SUMIF(PURCHASE!$X$6:$X$446,$A$5:$A$200,PURCHASE!$O$6:$O$446)</f>
        <v>0</v>
      </c>
    </row>
    <row r="9" spans="1:10" x14ac:dyDescent="0.3">
      <c r="A9" s="214">
        <v>32089090</v>
      </c>
      <c r="B9" s="214" t="s">
        <v>86</v>
      </c>
      <c r="C9" s="215" t="s">
        <v>246</v>
      </c>
      <c r="D9" s="36">
        <f>SUMIF(PURCHASE!$X$6:$X$446,$A$5:$A$200,PURCHASE!$AB$6:$AB$446)</f>
        <v>30</v>
      </c>
      <c r="E9" s="36">
        <f>SUMIF(PURCHASE!$X$6:$X$446,$A$5:$A$500,PURCHASE!$E$6:$E$446)</f>
        <v>25536</v>
      </c>
      <c r="F9" s="36">
        <f>SUMIF(PURCHASE!$X$6:$X$446,$A$5:$A$200,PURCHASE!$K$6:$K$446)</f>
        <v>19950</v>
      </c>
      <c r="G9" s="36">
        <f>SUMIF(PURCHASE!$X$6:$X$446,$A$5:$A$200,PURCHASE!$L$6:$L$446)</f>
        <v>0</v>
      </c>
      <c r="H9" s="36">
        <f>SUMIF(PURCHASE!$X$6:$X$446,$A$5:$A$200,PURCHASE!$M$6:$M$446)</f>
        <v>2793.0000000000005</v>
      </c>
      <c r="I9" s="36">
        <f>SUMIF(PURCHASE!$X$6:$X$446,$A$5:$A$200,PURCHASE!$N$6:$N$446)</f>
        <v>2793.0000000000005</v>
      </c>
      <c r="J9" s="36">
        <f>SUMIF(PURCHASE!$X$6:$X$446,$A$5:$A$200,PURCHASE!$O$6:$O$446)</f>
        <v>0</v>
      </c>
    </row>
    <row r="10" spans="1:10" x14ac:dyDescent="0.3">
      <c r="A10" s="214">
        <v>85129000</v>
      </c>
      <c r="B10" s="214" t="s">
        <v>459</v>
      </c>
      <c r="C10" s="215" t="s">
        <v>246</v>
      </c>
      <c r="D10" s="36">
        <f>SUMIF(PURCHASE!$X$6:$X$446,$A$5:$A$200,PURCHASE!$AB$6:$AB$446)</f>
        <v>40964</v>
      </c>
      <c r="E10" s="36">
        <f>SUMIF(PURCHASE!$X$6:$X$446,$A$5:$A$500,PURCHASE!$E$6:$E$446)</f>
        <v>645846.1786000001</v>
      </c>
      <c r="F10" s="36">
        <f>SUMIF(PURCHASE!$X$6:$X$446,$A$5:$A$200,PURCHASE!$K$6:$K$446)</f>
        <v>547327.2699999999</v>
      </c>
      <c r="G10" s="36">
        <f>SUMIF(PURCHASE!$X$6:$X$446,$A$5:$A$200,PURCHASE!$L$6:$L$446)</f>
        <v>0</v>
      </c>
      <c r="H10" s="36">
        <f>SUMIF(PURCHASE!$X$6:$X$446,$A$5:$A$200,PURCHASE!$M$6:$M$446)</f>
        <v>49259.454300000012</v>
      </c>
      <c r="I10" s="36">
        <f>SUMIF(PURCHASE!$X$6:$X$446,$A$5:$A$200,PURCHASE!$N$6:$N$446)</f>
        <v>49259.454300000012</v>
      </c>
      <c r="J10" s="36">
        <f>SUMIF(PURCHASE!$X$6:$X$446,$A$5:$A$200,PURCHASE!$O$6:$O$446)</f>
        <v>0</v>
      </c>
    </row>
    <row r="11" spans="1:10" x14ac:dyDescent="0.3">
      <c r="A11" s="214">
        <v>87081090</v>
      </c>
      <c r="B11" s="214" t="s">
        <v>81</v>
      </c>
      <c r="C11" s="215" t="s">
        <v>246</v>
      </c>
      <c r="D11" s="36">
        <f>SUMIF(PURCHASE!$X$6:$X$446,$A$5:$A$200,PURCHASE!$AB$6:$AB$446)</f>
        <v>1003</v>
      </c>
      <c r="E11" s="36">
        <f>SUMIF(PURCHASE!$X$6:$X$446,$A$5:$A$500,PURCHASE!$E$6:$E$446)</f>
        <v>192381.10720000003</v>
      </c>
      <c r="F11" s="36">
        <f>SUMIF(PURCHASE!$X$6:$X$446,$A$5:$A$200,PURCHASE!$K$6:$K$446)</f>
        <v>150297.74</v>
      </c>
      <c r="G11" s="36">
        <f>SUMIF(PURCHASE!$X$6:$X$446,$A$5:$A$200,PURCHASE!$L$6:$L$446)</f>
        <v>10923.0576</v>
      </c>
      <c r="H11" s="36">
        <f>SUMIF(PURCHASE!$X$6:$X$446,$A$5:$A$200,PURCHASE!$M$6:$M$446)</f>
        <v>15580.154800000004</v>
      </c>
      <c r="I11" s="36">
        <f>SUMIF(PURCHASE!$X$6:$X$446,$A$5:$A$200,PURCHASE!$N$6:$N$446)</f>
        <v>15580.154800000004</v>
      </c>
      <c r="J11" s="36">
        <f>SUMIF(PURCHASE!$X$6:$X$446,$A$5:$A$200,PURCHASE!$O$6:$O$446)</f>
        <v>0</v>
      </c>
    </row>
    <row r="12" spans="1:10" x14ac:dyDescent="0.3">
      <c r="A12" s="214">
        <v>87082900</v>
      </c>
      <c r="B12" s="214" t="s">
        <v>81</v>
      </c>
      <c r="C12" s="215" t="s">
        <v>246</v>
      </c>
      <c r="D12" s="36">
        <f>SUMIF(PURCHASE!$X$6:$X$446,$A$5:$A$200,PURCHASE!$AB$6:$AB$446)</f>
        <v>3351</v>
      </c>
      <c r="E12" s="36">
        <f>SUMIF(PURCHASE!$X$6:$X$446,$A$5:$A$500,PURCHASE!$E$6:$E$446)</f>
        <v>274236.56959999999</v>
      </c>
      <c r="F12" s="36">
        <f>SUMIF(PURCHASE!$X$6:$X$446,$A$5:$A$200,PURCHASE!$K$6:$K$446)</f>
        <v>214247.31999999995</v>
      </c>
      <c r="G12" s="36">
        <f>SUMIF(PURCHASE!$X$6:$X$446,$A$5:$A$200,PURCHASE!$L$6:$L$446)</f>
        <v>0</v>
      </c>
      <c r="H12" s="36">
        <f>SUMIF(PURCHASE!$X$6:$X$446,$A$5:$A$200,PURCHASE!$M$6:$M$446)</f>
        <v>29994.624800000005</v>
      </c>
      <c r="I12" s="36">
        <f>SUMIF(PURCHASE!$X$6:$X$446,$A$5:$A$200,PURCHASE!$N$6:$N$446)</f>
        <v>29994.624800000005</v>
      </c>
      <c r="J12" s="36">
        <f>SUMIF(PURCHASE!$X$6:$X$446,$A$5:$A$200,PURCHASE!$O$6:$O$446)</f>
        <v>0</v>
      </c>
    </row>
    <row r="13" spans="1:10" x14ac:dyDescent="0.3">
      <c r="A13" s="214">
        <v>87142090</v>
      </c>
      <c r="B13" s="214" t="s">
        <v>81</v>
      </c>
      <c r="C13" s="215" t="s">
        <v>246</v>
      </c>
      <c r="D13" s="36">
        <f>SUMIF(PURCHASE!$X$6:$X$446,$A$5:$A$200,PURCHASE!$AB$6:$AB$446)</f>
        <v>24822</v>
      </c>
      <c r="E13" s="36">
        <f>SUMIF(PURCHASE!$X$6:$X$446,$A$5:$A$500,PURCHASE!$E$6:$E$446)</f>
        <v>581564.44160000002</v>
      </c>
      <c r="F13" s="36">
        <f>SUMIF(PURCHASE!$X$6:$X$446,$A$5:$A$200,PURCHASE!$K$6:$K$446)</f>
        <v>454347.22000000003</v>
      </c>
      <c r="G13" s="36">
        <f>SUMIF(PURCHASE!$X$6:$X$446,$A$5:$A$200,PURCHASE!$L$6:$L$446)</f>
        <v>0</v>
      </c>
      <c r="H13" s="36">
        <f>SUMIF(PURCHASE!$X$6:$X$446,$A$5:$A$200,PURCHASE!$M$6:$M$446)</f>
        <v>63608.610800000017</v>
      </c>
      <c r="I13" s="36">
        <f>SUMIF(PURCHASE!$X$6:$X$446,$A$5:$A$200,PURCHASE!$N$6:$N$446)</f>
        <v>63608.610800000017</v>
      </c>
      <c r="J13" s="36">
        <f>SUMIF(PURCHASE!$X$6:$X$446,$A$5:$A$200,PURCHASE!$O$6:$O$446)</f>
        <v>0</v>
      </c>
    </row>
    <row r="14" spans="1:10" x14ac:dyDescent="0.3">
      <c r="A14" s="214">
        <v>39119090</v>
      </c>
      <c r="B14" s="214" t="s">
        <v>86</v>
      </c>
      <c r="C14" s="215" t="s">
        <v>237</v>
      </c>
      <c r="D14" s="36">
        <f>SUMIF(PURCHASE!$X$6:$X$446,$A$5:$A$200,PURCHASE!$AB$6:$AB$446)</f>
        <v>6</v>
      </c>
      <c r="E14" s="36">
        <f>SUMIF(PURCHASE!$X$6:$X$446,$A$5:$A$500,PURCHASE!$E$6:$E$446)</f>
        <v>4885.2000000000007</v>
      </c>
      <c r="F14" s="36">
        <f>SUMIF(PURCHASE!$X$6:$X$446,$A$5:$A$200,PURCHASE!$K$6:$K$446)</f>
        <v>4140</v>
      </c>
      <c r="G14" s="36">
        <f>SUMIF(PURCHASE!$X$6:$X$446,$A$5:$A$200,PURCHASE!$L$6:$L$446)</f>
        <v>0</v>
      </c>
      <c r="H14" s="36">
        <f>SUMIF(PURCHASE!$X$6:$X$446,$A$5:$A$200,PURCHASE!$M$6:$M$446)</f>
        <v>372.59999999999997</v>
      </c>
      <c r="I14" s="36">
        <f>SUMIF(PURCHASE!$X$6:$X$446,$A$5:$A$200,PURCHASE!$N$6:$N$446)</f>
        <v>372.59999999999997</v>
      </c>
      <c r="J14" s="36">
        <f>SUMIF(PURCHASE!$X$6:$X$446,$A$5:$A$200,PURCHASE!$O$6:$O$446)</f>
        <v>0</v>
      </c>
    </row>
    <row r="15" spans="1:10" x14ac:dyDescent="0.3">
      <c r="A15" s="214">
        <v>87141900</v>
      </c>
      <c r="B15" s="214" t="s">
        <v>81</v>
      </c>
      <c r="C15" s="215" t="s">
        <v>246</v>
      </c>
      <c r="D15" s="36">
        <f>SUMIF(PURCHASE!$X$6:$X$446,$A$5:$A$200,PURCHASE!$AB$6:$AB$446)</f>
        <v>35190</v>
      </c>
      <c r="E15" s="36">
        <f>SUMIF(PURCHASE!$X$6:$X$446,$A$5:$A$500,PURCHASE!$E$6:$E$446)</f>
        <v>1917822.6431999994</v>
      </c>
      <c r="F15" s="36">
        <f>SUMIF(PURCHASE!$X$6:$X$446,$A$5:$A$200,PURCHASE!$K$6:$K$446)</f>
        <v>1498298.94</v>
      </c>
      <c r="G15" s="36">
        <f>SUMIF(PURCHASE!$X$6:$X$446,$A$5:$A$200,PURCHASE!$L$6:$L$446)</f>
        <v>0</v>
      </c>
      <c r="H15" s="36">
        <f>SUMIF(PURCHASE!$X$6:$X$446,$A$5:$A$200,PURCHASE!$M$6:$M$446)</f>
        <v>209761.85160000005</v>
      </c>
      <c r="I15" s="36">
        <f>SUMIF(PURCHASE!$X$6:$X$446,$A$5:$A$200,PURCHASE!$N$6:$N$446)</f>
        <v>209761.85160000005</v>
      </c>
      <c r="J15" s="36">
        <f>SUMIF(PURCHASE!$X$6:$X$446,$A$5:$A$200,PURCHASE!$O$6:$O$446)</f>
        <v>0</v>
      </c>
    </row>
    <row r="16" spans="1:10" x14ac:dyDescent="0.3">
      <c r="A16" s="214">
        <v>68052090</v>
      </c>
      <c r="B16" s="214" t="s">
        <v>460</v>
      </c>
      <c r="C16" s="215" t="s">
        <v>246</v>
      </c>
      <c r="D16" s="36">
        <f>SUMIF(PURCHASE!$X$6:$X$446,$A$5:$A$200,PURCHASE!$AB$6:$AB$446)</f>
        <v>0</v>
      </c>
      <c r="E16" s="36">
        <f>SUMIF(PURCHASE!$X$6:$X$446,$A$5:$A$500,PURCHASE!$E$6:$E$446)</f>
        <v>0</v>
      </c>
      <c r="F16" s="36">
        <f>SUMIF(PURCHASE!$X$6:$X$446,$A$5:$A$200,PURCHASE!$K$6:$K$446)</f>
        <v>0</v>
      </c>
      <c r="G16" s="36">
        <f>SUMIF(PURCHASE!$X$6:$X$446,$A$5:$A$200,PURCHASE!$L$6:$L$446)</f>
        <v>0</v>
      </c>
      <c r="H16" s="36">
        <f>SUMIF(PURCHASE!$X$6:$X$446,$A$5:$A$200,PURCHASE!$M$6:$M$446)</f>
        <v>0</v>
      </c>
      <c r="I16" s="36">
        <f>SUMIF(PURCHASE!$X$6:$X$446,$A$5:$A$200,PURCHASE!$N$6:$N$446)</f>
        <v>0</v>
      </c>
      <c r="J16" s="36">
        <f>SUMIF(PURCHASE!$X$6:$X$446,$A$5:$A$200,PURCHASE!$O$6:$O$446)</f>
        <v>0</v>
      </c>
    </row>
    <row r="17" spans="1:10" x14ac:dyDescent="0.3">
      <c r="A17" s="214">
        <v>25202090</v>
      </c>
      <c r="B17" s="214" t="s">
        <v>461</v>
      </c>
      <c r="C17" s="215" t="s">
        <v>246</v>
      </c>
      <c r="D17" s="36">
        <f>SUMIF(PURCHASE!$X$6:$X$446,$A$5:$A$200,PURCHASE!$AB$6:$AB$446)</f>
        <v>0</v>
      </c>
      <c r="E17" s="36">
        <f>SUMIF(PURCHASE!$X$6:$X$446,$A$5:$A$500,PURCHASE!$E$6:$E$446)</f>
        <v>0</v>
      </c>
      <c r="F17" s="36">
        <f>SUMIF(PURCHASE!$X$6:$X$446,$A$5:$A$200,PURCHASE!$K$6:$K$446)</f>
        <v>0</v>
      </c>
      <c r="G17" s="36">
        <f>SUMIF(PURCHASE!$X$6:$X$446,$A$5:$A$200,PURCHASE!$L$6:$L$446)</f>
        <v>0</v>
      </c>
      <c r="H17" s="36">
        <f>SUMIF(PURCHASE!$X$6:$X$446,$A$5:$A$200,PURCHASE!$M$6:$M$446)</f>
        <v>0</v>
      </c>
      <c r="I17" s="36">
        <f>SUMIF(PURCHASE!$X$6:$X$446,$A$5:$A$200,PURCHASE!$N$6:$N$446)</f>
        <v>0</v>
      </c>
      <c r="J17" s="36">
        <f>SUMIF(PURCHASE!$X$6:$X$446,$A$5:$A$200,PURCHASE!$O$6:$O$446)</f>
        <v>0</v>
      </c>
    </row>
    <row r="18" spans="1:10" x14ac:dyDescent="0.3">
      <c r="A18" s="214">
        <v>3814</v>
      </c>
      <c r="B18" s="214" t="s">
        <v>458</v>
      </c>
      <c r="C18" s="215" t="s">
        <v>246</v>
      </c>
      <c r="D18" s="36">
        <f>SUMIF(PURCHASE!$X$6:$X$446,$A$5:$A$200,PURCHASE!$AB$6:$AB$446)</f>
        <v>0</v>
      </c>
      <c r="E18" s="36">
        <f>SUMIF(PURCHASE!$X$6:$X$446,$A$5:$A$500,PURCHASE!$E$6:$E$446)</f>
        <v>0</v>
      </c>
      <c r="F18" s="36">
        <f>SUMIF(PURCHASE!$X$6:$X$446,$A$5:$A$200,PURCHASE!$K$6:$K$446)</f>
        <v>0</v>
      </c>
      <c r="G18" s="36">
        <f>SUMIF(PURCHASE!$X$6:$X$446,$A$5:$A$200,PURCHASE!$L$6:$L$446)</f>
        <v>0</v>
      </c>
      <c r="H18" s="36">
        <f>SUMIF(PURCHASE!$X$6:$X$446,$A$5:$A$200,PURCHASE!$M$6:$M$446)</f>
        <v>0</v>
      </c>
      <c r="I18" s="36">
        <f>SUMIF(PURCHASE!$X$6:$X$446,$A$5:$A$200,PURCHASE!$N$6:$N$446)</f>
        <v>0</v>
      </c>
      <c r="J18" s="36">
        <f>SUMIF(PURCHASE!$X$6:$X$446,$A$5:$A$200,PURCHASE!$O$6:$O$446)</f>
        <v>0</v>
      </c>
    </row>
    <row r="19" spans="1:10" x14ac:dyDescent="0.3">
      <c r="A19" s="214">
        <v>87141090</v>
      </c>
      <c r="B19" s="214" t="s">
        <v>81</v>
      </c>
      <c r="C19" s="215" t="s">
        <v>246</v>
      </c>
      <c r="D19" s="36">
        <f>SUMIF(PURCHASE!$X$6:$X$446,$A$5:$A$200,PURCHASE!$AB$6:$AB$446)</f>
        <v>13078</v>
      </c>
      <c r="E19" s="36">
        <f>SUMIF(PURCHASE!$X$6:$X$446,$A$5:$A$500,PURCHASE!$E$6:$E$446)</f>
        <v>523748.65920000011</v>
      </c>
      <c r="F19" s="36">
        <f>SUMIF(PURCHASE!$X$6:$X$446,$A$5:$A$200,PURCHASE!$K$6:$K$446)</f>
        <v>409178.6399999999</v>
      </c>
      <c r="G19" s="36">
        <f>SUMIF(PURCHASE!$X$6:$X$446,$A$5:$A$200,PURCHASE!$L$6:$L$446)</f>
        <v>0</v>
      </c>
      <c r="H19" s="36">
        <f>SUMIF(PURCHASE!$X$6:$X$446,$A$5:$A$200,PURCHASE!$M$6:$M$446)</f>
        <v>57285.00959999999</v>
      </c>
      <c r="I19" s="36">
        <f>SUMIF(PURCHASE!$X$6:$X$446,$A$5:$A$200,PURCHASE!$N$6:$N$446)</f>
        <v>57285.00959999999</v>
      </c>
      <c r="J19" s="36">
        <f>SUMIF(PURCHASE!$X$6:$X$446,$A$5:$A$200,PURCHASE!$O$6:$O$446)</f>
        <v>0</v>
      </c>
    </row>
    <row r="20" spans="1:10" x14ac:dyDescent="0.3">
      <c r="A20" s="214">
        <v>96031000</v>
      </c>
      <c r="B20" s="214" t="s">
        <v>462</v>
      </c>
      <c r="C20" s="215" t="s">
        <v>246</v>
      </c>
      <c r="D20" s="36">
        <f>SUMIF(PURCHASE!$X$6:$X$446,$A$5:$A$200,PURCHASE!$AB$6:$AB$446)</f>
        <v>12</v>
      </c>
      <c r="E20" s="36">
        <f>SUMIF(PURCHASE!$X$6:$X$446,$A$5:$A$500,PURCHASE!$E$6:$E$446)</f>
        <v>180</v>
      </c>
      <c r="F20" s="36">
        <f>SUMIF(PURCHASE!$X$6:$X$446,$A$5:$A$200,PURCHASE!$K$6:$K$446)</f>
        <v>180</v>
      </c>
      <c r="G20" s="36">
        <f>SUMIF(PURCHASE!$X$6:$X$446,$A$5:$A$200,PURCHASE!$L$6:$L$446)</f>
        <v>0</v>
      </c>
      <c r="H20" s="36">
        <f>SUMIF(PURCHASE!$X$6:$X$446,$A$5:$A$200,PURCHASE!$M$6:$M$446)</f>
        <v>0</v>
      </c>
      <c r="I20" s="36">
        <f>SUMIF(PURCHASE!$X$6:$X$446,$A$5:$A$200,PURCHASE!$N$6:$N$446)</f>
        <v>0</v>
      </c>
      <c r="J20" s="36">
        <f>SUMIF(PURCHASE!$X$6:$X$446,$A$5:$A$200,PURCHASE!$O$6:$O$446)</f>
        <v>0</v>
      </c>
    </row>
    <row r="21" spans="1:10" x14ac:dyDescent="0.3">
      <c r="A21" s="214">
        <v>59114000</v>
      </c>
      <c r="B21" s="214" t="s">
        <v>463</v>
      </c>
      <c r="C21" s="215" t="s">
        <v>246</v>
      </c>
      <c r="D21" s="36">
        <f>SUMIF(PURCHASE!$X$6:$X$446,$A$5:$A$200,PURCHASE!$AB$6:$AB$446)</f>
        <v>0</v>
      </c>
      <c r="E21" s="36">
        <f>SUMIF(PURCHASE!$X$6:$X$446,$A$5:$A$500,PURCHASE!$E$6:$E$446)</f>
        <v>0</v>
      </c>
      <c r="F21" s="36">
        <f>SUMIF(PURCHASE!$X$6:$X$446,$A$5:$A$200,PURCHASE!$K$6:$K$446)</f>
        <v>0</v>
      </c>
      <c r="G21" s="36">
        <f>SUMIF(PURCHASE!$X$6:$X$446,$A$5:$A$200,PURCHASE!$L$6:$L$446)</f>
        <v>0</v>
      </c>
      <c r="H21" s="36">
        <f>SUMIF(PURCHASE!$X$6:$X$446,$A$5:$A$200,PURCHASE!$M$6:$M$446)</f>
        <v>0</v>
      </c>
      <c r="I21" s="36">
        <f>SUMIF(PURCHASE!$X$6:$X$446,$A$5:$A$200,PURCHASE!$N$6:$N$446)</f>
        <v>0</v>
      </c>
      <c r="J21" s="36">
        <f>SUMIF(PURCHASE!$X$6:$X$446,$A$5:$A$200,PURCHASE!$O$6:$O$446)</f>
        <v>0</v>
      </c>
    </row>
    <row r="22" spans="1:10" x14ac:dyDescent="0.3">
      <c r="A22" s="214">
        <v>61169200</v>
      </c>
      <c r="B22" s="214" t="s">
        <v>464</v>
      </c>
      <c r="C22" s="215" t="s">
        <v>246</v>
      </c>
      <c r="D22" s="36">
        <f>SUMIF(PURCHASE!$X$6:$X$446,$A$5:$A$200,PURCHASE!$AB$6:$AB$446)</f>
        <v>150</v>
      </c>
      <c r="E22" s="36">
        <f>SUMIF(PURCHASE!$X$6:$X$446,$A$5:$A$500,PURCHASE!$E$6:$E$446)</f>
        <v>1890</v>
      </c>
      <c r="F22" s="36">
        <f>SUMIF(PURCHASE!$X$6:$X$446,$A$5:$A$200,PURCHASE!$K$6:$K$446)</f>
        <v>1800</v>
      </c>
      <c r="G22" s="36">
        <f>SUMIF(PURCHASE!$X$6:$X$446,$A$5:$A$200,PURCHASE!$L$6:$L$446)</f>
        <v>0</v>
      </c>
      <c r="H22" s="36">
        <f>SUMIF(PURCHASE!$X$6:$X$446,$A$5:$A$200,PURCHASE!$M$6:$M$446)</f>
        <v>45</v>
      </c>
      <c r="I22" s="36">
        <f>SUMIF(PURCHASE!$X$6:$X$446,$A$5:$A$200,PURCHASE!$N$6:$N$446)</f>
        <v>45</v>
      </c>
      <c r="J22" s="36">
        <f>SUMIF(PURCHASE!$X$6:$X$446,$A$5:$A$200,PURCHASE!$O$6:$O$446)</f>
        <v>0</v>
      </c>
    </row>
    <row r="23" spans="1:10" x14ac:dyDescent="0.3">
      <c r="A23" s="214">
        <v>60060000</v>
      </c>
      <c r="B23" s="214" t="s">
        <v>465</v>
      </c>
      <c r="C23" s="215" t="s">
        <v>242</v>
      </c>
      <c r="D23" s="36">
        <f>SUMIF(PURCHASE!$X$6:$X$446,$A$5:$A$200,PURCHASE!$AB$6:$AB$446)</f>
        <v>45</v>
      </c>
      <c r="E23" s="36">
        <f>SUMIF(PURCHASE!$X$6:$X$446,$A$5:$A$200,PURCHASE!$E$6:$E$446)</f>
        <v>1559.25</v>
      </c>
      <c r="F23" s="36">
        <f>SUMIF(PURCHASE!$X$6:$X$446,$A$5:$A$200,PURCHASE!$K$6:$K$446)</f>
        <v>1485</v>
      </c>
      <c r="G23" s="36">
        <f>SUMIF(PURCHASE!$X$6:$X$446,$A$5:$A$200,PURCHASE!$L$6:$L$446)</f>
        <v>0</v>
      </c>
      <c r="H23" s="36">
        <f>SUMIF(PURCHASE!$X$6:$X$446,$A$5:$A$200,PURCHASE!$M$6:$M$446)</f>
        <v>37.125</v>
      </c>
      <c r="I23" s="36">
        <f>SUMIF(PURCHASE!$X$6:$X$446,$A$5:$A$200,PURCHASE!$N$6:$N$446)</f>
        <v>37.125</v>
      </c>
      <c r="J23" s="36">
        <f>SUMIF(PURCHASE!$X$6:$X$446,$A$5:$A$200,PURCHASE!$O$6:$O$446)</f>
        <v>0</v>
      </c>
    </row>
    <row r="24" spans="1:10" x14ac:dyDescent="0.3">
      <c r="A24" s="214">
        <v>5407</v>
      </c>
      <c r="B24" s="214" t="s">
        <v>466</v>
      </c>
      <c r="C24" s="215" t="s">
        <v>242</v>
      </c>
      <c r="D24" s="36">
        <f>SUMIF(PURCHASE!$X$6:$X$446,$A$5:$A$200,PURCHASE!$AB$6:$AB$446)</f>
        <v>90</v>
      </c>
      <c r="E24" s="36">
        <f>SUMIF(PURCHASE!$X$6:$X$446,$A$5:$A$200,PURCHASE!$E$6:$E$446)</f>
        <v>25515</v>
      </c>
      <c r="F24" s="36">
        <f>SUMIF(PURCHASE!$X$6:$X$446,$A$5:$A$200,PURCHASE!$K$6:$K$446)</f>
        <v>24300</v>
      </c>
      <c r="G24" s="36">
        <f>SUMIF(PURCHASE!$X$6:$X$446,$A$5:$A$200,PURCHASE!$L$6:$L$446)</f>
        <v>0</v>
      </c>
      <c r="H24" s="36">
        <f>SUMIF(PURCHASE!$X$6:$X$446,$A$5:$A$200,PURCHASE!$M$6:$M$446)</f>
        <v>607.5</v>
      </c>
      <c r="I24" s="36">
        <f>SUMIF(PURCHASE!$X$6:$X$446,$A$5:$A$200,PURCHASE!$N$6:$N$446)</f>
        <v>607.5</v>
      </c>
      <c r="J24" s="36">
        <f>SUMIF(PURCHASE!$X$6:$X$446,$A$5:$A$200,PURCHASE!$O$6:$O$446)</f>
        <v>0</v>
      </c>
    </row>
    <row r="25" spans="1:10" x14ac:dyDescent="0.3">
      <c r="A25" s="214">
        <v>96082000</v>
      </c>
      <c r="B25" s="214" t="s">
        <v>467</v>
      </c>
      <c r="C25" s="215" t="s">
        <v>246</v>
      </c>
      <c r="D25" s="36">
        <f>SUMIF(PURCHASE!$X$6:$X$446,$A$5:$A$200,PURCHASE!$AB$6:$AB$446)</f>
        <v>30</v>
      </c>
      <c r="E25" s="36">
        <f>SUMIF(PURCHASE!$X$6:$X$446,$A$5:$A$200,PURCHASE!$E$6:$E$446)</f>
        <v>490</v>
      </c>
      <c r="F25" s="36">
        <f>SUMIF(PURCHASE!$X$6:$X$446,$A$5:$A$200,PURCHASE!$K$6:$K$446)</f>
        <v>437.5</v>
      </c>
      <c r="G25" s="36">
        <f>SUMIF(PURCHASE!$X$6:$X$446,$A$5:$A$200,PURCHASE!$L$6:$L$446)</f>
        <v>0</v>
      </c>
      <c r="H25" s="36">
        <f>SUMIF(PURCHASE!$X$6:$X$446,$A$5:$A$200,PURCHASE!$M$6:$M$446)</f>
        <v>26.25</v>
      </c>
      <c r="I25" s="36">
        <f>SUMIF(PURCHASE!$X$6:$X$446,$A$5:$A$200,PURCHASE!$N$6:$N$446)</f>
        <v>26.25</v>
      </c>
      <c r="J25" s="36">
        <f>SUMIF(PURCHASE!$X$6:$X$446,$A$5:$A$200,PURCHASE!$O$6:$O$446)</f>
        <v>0</v>
      </c>
    </row>
    <row r="26" spans="1:10" x14ac:dyDescent="0.3">
      <c r="A26" s="214">
        <v>4820</v>
      </c>
      <c r="B26" s="214" t="s">
        <v>468</v>
      </c>
      <c r="C26" s="215" t="s">
        <v>246</v>
      </c>
      <c r="D26" s="36">
        <f>SUMIF(PURCHASE!$X$6:$X$446,$A$5:$A$200,PURCHASE!$AB$6:$AB$446)</f>
        <v>30</v>
      </c>
      <c r="E26" s="36">
        <f>SUMIF(PURCHASE!$X$6:$X$446,$A$5:$A$200,PURCHASE!$E$6:$E$446)</f>
        <v>354</v>
      </c>
      <c r="F26" s="36">
        <f>SUMIF(PURCHASE!$X$6:$X$446,$A$5:$A$200,PURCHASE!$K$6:$K$446)</f>
        <v>300</v>
      </c>
      <c r="G26" s="36">
        <f>SUMIF(PURCHASE!$X$6:$X$446,$A$5:$A$200,PURCHASE!$L$6:$L$446)</f>
        <v>0</v>
      </c>
      <c r="H26" s="36">
        <f>SUMIF(PURCHASE!$X$6:$X$446,$A$5:$A$200,PURCHASE!$M$6:$M$446)</f>
        <v>27</v>
      </c>
      <c r="I26" s="36">
        <f>SUMIF(PURCHASE!$X$6:$X$446,$A$5:$A$200,PURCHASE!$N$6:$N$446)</f>
        <v>27</v>
      </c>
      <c r="J26" s="36">
        <f>SUMIF(PURCHASE!$X$6:$X$446,$A$5:$A$200,PURCHASE!$O$6:$O$446)</f>
        <v>0</v>
      </c>
    </row>
    <row r="27" spans="1:10" x14ac:dyDescent="0.3">
      <c r="A27" s="214">
        <v>96089990</v>
      </c>
      <c r="B27" s="214" t="s">
        <v>469</v>
      </c>
      <c r="C27" s="215" t="s">
        <v>246</v>
      </c>
      <c r="D27" s="36">
        <f>SUMIF(PURCHASE!$X$6:$X$446,$A$5:$A$200,PURCHASE!$AB$6:$AB$446)</f>
        <v>0</v>
      </c>
      <c r="E27" s="36">
        <f>SUMIF(PURCHASE!$X$6:$X$446,$A$5:$A$200,PURCHASE!$E$6:$E$446)</f>
        <v>0</v>
      </c>
      <c r="F27" s="36">
        <f>SUMIF(PURCHASE!$X$6:$X$446,$A$5:$A$200,PURCHASE!$K$6:$K$446)</f>
        <v>0</v>
      </c>
      <c r="G27" s="36">
        <f>SUMIF(PURCHASE!$X$6:$X$446,$A$5:$A$200,PURCHASE!$L$6:$L$446)</f>
        <v>0</v>
      </c>
      <c r="H27" s="36">
        <f>SUMIF(PURCHASE!$X$6:$X$446,$A$5:$A$200,PURCHASE!$M$6:$M$446)</f>
        <v>0</v>
      </c>
      <c r="I27" s="36">
        <f>SUMIF(PURCHASE!$X$6:$X$446,$A$5:$A$200,PURCHASE!$N$6:$N$446)</f>
        <v>0</v>
      </c>
      <c r="J27" s="36">
        <f>SUMIF(PURCHASE!$X$6:$X$446,$A$5:$A$200,PURCHASE!$O$6:$O$446)</f>
        <v>0</v>
      </c>
    </row>
    <row r="28" spans="1:10" x14ac:dyDescent="0.3">
      <c r="A28" s="214">
        <v>40151900</v>
      </c>
      <c r="B28" s="214" t="s">
        <v>470</v>
      </c>
      <c r="C28" s="215" t="s">
        <v>246</v>
      </c>
      <c r="D28" s="36">
        <f>SUMIF(PURCHASE!$X$6:$X$446,$A$5:$A$200,PURCHASE!$AB$6:$AB$446)</f>
        <v>0</v>
      </c>
      <c r="E28" s="36">
        <f>SUMIF(PURCHASE!$X$6:$X$446,$A$5:$A$200,PURCHASE!$E$6:$E$446)</f>
        <v>0</v>
      </c>
      <c r="F28" s="36">
        <f>SUMIF(PURCHASE!$X$6:$X$446,$A$5:$A$200,PURCHASE!$K$6:$K$446)</f>
        <v>0</v>
      </c>
      <c r="G28" s="36">
        <f>SUMIF(PURCHASE!$X$6:$X$446,$A$5:$A$200,PURCHASE!$L$6:$L$446)</f>
        <v>0</v>
      </c>
      <c r="H28" s="36">
        <f>SUMIF(PURCHASE!$X$6:$X$446,$A$5:$A$200,PURCHASE!$M$6:$M$446)</f>
        <v>0</v>
      </c>
      <c r="I28" s="36">
        <f>SUMIF(PURCHASE!$X$6:$X$446,$A$5:$A$200,PURCHASE!$N$6:$N$446)</f>
        <v>0</v>
      </c>
      <c r="J28" s="36">
        <f>SUMIF(PURCHASE!$X$6:$X$446,$A$5:$A$200,PURCHASE!$O$6:$O$446)</f>
        <v>0</v>
      </c>
    </row>
    <row r="29" spans="1:10" x14ac:dyDescent="0.3">
      <c r="A29" s="214">
        <v>40159030</v>
      </c>
      <c r="B29" s="214" t="s">
        <v>471</v>
      </c>
      <c r="C29" s="215" t="s">
        <v>246</v>
      </c>
      <c r="D29" s="36">
        <f>SUMIF(PURCHASE!$X$6:$X$446,$A$5:$A$200,PURCHASE!$AB$6:$AB$446)</f>
        <v>0</v>
      </c>
      <c r="E29" s="36">
        <f>SUMIF(PURCHASE!$X$6:$X$446,$A$5:$A$200,PURCHASE!$E$6:$E$446)</f>
        <v>0</v>
      </c>
      <c r="F29" s="36">
        <f>SUMIF(PURCHASE!$X$6:$X$446,$A$5:$A$200,PURCHASE!$K$6:$K$446)</f>
        <v>0</v>
      </c>
      <c r="G29" s="36">
        <f>SUMIF(PURCHASE!$X$6:$X$446,$A$5:$A$200,PURCHASE!$L$6:$L$446)</f>
        <v>0</v>
      </c>
      <c r="H29" s="36">
        <f>SUMIF(PURCHASE!$X$6:$X$446,$A$5:$A$200,PURCHASE!$M$6:$M$446)</f>
        <v>0</v>
      </c>
      <c r="I29" s="36">
        <f>SUMIF(PURCHASE!$X$6:$X$446,$A$5:$A$200,PURCHASE!$N$6:$N$446)</f>
        <v>0</v>
      </c>
      <c r="J29" s="36">
        <f>SUMIF(PURCHASE!$X$6:$X$446,$A$5:$A$200,PURCHASE!$O$6:$O$446)</f>
        <v>0</v>
      </c>
    </row>
    <row r="30" spans="1:10" x14ac:dyDescent="0.3">
      <c r="A30" s="214">
        <v>85061000</v>
      </c>
      <c r="B30" s="214" t="s">
        <v>472</v>
      </c>
      <c r="C30" s="215" t="s">
        <v>246</v>
      </c>
      <c r="D30" s="36">
        <f>SUMIF(PURCHASE!$X$6:$X$446,$A$5:$A$200,PURCHASE!$AB$6:$AB$446)</f>
        <v>0</v>
      </c>
      <c r="E30" s="36">
        <f>SUMIF(PURCHASE!$X$6:$X$446,$A$5:$A$200,PURCHASE!$E$6:$E$446)</f>
        <v>0</v>
      </c>
      <c r="F30" s="36">
        <f>SUMIF(PURCHASE!$X$6:$X$446,$A$5:$A$200,PURCHASE!$K$6:$K$446)</f>
        <v>0</v>
      </c>
      <c r="G30" s="36">
        <f>SUMIF(PURCHASE!$X$6:$X$446,$A$5:$A$200,PURCHASE!$L$6:$L$446)</f>
        <v>0</v>
      </c>
      <c r="H30" s="36">
        <f>SUMIF(PURCHASE!$X$6:$X$446,$A$5:$A$200,PURCHASE!$M$6:$M$446)</f>
        <v>0</v>
      </c>
      <c r="I30" s="36">
        <f>SUMIF(PURCHASE!$X$6:$X$446,$A$5:$A$200,PURCHASE!$N$6:$N$446)</f>
        <v>0</v>
      </c>
      <c r="J30" s="36">
        <f>SUMIF(PURCHASE!$X$6:$X$446,$A$5:$A$200,PURCHASE!$O$6:$O$446)</f>
        <v>0</v>
      </c>
    </row>
    <row r="31" spans="1:10" x14ac:dyDescent="0.3">
      <c r="A31" s="214">
        <v>38089199</v>
      </c>
      <c r="B31" s="214" t="s">
        <v>473</v>
      </c>
      <c r="C31" s="215" t="s">
        <v>246</v>
      </c>
      <c r="D31" s="36">
        <f>SUMIF(PURCHASE!$X$6:$X$446,$A$5:$A$200,PURCHASE!$AB$6:$AB$446)</f>
        <v>0</v>
      </c>
      <c r="E31" s="36">
        <f>SUMIF(PURCHASE!$X$6:$X$446,$A$5:$A$200,PURCHASE!$E$6:$E$446)</f>
        <v>0</v>
      </c>
      <c r="F31" s="36">
        <f>SUMIF(PURCHASE!$X$6:$X$446,$A$5:$A$200,PURCHASE!$K$6:$K$446)</f>
        <v>0</v>
      </c>
      <c r="G31" s="36">
        <f>SUMIF(PURCHASE!$X$6:$X$446,$A$5:$A$200,PURCHASE!$L$6:$L$446)</f>
        <v>0</v>
      </c>
      <c r="H31" s="36">
        <f>SUMIF(PURCHASE!$X$6:$X$446,$A$5:$A$200,PURCHASE!$M$6:$M$446)</f>
        <v>0</v>
      </c>
      <c r="I31" s="36">
        <f>SUMIF(PURCHASE!$X$6:$X$446,$A$5:$A$200,PURCHASE!$N$6:$N$446)</f>
        <v>0</v>
      </c>
      <c r="J31" s="36">
        <f>SUMIF(PURCHASE!$X$6:$X$446,$A$5:$A$200,PURCHASE!$O$6:$O$446)</f>
        <v>0</v>
      </c>
    </row>
    <row r="32" spans="1:10" x14ac:dyDescent="0.3">
      <c r="A32" s="214">
        <v>68053050</v>
      </c>
      <c r="B32" s="214" t="s">
        <v>474</v>
      </c>
      <c r="C32" s="215" t="s">
        <v>246</v>
      </c>
      <c r="D32" s="36">
        <f>SUMIF(PURCHASE!$X$6:$X$446,$A$5:$A$200,PURCHASE!$AB$6:$AB$446)</f>
        <v>0</v>
      </c>
      <c r="E32" s="36">
        <f>SUMIF(PURCHASE!$X$6:$X$446,$A$5:$A$200,PURCHASE!$E$6:$E$446)</f>
        <v>0</v>
      </c>
      <c r="F32" s="36">
        <f>SUMIF(PURCHASE!$X$6:$X$446,$A$5:$A$200,PURCHASE!$K$6:$K$446)</f>
        <v>0</v>
      </c>
      <c r="G32" s="36">
        <f>SUMIF(PURCHASE!$X$6:$X$446,$A$5:$A$200,PURCHASE!$L$6:$L$446)</f>
        <v>0</v>
      </c>
      <c r="H32" s="36">
        <f>SUMIF(PURCHASE!$X$6:$X$446,$A$5:$A$200,PURCHASE!$M$6:$M$446)</f>
        <v>0</v>
      </c>
      <c r="I32" s="36">
        <f>SUMIF(PURCHASE!$X$6:$X$446,$A$5:$A$200,PURCHASE!$N$6:$N$446)</f>
        <v>0</v>
      </c>
      <c r="J32" s="36">
        <f>SUMIF(PURCHASE!$X$6:$X$446,$A$5:$A$200,PURCHASE!$O$6:$O$446)</f>
        <v>0</v>
      </c>
    </row>
    <row r="33" spans="1:10" x14ac:dyDescent="0.3">
      <c r="A33" s="214">
        <v>28530010</v>
      </c>
      <c r="B33" s="214" t="s">
        <v>475</v>
      </c>
      <c r="C33" s="215" t="s">
        <v>246</v>
      </c>
      <c r="D33" s="36">
        <f>SUMIF(PURCHASE!$X$6:$X$446,$A$5:$A$200,PURCHASE!$AB$6:$AB$446)</f>
        <v>0</v>
      </c>
      <c r="E33" s="36">
        <f>SUMIF(PURCHASE!$X$6:$X$446,$A$5:$A$200,PURCHASE!$E$6:$E$446)</f>
        <v>0</v>
      </c>
      <c r="F33" s="36">
        <f>SUMIF(PURCHASE!$X$6:$X$446,$A$5:$A$200,PURCHASE!$K$6:$K$446)</f>
        <v>0</v>
      </c>
      <c r="G33" s="36">
        <f>SUMIF(PURCHASE!$X$6:$X$446,$A$5:$A$200,PURCHASE!$L$6:$L$446)</f>
        <v>0</v>
      </c>
      <c r="H33" s="36">
        <f>SUMIF(PURCHASE!$X$6:$X$446,$A$5:$A$200,PURCHASE!$M$6:$M$446)</f>
        <v>0</v>
      </c>
      <c r="I33" s="36">
        <f>SUMIF(PURCHASE!$X$6:$X$446,$A$5:$A$200,PURCHASE!$N$6:$N$446)</f>
        <v>0</v>
      </c>
      <c r="J33" s="36">
        <f>SUMIF(PURCHASE!$X$6:$X$446,$A$5:$A$200,PURCHASE!$O$6:$O$446)</f>
        <v>0</v>
      </c>
    </row>
    <row r="34" spans="1:10" x14ac:dyDescent="0.3">
      <c r="A34" s="214">
        <v>82055990</v>
      </c>
      <c r="B34" s="214" t="s">
        <v>476</v>
      </c>
      <c r="C34" s="215" t="s">
        <v>246</v>
      </c>
      <c r="D34" s="36">
        <f>SUMIF(PURCHASE!$X$6:$X$446,$A$5:$A$200,PURCHASE!$AB$6:$AB$446)</f>
        <v>0</v>
      </c>
      <c r="E34" s="36">
        <f>SUMIF(PURCHASE!$X$6:$X$446,$A$5:$A$200,PURCHASE!$E$6:$E$446)</f>
        <v>0</v>
      </c>
      <c r="F34" s="36">
        <f>SUMIF(PURCHASE!$X$6:$X$446,$A$5:$A$200,PURCHASE!$K$6:$K$446)</f>
        <v>0</v>
      </c>
      <c r="G34" s="36">
        <f>SUMIF(PURCHASE!$X$6:$X$446,$A$5:$A$200,PURCHASE!$L$6:$L$446)</f>
        <v>0</v>
      </c>
      <c r="H34" s="36">
        <f>SUMIF(PURCHASE!$X$6:$X$446,$A$5:$A$200,PURCHASE!$M$6:$M$446)</f>
        <v>0</v>
      </c>
      <c r="I34" s="36">
        <f>SUMIF(PURCHASE!$X$6:$X$446,$A$5:$A$200,PURCHASE!$N$6:$N$446)</f>
        <v>0</v>
      </c>
      <c r="J34" s="36">
        <f>SUMIF(PURCHASE!$X$6:$X$446,$A$5:$A$200,PURCHASE!$O$6:$O$446)</f>
        <v>0</v>
      </c>
    </row>
    <row r="35" spans="1:10" x14ac:dyDescent="0.3">
      <c r="A35" s="214">
        <v>39232100</v>
      </c>
      <c r="B35" s="214" t="s">
        <v>477</v>
      </c>
      <c r="C35" s="215" t="s">
        <v>246</v>
      </c>
      <c r="D35" s="36">
        <f>SUMIF(PURCHASE!$X$6:$X$446,$A$5:$A$200,PURCHASE!$AB$6:$AB$446)</f>
        <v>0</v>
      </c>
      <c r="E35" s="36">
        <f>SUMIF(PURCHASE!$X$6:$X$446,$A$5:$A$200,PURCHASE!$E$6:$E$446)</f>
        <v>0</v>
      </c>
      <c r="F35" s="36">
        <f>SUMIF(PURCHASE!$X$6:$X$446,$A$5:$A$200,PURCHASE!$K$6:$K$446)</f>
        <v>0</v>
      </c>
      <c r="G35" s="36">
        <f>SUMIF(PURCHASE!$X$6:$X$446,$A$5:$A$200,PURCHASE!$L$6:$L$446)</f>
        <v>0</v>
      </c>
      <c r="H35" s="36">
        <f>SUMIF(PURCHASE!$X$6:$X$446,$A$5:$A$200,PURCHASE!$M$6:$M$446)</f>
        <v>0</v>
      </c>
      <c r="I35" s="36">
        <f>SUMIF(PURCHASE!$X$6:$X$446,$A$5:$A$200,PURCHASE!$N$6:$N$446)</f>
        <v>0</v>
      </c>
      <c r="J35" s="36">
        <f>SUMIF(PURCHASE!$X$6:$X$446,$A$5:$A$200,PURCHASE!$O$6:$O$446)</f>
        <v>0</v>
      </c>
    </row>
    <row r="36" spans="1:10" x14ac:dyDescent="0.3">
      <c r="A36" s="214">
        <v>48114100</v>
      </c>
      <c r="B36" s="214" t="s">
        <v>477</v>
      </c>
      <c r="C36" s="215" t="s">
        <v>246</v>
      </c>
      <c r="D36" s="36">
        <f>SUMIF(PURCHASE!$X$6:$X$446,$A$5:$A$200,PURCHASE!$AB$6:$AB$446)</f>
        <v>0</v>
      </c>
      <c r="E36" s="36">
        <f>SUMIF(PURCHASE!$X$6:$X$446,$A$5:$A$200,PURCHASE!$E$6:$E$446)</f>
        <v>0</v>
      </c>
      <c r="F36" s="36">
        <f>SUMIF(PURCHASE!$X$6:$X$446,$A$5:$A$200,PURCHASE!$K$6:$K$446)</f>
        <v>0</v>
      </c>
      <c r="G36" s="36">
        <f>SUMIF(PURCHASE!$X$6:$X$446,$A$5:$A$200,PURCHASE!$L$6:$L$446)</f>
        <v>0</v>
      </c>
      <c r="H36" s="36">
        <f>SUMIF(PURCHASE!$X$6:$X$446,$A$5:$A$200,PURCHASE!$M$6:$M$446)</f>
        <v>0</v>
      </c>
      <c r="I36" s="36">
        <f>SUMIF(PURCHASE!$X$6:$X$446,$A$5:$A$200,PURCHASE!$N$6:$N$446)</f>
        <v>0</v>
      </c>
      <c r="J36" s="36">
        <f>SUMIF(PURCHASE!$X$6:$X$446,$A$5:$A$200,PURCHASE!$O$6:$O$446)</f>
        <v>0</v>
      </c>
    </row>
    <row r="37" spans="1:10" x14ac:dyDescent="0.3">
      <c r="A37" s="214">
        <v>39199099</v>
      </c>
      <c r="B37" s="214" t="s">
        <v>478</v>
      </c>
      <c r="C37" s="215" t="s">
        <v>246</v>
      </c>
      <c r="D37" s="36">
        <f>SUMIF(PURCHASE!$X$6:$X$446,$A$5:$A$200,PURCHASE!$AB$6:$AB$446)</f>
        <v>0</v>
      </c>
      <c r="E37" s="36">
        <f>SUMIF(PURCHASE!$X$6:$X$446,$A$5:$A$200,PURCHASE!$E$6:$E$446)</f>
        <v>0</v>
      </c>
      <c r="F37" s="36">
        <f>SUMIF(PURCHASE!$X$6:$X$446,$A$5:$A$200,PURCHASE!$K$6:$K$446)</f>
        <v>0</v>
      </c>
      <c r="G37" s="36">
        <f>SUMIF(PURCHASE!$X$6:$X$446,$A$5:$A$200,PURCHASE!$L$6:$L$446)</f>
        <v>0</v>
      </c>
      <c r="H37" s="36">
        <f>SUMIF(PURCHASE!$X$6:$X$446,$A$5:$A$200,PURCHASE!$M$6:$M$446)</f>
        <v>0</v>
      </c>
      <c r="I37" s="36">
        <f>SUMIF(PURCHASE!$X$6:$X$446,$A$5:$A$200,PURCHASE!$N$6:$N$446)</f>
        <v>0</v>
      </c>
      <c r="J37" s="36">
        <f>SUMIF(PURCHASE!$X$6:$X$446,$A$5:$A$200,PURCHASE!$O$6:$O$446)</f>
        <v>0</v>
      </c>
    </row>
    <row r="38" spans="1:10" x14ac:dyDescent="0.3">
      <c r="A38" s="214">
        <v>84411090</v>
      </c>
      <c r="B38" s="214" t="s">
        <v>479</v>
      </c>
      <c r="C38" s="215" t="s">
        <v>246</v>
      </c>
      <c r="D38" s="36">
        <f>SUMIF(PURCHASE!$X$6:$X$446,$A$5:$A$200,PURCHASE!$AB$6:$AB$446)</f>
        <v>144</v>
      </c>
      <c r="E38" s="36">
        <f>SUMIF(PURCHASE!$X$6:$X$446,$A$5:$A$200,PURCHASE!$E$6:$E$446)</f>
        <v>467.28</v>
      </c>
      <c r="F38" s="36">
        <f>SUMIF(PURCHASE!$X$6:$X$446,$A$5:$A$200,PURCHASE!$K$6:$K$446)</f>
        <v>396</v>
      </c>
      <c r="G38" s="36">
        <f>SUMIF(PURCHASE!$X$6:$X$446,$A$5:$A$200,PURCHASE!$L$6:$L$446)</f>
        <v>0</v>
      </c>
      <c r="H38" s="36">
        <f>SUMIF(PURCHASE!$X$6:$X$446,$A$5:$A$200,PURCHASE!$M$6:$M$446)</f>
        <v>35.64</v>
      </c>
      <c r="I38" s="36">
        <f>SUMIF(PURCHASE!$X$6:$X$446,$A$5:$A$200,PURCHASE!$N$6:$N$446)</f>
        <v>35.64</v>
      </c>
      <c r="J38" s="36">
        <f>SUMIF(PURCHASE!$X$6:$X$446,$A$5:$A$200,PURCHASE!$O$6:$O$446)</f>
        <v>0</v>
      </c>
    </row>
    <row r="39" spans="1:10" x14ac:dyDescent="0.3">
      <c r="A39" s="214">
        <v>84701000</v>
      </c>
      <c r="B39" s="214" t="s">
        <v>480</v>
      </c>
      <c r="C39" s="215" t="s">
        <v>246</v>
      </c>
      <c r="D39" s="36">
        <f>SUMIF(PURCHASE!$X$6:$X$446,$A$5:$A$200,PURCHASE!$AB$6:$AB$446)</f>
        <v>0</v>
      </c>
      <c r="E39" s="36">
        <f>SUMIF(PURCHASE!$X$6:$X$446,$A$5:$A$200,PURCHASE!$E$6:$E$446)</f>
        <v>0</v>
      </c>
      <c r="F39" s="36">
        <f>SUMIF(PURCHASE!$X$6:$X$446,$A$5:$A$200,PURCHASE!$K$6:$K$446)</f>
        <v>0</v>
      </c>
      <c r="G39" s="36">
        <f>SUMIF(PURCHASE!$X$6:$X$446,$A$5:$A$200,PURCHASE!$L$6:$L$446)</f>
        <v>0</v>
      </c>
      <c r="H39" s="36">
        <f>SUMIF(PURCHASE!$X$6:$X$446,$A$5:$A$200,PURCHASE!$M$6:$M$446)</f>
        <v>0</v>
      </c>
      <c r="I39" s="36">
        <f>SUMIF(PURCHASE!$X$6:$X$446,$A$5:$A$200,PURCHASE!$N$6:$N$446)</f>
        <v>0</v>
      </c>
      <c r="J39" s="36">
        <f>SUMIF(PURCHASE!$X$6:$X$446,$A$5:$A$200,PURCHASE!$O$6:$O$446)</f>
        <v>0</v>
      </c>
    </row>
    <row r="40" spans="1:10" x14ac:dyDescent="0.3">
      <c r="A40" s="214">
        <v>29023000</v>
      </c>
      <c r="B40" s="214" t="s">
        <v>481</v>
      </c>
      <c r="C40" s="215" t="s">
        <v>246</v>
      </c>
      <c r="D40" s="36">
        <f>SUMIF(PURCHASE!$X$6:$X$446,$A$5:$A$200,PURCHASE!$AB$6:$AB$446)</f>
        <v>0</v>
      </c>
      <c r="E40" s="36">
        <f>SUMIF(PURCHASE!$X$6:$X$446,$A$5:$A$200,PURCHASE!$E$6:$E$446)</f>
        <v>0</v>
      </c>
      <c r="F40" s="36">
        <f>SUMIF(PURCHASE!$X$6:$X$446,$A$5:$A$200,PURCHASE!$K$6:$K$446)</f>
        <v>0</v>
      </c>
      <c r="G40" s="36">
        <f>SUMIF(PURCHASE!$X$6:$X$446,$A$5:$A$200,PURCHASE!$L$6:$L$446)</f>
        <v>0</v>
      </c>
      <c r="H40" s="36">
        <f>SUMIF(PURCHASE!$X$6:$X$446,$A$5:$A$200,PURCHASE!$M$6:$M$446)</f>
        <v>0</v>
      </c>
      <c r="I40" s="36">
        <f>SUMIF(PURCHASE!$X$6:$X$446,$A$5:$A$200,PURCHASE!$N$6:$N$446)</f>
        <v>0</v>
      </c>
      <c r="J40" s="36">
        <f>SUMIF(PURCHASE!$X$6:$X$446,$A$5:$A$200,PURCHASE!$O$6:$O$446)</f>
        <v>0</v>
      </c>
    </row>
    <row r="41" spans="1:10" x14ac:dyDescent="0.3">
      <c r="A41" s="214">
        <v>29051220</v>
      </c>
      <c r="B41" s="214" t="s">
        <v>482</v>
      </c>
      <c r="C41" s="215" t="s">
        <v>237</v>
      </c>
      <c r="D41" s="36">
        <f>SUMIF(PURCHASE!$X$6:$X$446,$A$5:$A$200,PURCHASE!$AB$6:$AB$446)</f>
        <v>0</v>
      </c>
      <c r="E41" s="36">
        <f>SUMIF(PURCHASE!$X$6:$X$446,$A$5:$A$200,PURCHASE!$E$6:$E$446)</f>
        <v>0</v>
      </c>
      <c r="F41" s="36">
        <f>SUMIF(PURCHASE!$X$6:$X$446,$A$5:$A$200,PURCHASE!$K$6:$K$446)</f>
        <v>0</v>
      </c>
      <c r="G41" s="36">
        <f>SUMIF(PURCHASE!$X$6:$X$446,$A$5:$A$200,PURCHASE!$L$6:$L$446)</f>
        <v>0</v>
      </c>
      <c r="H41" s="36">
        <f>SUMIF(PURCHASE!$X$6:$X$446,$A$5:$A$200,PURCHASE!$M$6:$M$446)</f>
        <v>0</v>
      </c>
      <c r="I41" s="36">
        <f>SUMIF(PURCHASE!$X$6:$X$446,$A$5:$A$200,PURCHASE!$N$6:$N$446)</f>
        <v>0</v>
      </c>
      <c r="J41" s="36">
        <f>SUMIF(PURCHASE!$X$6:$X$446,$A$5:$A$200,PURCHASE!$O$6:$O$446)</f>
        <v>0</v>
      </c>
    </row>
    <row r="42" spans="1:10" x14ac:dyDescent="0.3">
      <c r="A42" s="214">
        <v>63079090</v>
      </c>
      <c r="B42" s="214" t="s">
        <v>483</v>
      </c>
      <c r="C42" s="215" t="s">
        <v>246</v>
      </c>
      <c r="D42" s="36">
        <f>SUMIF(PURCHASE!$X$6:$X$446,$A$5:$A$200,PURCHASE!$AB$6:$AB$446)</f>
        <v>0</v>
      </c>
      <c r="E42" s="36">
        <f>SUMIF(PURCHASE!$X$6:$X$446,$A$5:$A$200,PURCHASE!$E$6:$E$446)</f>
        <v>0</v>
      </c>
      <c r="F42" s="36">
        <f>SUMIF(PURCHASE!$X$6:$X$446,$A$5:$A$200,PURCHASE!$K$6:$K$446)</f>
        <v>0</v>
      </c>
      <c r="G42" s="36">
        <f>SUMIF(PURCHASE!$X$6:$X$446,$A$5:$A$200,PURCHASE!$L$6:$L$446)</f>
        <v>0</v>
      </c>
      <c r="H42" s="36">
        <f>SUMIF(PURCHASE!$X$6:$X$446,$A$5:$A$200,PURCHASE!$M$6:$M$446)</f>
        <v>0</v>
      </c>
      <c r="I42" s="36">
        <f>SUMIF(PURCHASE!$X$6:$X$446,$A$5:$A$200,PURCHASE!$N$6:$N$446)</f>
        <v>0</v>
      </c>
      <c r="J42" s="36">
        <f>SUMIF(PURCHASE!$X$6:$X$446,$A$5:$A$200,PURCHASE!$O$6:$O$446)</f>
        <v>0</v>
      </c>
    </row>
    <row r="43" spans="1:10" x14ac:dyDescent="0.3">
      <c r="A43" s="214">
        <v>29029090</v>
      </c>
      <c r="B43" s="214" t="s">
        <v>484</v>
      </c>
      <c r="C43" s="215" t="s">
        <v>246</v>
      </c>
      <c r="D43" s="36">
        <f>SUMIF(PURCHASE!$X$6:$X$446,$A$5:$A$200,PURCHASE!$AB$6:$AB$446)</f>
        <v>0</v>
      </c>
      <c r="E43" s="36">
        <f>SUMIF(PURCHASE!$X$6:$X$446,$A$5:$A$200,PURCHASE!$E$6:$E$446)</f>
        <v>0</v>
      </c>
      <c r="F43" s="36">
        <f>SUMIF(PURCHASE!$X$6:$X$446,$A$5:$A$200,PURCHASE!$K$6:$K$446)</f>
        <v>0</v>
      </c>
      <c r="G43" s="36">
        <f>SUMIF(PURCHASE!$X$6:$X$446,$A$5:$A$200,PURCHASE!$L$6:$L$446)</f>
        <v>0</v>
      </c>
      <c r="H43" s="36">
        <f>SUMIF(PURCHASE!$X$6:$X$446,$A$5:$A$200,PURCHASE!$M$6:$M$446)</f>
        <v>0</v>
      </c>
      <c r="I43" s="36">
        <f>SUMIF(PURCHASE!$X$6:$X$446,$A$5:$A$200,PURCHASE!$N$6:$N$446)</f>
        <v>0</v>
      </c>
      <c r="J43" s="36">
        <f>SUMIF(PURCHASE!$X$6:$X$446,$A$5:$A$200,PURCHASE!$O$6:$O$446)</f>
        <v>0</v>
      </c>
    </row>
    <row r="44" spans="1:10" x14ac:dyDescent="0.3">
      <c r="A44" s="214">
        <v>34022090</v>
      </c>
      <c r="B44" s="214" t="s">
        <v>485</v>
      </c>
      <c r="C44" s="215" t="s">
        <v>246</v>
      </c>
      <c r="D44" s="36">
        <f>SUMIF(PURCHASE!$X$6:$X$446,$A$5:$A$200,PURCHASE!$AB$6:$AB$446)</f>
        <v>0</v>
      </c>
      <c r="E44" s="36">
        <f>SUMIF(PURCHASE!$X$6:$X$446,$A$5:$A$200,PURCHASE!$E$6:$E$446)</f>
        <v>0</v>
      </c>
      <c r="F44" s="36">
        <f>SUMIF(PURCHASE!$X$6:$X$446,$A$5:$A$200,PURCHASE!$K$6:$K$446)</f>
        <v>0</v>
      </c>
      <c r="G44" s="36">
        <f>SUMIF(PURCHASE!$X$6:$X$446,$A$5:$A$200,PURCHASE!$L$6:$L$446)</f>
        <v>0</v>
      </c>
      <c r="H44" s="36">
        <f>SUMIF(PURCHASE!$X$6:$X$446,$A$5:$A$200,PURCHASE!$M$6:$M$446)</f>
        <v>0</v>
      </c>
      <c r="I44" s="36">
        <f>SUMIF(PURCHASE!$X$6:$X$446,$A$5:$A$200,PURCHASE!$N$6:$N$446)</f>
        <v>0</v>
      </c>
      <c r="J44" s="36">
        <f>SUMIF(PURCHASE!$X$6:$X$446,$A$5:$A$200,PURCHASE!$O$6:$O$446)</f>
        <v>0</v>
      </c>
    </row>
    <row r="45" spans="1:10" x14ac:dyDescent="0.3">
      <c r="A45" s="214">
        <v>25232910</v>
      </c>
      <c r="B45" s="214" t="s">
        <v>486</v>
      </c>
      <c r="C45" s="215" t="s">
        <v>246</v>
      </c>
      <c r="D45" s="36">
        <f>SUMIF(PURCHASE!$X$6:$X$446,$A$5:$A$200,PURCHASE!$AB$6:$AB$446)</f>
        <v>0</v>
      </c>
      <c r="E45" s="36">
        <f>SUMIF(PURCHASE!$X$6:$X$446,$A$5:$A$200,PURCHASE!$E$6:$E$446)</f>
        <v>0</v>
      </c>
      <c r="F45" s="36">
        <f>SUMIF(PURCHASE!$X$6:$X$446,$A$5:$A$200,PURCHASE!$K$6:$K$446)</f>
        <v>0</v>
      </c>
      <c r="G45" s="36">
        <f>SUMIF(PURCHASE!$X$6:$X$446,$A$5:$A$200,PURCHASE!$L$6:$L$446)</f>
        <v>0</v>
      </c>
      <c r="H45" s="36">
        <f>SUMIF(PURCHASE!$X$6:$X$446,$A$5:$A$200,PURCHASE!$M$6:$M$446)</f>
        <v>0</v>
      </c>
      <c r="I45" s="36">
        <f>SUMIF(PURCHASE!$X$6:$X$446,$A$5:$A$200,PURCHASE!$N$6:$N$446)</f>
        <v>0</v>
      </c>
      <c r="J45" s="36">
        <f>SUMIF(PURCHASE!$X$6:$X$446,$A$5:$A$200,PURCHASE!$O$6:$O$446)</f>
        <v>0</v>
      </c>
    </row>
    <row r="46" spans="1:10" x14ac:dyDescent="0.3">
      <c r="A46" s="214">
        <v>14976</v>
      </c>
      <c r="B46" s="214" t="s">
        <v>458</v>
      </c>
      <c r="C46" s="215" t="s">
        <v>246</v>
      </c>
      <c r="D46" s="36">
        <f>SUMIF(PURCHASE!$X$6:$X$446,$A$5:$A$200,PURCHASE!$AB$6:$AB$446)</f>
        <v>0</v>
      </c>
      <c r="E46" s="36">
        <f>SUMIF(PURCHASE!$X$6:$X$446,$A$5:$A$200,PURCHASE!$E$6:$E$446)</f>
        <v>0</v>
      </c>
      <c r="F46" s="36">
        <f>SUMIF(PURCHASE!$X$6:$X$446,$A$5:$A$200,PURCHASE!$K$6:$K$446)</f>
        <v>0</v>
      </c>
      <c r="G46" s="36">
        <f>SUMIF(PURCHASE!$X$6:$X$446,$A$5:$A$200,PURCHASE!$L$6:$L$446)</f>
        <v>0</v>
      </c>
      <c r="H46" s="36">
        <f>SUMIF(PURCHASE!$X$6:$X$446,$A$5:$A$200,PURCHASE!$M$6:$M$446)</f>
        <v>0</v>
      </c>
      <c r="I46" s="36">
        <f>SUMIF(PURCHASE!$X$6:$X$446,$A$5:$A$200,PURCHASE!$N$6:$N$446)</f>
        <v>0</v>
      </c>
      <c r="J46" s="36">
        <f>SUMIF(PURCHASE!$X$6:$X$446,$A$5:$A$200,PURCHASE!$O$6:$O$446)</f>
        <v>0</v>
      </c>
    </row>
    <row r="47" spans="1:10" x14ac:dyDescent="0.3">
      <c r="A47" s="214">
        <v>84717020</v>
      </c>
      <c r="B47" s="214" t="s">
        <v>487</v>
      </c>
      <c r="C47" s="215" t="s">
        <v>246</v>
      </c>
      <c r="D47" s="36">
        <f>SUMIF(PURCHASE!$X$6:$X$446,$A$5:$A$200,PURCHASE!$AB$6:$AB$446)</f>
        <v>0</v>
      </c>
      <c r="E47" s="36">
        <f>SUMIF(PURCHASE!$X$6:$X$446,$A$5:$A$200,PURCHASE!$E$6:$E$446)</f>
        <v>0</v>
      </c>
      <c r="F47" s="36">
        <f>SUMIF(PURCHASE!$X$6:$X$446,$A$5:$A$200,PURCHASE!$K$6:$K$446)</f>
        <v>0</v>
      </c>
      <c r="G47" s="36">
        <f>SUMIF(PURCHASE!$X$6:$X$446,$A$5:$A$200,PURCHASE!$L$6:$L$446)</f>
        <v>0</v>
      </c>
      <c r="H47" s="36">
        <f>SUMIF(PURCHASE!$X$6:$X$446,$A$5:$A$200,PURCHASE!$M$6:$M$446)</f>
        <v>0</v>
      </c>
      <c r="I47" s="36">
        <f>SUMIF(PURCHASE!$X$6:$X$446,$A$5:$A$200,PURCHASE!$N$6:$N$446)</f>
        <v>0</v>
      </c>
      <c r="J47" s="36">
        <f>SUMIF(PURCHASE!$X$6:$X$446,$A$5:$A$200,PURCHASE!$O$6:$O$446)</f>
        <v>0</v>
      </c>
    </row>
    <row r="48" spans="1:10" x14ac:dyDescent="0.3">
      <c r="A48" s="214">
        <v>84733099</v>
      </c>
      <c r="B48" s="214" t="s">
        <v>488</v>
      </c>
      <c r="C48" s="215" t="s">
        <v>246</v>
      </c>
      <c r="D48" s="36">
        <f>SUMIF(PURCHASE!$X$6:$X$446,$A$5:$A$200,PURCHASE!$AB$6:$AB$446)</f>
        <v>0</v>
      </c>
      <c r="E48" s="36">
        <f>SUMIF(PURCHASE!$X$6:$X$446,$A$5:$A$200,PURCHASE!$E$6:$E$446)</f>
        <v>0</v>
      </c>
      <c r="F48" s="36">
        <f>SUMIF(PURCHASE!$X$6:$X$446,$A$5:$A$200,PURCHASE!$K$6:$K$446)</f>
        <v>0</v>
      </c>
      <c r="G48" s="36">
        <f>SUMIF(PURCHASE!$X$6:$X$446,$A$5:$A$200,PURCHASE!$L$6:$L$446)</f>
        <v>0</v>
      </c>
      <c r="H48" s="36">
        <f>SUMIF(PURCHASE!$X$6:$X$446,$A$5:$A$200,PURCHASE!$M$6:$M$446)</f>
        <v>0</v>
      </c>
      <c r="I48" s="36">
        <f>SUMIF(PURCHASE!$X$6:$X$446,$A$5:$A$200,PURCHASE!$N$6:$N$446)</f>
        <v>0</v>
      </c>
      <c r="J48" s="36">
        <f>SUMIF(PURCHASE!$X$6:$X$446,$A$5:$A$200,PURCHASE!$O$6:$O$446)</f>
        <v>0</v>
      </c>
    </row>
    <row r="49" spans="1:10" x14ac:dyDescent="0.3">
      <c r="A49" s="214">
        <v>998933</v>
      </c>
      <c r="B49" s="214" t="s">
        <v>81</v>
      </c>
      <c r="C49" s="215" t="s">
        <v>246</v>
      </c>
      <c r="D49" s="36">
        <f>SUMIF(PURCHASE!$X$6:$X$446,$A$5:$A$200,PURCHASE!$AB$6:$AB$446)</f>
        <v>256</v>
      </c>
      <c r="E49" s="36">
        <f>SUMIF(PURCHASE!$X$6:$X$446,$A$5:$A$200,PURCHASE!$E$6:$E$446)</f>
        <v>2868.58</v>
      </c>
      <c r="F49" s="36">
        <f>SUMIF(PURCHASE!$X$6:$X$446,$A$5:$A$200,PURCHASE!$K$6:$K$446)</f>
        <v>2431</v>
      </c>
      <c r="G49" s="36">
        <f>SUMIF(PURCHASE!$X$6:$X$446,$A$5:$A$200,PURCHASE!$L$6:$L$446)</f>
        <v>0</v>
      </c>
      <c r="H49" s="36">
        <f>SUMIF(PURCHASE!$X$6:$X$446,$A$5:$A$200,PURCHASE!$M$6:$M$446)</f>
        <v>218.79</v>
      </c>
      <c r="I49" s="36">
        <f>SUMIF(PURCHASE!$X$6:$X$446,$A$5:$A$200,PURCHASE!$N$6:$N$446)</f>
        <v>218.79</v>
      </c>
      <c r="J49" s="36">
        <f>SUMIF(PURCHASE!$X$6:$X$446,$A$5:$A$200,PURCHASE!$O$6:$O$446)</f>
        <v>0</v>
      </c>
    </row>
    <row r="50" spans="1:10" x14ac:dyDescent="0.3">
      <c r="A50" s="214">
        <v>32081090</v>
      </c>
      <c r="B50" s="214" t="s">
        <v>86</v>
      </c>
      <c r="C50" s="215" t="s">
        <v>237</v>
      </c>
      <c r="D50" s="36">
        <f>SUMIF(PURCHASE!$X$6:$X$446,$A$5:$A$200,PURCHASE!$AB$6:$AB$446)</f>
        <v>36</v>
      </c>
      <c r="E50" s="36">
        <f>SUMIF(PURCHASE!$X$6:$X$446,$A$5:$A$200,PURCHASE!$E$6:$E$446)</f>
        <v>30320.639999999999</v>
      </c>
      <c r="F50" s="36">
        <f>SUMIF(PURCHASE!$X$6:$X$446,$A$5:$A$200,PURCHASE!$K$6:$K$446)</f>
        <v>23688</v>
      </c>
      <c r="G50" s="36">
        <f>SUMIF(PURCHASE!$X$6:$X$446,$A$5:$A$200,PURCHASE!$L$6:$L$446)</f>
        <v>0</v>
      </c>
      <c r="H50" s="36">
        <f>SUMIF(PURCHASE!$X$6:$X$446,$A$5:$A$200,PURCHASE!$M$6:$M$446)</f>
        <v>3316.32</v>
      </c>
      <c r="I50" s="36">
        <f>SUMIF(PURCHASE!$X$6:$X$446,$A$5:$A$200,PURCHASE!$N$6:$N$446)</f>
        <v>3316.32</v>
      </c>
      <c r="J50" s="36">
        <f>SUMIF(PURCHASE!$X$6:$X$446,$A$5:$A$200,PURCHASE!$O$6:$O$446)</f>
        <v>0</v>
      </c>
    </row>
    <row r="51" spans="1:10" x14ac:dyDescent="0.3">
      <c r="A51" s="214">
        <v>39199090</v>
      </c>
      <c r="B51" s="214" t="s">
        <v>81</v>
      </c>
      <c r="C51" s="215" t="s">
        <v>246</v>
      </c>
      <c r="D51" s="36">
        <f>SUMIF(PURCHASE!$X$6:$X$446,$A$5:$A$200,PURCHASE!$AB$6:$AB$446)</f>
        <v>1085</v>
      </c>
      <c r="E51" s="36">
        <f>SUMIF(PURCHASE!$X$6:$X$446,$A$5:$A$200,PURCHASE!$E$6:$E$446)</f>
        <v>58274.048000000003</v>
      </c>
      <c r="F51" s="36">
        <f>SUMIF(PURCHASE!$X$6:$X$446,$A$5:$A$200,PURCHASE!$K$6:$K$446)</f>
        <v>45526.6</v>
      </c>
      <c r="G51" s="36">
        <f>SUMIF(PURCHASE!$X$6:$X$446,$A$5:$A$200,PURCHASE!$L$6:$L$446)</f>
        <v>0</v>
      </c>
      <c r="H51" s="36">
        <f>SUMIF(PURCHASE!$X$6:$X$446,$A$5:$A$200,PURCHASE!$M$6:$M$446)</f>
        <v>6373.7239999999993</v>
      </c>
      <c r="I51" s="36">
        <f>SUMIF(PURCHASE!$X$6:$X$446,$A$5:$A$200,PURCHASE!$N$6:$N$446)</f>
        <v>6373.7239999999993</v>
      </c>
      <c r="J51" s="36">
        <f>SUMIF(PURCHASE!$X$6:$X$446,$A$5:$A$200,PURCHASE!$O$6:$O$446)</f>
        <v>0</v>
      </c>
    </row>
    <row r="52" spans="1:10" x14ac:dyDescent="0.3">
      <c r="A52" s="214">
        <v>32089022</v>
      </c>
      <c r="B52" s="214" t="s">
        <v>86</v>
      </c>
      <c r="C52" s="215" t="s">
        <v>246</v>
      </c>
      <c r="D52" s="36">
        <f>SUMIF(PURCHASE!$X$6:$X$446,$A$5:$A$200,PURCHASE!$AB$6:$AB$446)</f>
        <v>0</v>
      </c>
      <c r="E52" s="36">
        <f>SUMIF(PURCHASE!$X$6:$X$446,$A$5:$A$200,PURCHASE!$E$6:$E$446)</f>
        <v>0</v>
      </c>
      <c r="F52" s="36">
        <f>SUMIF(PURCHASE!$X$6:$X$446,$A$5:$A$200,PURCHASE!$K$6:$K$446)</f>
        <v>0</v>
      </c>
      <c r="G52" s="36">
        <f>SUMIF(PURCHASE!$X$6:$X$446,$A$5:$A$200,PURCHASE!$L$6:$L$446)</f>
        <v>0</v>
      </c>
      <c r="H52" s="36">
        <f>SUMIF(PURCHASE!$X$6:$X$446,$A$5:$A$200,PURCHASE!$M$6:$M$446)</f>
        <v>0</v>
      </c>
      <c r="I52" s="36">
        <f>SUMIF(PURCHASE!$X$6:$X$446,$A$5:$A$200,PURCHASE!$N$6:$N$446)</f>
        <v>0</v>
      </c>
      <c r="J52" s="36">
        <f>SUMIF(PURCHASE!$X$6:$X$446,$A$5:$A$200,PURCHASE!$O$6:$O$446)</f>
        <v>0</v>
      </c>
    </row>
    <row r="53" spans="1:10" x14ac:dyDescent="0.3">
      <c r="A53" s="214">
        <v>3208</v>
      </c>
      <c r="B53" s="214" t="s">
        <v>458</v>
      </c>
      <c r="C53" s="215" t="s">
        <v>246</v>
      </c>
      <c r="D53" s="36">
        <f>SUMIF(PURCHASE!$X$6:$X$446,$A$5:$A$200,PURCHASE!$AB$6:$AB$446)</f>
        <v>707</v>
      </c>
      <c r="E53" s="36">
        <f>SUMIF(PURCHASE!$X$6:$X$446,$A$5:$A$200,PURCHASE!$E$6:$E$446)</f>
        <v>309375.87199999997</v>
      </c>
      <c r="F53" s="36">
        <f>SUMIF(PURCHASE!$X$6:$X$446,$A$5:$A$200,PURCHASE!$K$6:$K$446)</f>
        <v>241699.9</v>
      </c>
      <c r="G53" s="36">
        <f>SUMIF(PURCHASE!$X$6:$X$446,$A$5:$A$200,PURCHASE!$L$6:$L$446)</f>
        <v>0</v>
      </c>
      <c r="H53" s="36">
        <f>SUMIF(PURCHASE!$X$6:$X$446,$A$5:$A$200,PURCHASE!$M$6:$M$446)</f>
        <v>33837.985999999997</v>
      </c>
      <c r="I53" s="36">
        <f>SUMIF(PURCHASE!$X$6:$X$446,$A$5:$A$200,PURCHASE!$N$6:$N$446)</f>
        <v>33837.985999999997</v>
      </c>
      <c r="J53" s="36">
        <f>SUMIF(PURCHASE!$X$6:$X$446,$A$5:$A$200,PURCHASE!$O$6:$O$446)</f>
        <v>0</v>
      </c>
    </row>
    <row r="54" spans="1:10" x14ac:dyDescent="0.3">
      <c r="A54" s="214">
        <v>48171000</v>
      </c>
      <c r="B54" s="214" t="s">
        <v>459</v>
      </c>
      <c r="C54" s="215" t="s">
        <v>246</v>
      </c>
      <c r="D54" s="36">
        <f>SUMIF(PURCHASE!$X$6:$X$446,$A$5:$A$200,PURCHASE!$AB$6:$AB$446)</f>
        <v>0</v>
      </c>
      <c r="E54" s="36">
        <f>SUMIF(PURCHASE!$X$6:$X$446,$A$5:$A$200,PURCHASE!$E$6:$E$446)</f>
        <v>0</v>
      </c>
      <c r="F54" s="36">
        <f>SUMIF(PURCHASE!$X$6:$X$446,$A$5:$A$200,PURCHASE!$K$6:$K$446)</f>
        <v>0</v>
      </c>
      <c r="G54" s="36">
        <f>SUMIF(PURCHASE!$X$6:$X$446,$A$5:$A$200,PURCHASE!$L$6:$L$446)</f>
        <v>0</v>
      </c>
      <c r="H54" s="36">
        <f>SUMIF(PURCHASE!$X$6:$X$446,$A$5:$A$200,PURCHASE!$M$6:$M$446)</f>
        <v>0</v>
      </c>
      <c r="I54" s="36">
        <f>SUMIF(PURCHASE!$X$6:$X$446,$A$5:$A$200,PURCHASE!$N$6:$N$446)</f>
        <v>0</v>
      </c>
      <c r="J54" s="36">
        <f>SUMIF(PURCHASE!$X$6:$X$446,$A$5:$A$200,PURCHASE!$O$6:$O$446)</f>
        <v>0</v>
      </c>
    </row>
    <row r="55" spans="1:10" x14ac:dyDescent="0.3">
      <c r="A55" s="214">
        <v>37079090</v>
      </c>
      <c r="B55" s="214" t="s">
        <v>488</v>
      </c>
      <c r="C55" s="215" t="s">
        <v>246</v>
      </c>
      <c r="D55" s="36">
        <f>SUMIF(PURCHASE!$X$6:$X$446,$A$5:$A$200,PURCHASE!$AB$6:$AB$446)</f>
        <v>1</v>
      </c>
      <c r="E55" s="36">
        <f>SUMIF(PURCHASE!$X$6:$X$446,$A$5:$A$200,PURCHASE!$E$6:$E$446)</f>
        <v>354</v>
      </c>
      <c r="F55" s="36">
        <f>SUMIF(PURCHASE!$X$6:$X$446,$A$5:$A$200,PURCHASE!$K$6:$K$446)</f>
        <v>300</v>
      </c>
      <c r="G55" s="36">
        <f>SUMIF(PURCHASE!$X$6:$X$446,$A$5:$A$200,PURCHASE!$L$6:$L$446)</f>
        <v>0</v>
      </c>
      <c r="H55" s="36">
        <f>SUMIF(PURCHASE!$X$6:$X$446,$A$5:$A$200,PURCHASE!$M$6:$M$446)</f>
        <v>27</v>
      </c>
      <c r="I55" s="36">
        <f>SUMIF(PURCHASE!$X$6:$X$446,$A$5:$A$200,PURCHASE!$N$6:$N$446)</f>
        <v>27</v>
      </c>
      <c r="J55" s="36">
        <f>SUMIF(PURCHASE!$X$6:$X$446,$A$5:$A$200,PURCHASE!$O$6:$O$446)</f>
        <v>0</v>
      </c>
    </row>
    <row r="56" spans="1:10" x14ac:dyDescent="0.3">
      <c r="A56" s="214">
        <v>84716090</v>
      </c>
      <c r="B56" s="214" t="s">
        <v>488</v>
      </c>
      <c r="C56" s="215" t="s">
        <v>246</v>
      </c>
      <c r="D56" s="36">
        <f>SUMIF(PURCHASE!$X$6:$X$446,$A$5:$A$200,PURCHASE!$AB$6:$AB$446)</f>
        <v>0</v>
      </c>
      <c r="E56" s="36">
        <f>SUMIF(PURCHASE!$X$6:$X$446,$A$5:$A$200,PURCHASE!$E$6:$E$446)</f>
        <v>0</v>
      </c>
      <c r="F56" s="36">
        <f>SUMIF(PURCHASE!$X$6:$X$446,$A$5:$A$200,PURCHASE!$K$6:$K$446)</f>
        <v>0</v>
      </c>
      <c r="G56" s="36">
        <f>SUMIF(PURCHASE!$X$6:$X$446,$A$5:$A$200,PURCHASE!$L$6:$L$446)</f>
        <v>0</v>
      </c>
      <c r="H56" s="36">
        <f>SUMIF(PURCHASE!$X$6:$X$446,$A$5:$A$200,PURCHASE!$M$6:$M$446)</f>
        <v>0</v>
      </c>
      <c r="I56" s="36">
        <f>SUMIF(PURCHASE!$X$6:$X$446,$A$5:$A$200,PURCHASE!$N$6:$N$446)</f>
        <v>0</v>
      </c>
      <c r="J56" s="36">
        <f>SUMIF(PURCHASE!$X$6:$X$446,$A$5:$A$200,PURCHASE!$O$6:$O$446)</f>
        <v>0</v>
      </c>
    </row>
    <row r="57" spans="1:10" x14ac:dyDescent="0.3">
      <c r="A57" s="214">
        <v>38249990</v>
      </c>
      <c r="B57" s="214" t="s">
        <v>86</v>
      </c>
      <c r="C57" s="215" t="s">
        <v>237</v>
      </c>
      <c r="D57" s="36">
        <f>SUMIF(PURCHASE!$X$6:$X$446,$A$5:$A$200,PURCHASE!$AB$6:$AB$446)</f>
        <v>36</v>
      </c>
      <c r="E57" s="36">
        <f>SUMIF(PURCHASE!$X$6:$X$446,$A$5:$A$200,PURCHASE!$E$6:$E$446)</f>
        <v>27385.439999999999</v>
      </c>
      <c r="F57" s="36">
        <f>SUMIF(PURCHASE!$X$6:$X$446,$A$5:$A$200,PURCHASE!$K$6:$K$446)</f>
        <v>23208</v>
      </c>
      <c r="G57" s="36">
        <f>SUMIF(PURCHASE!$X$6:$X$446,$A$5:$A$200,PURCHASE!$L$6:$L$446)</f>
        <v>0</v>
      </c>
      <c r="H57" s="36">
        <f>SUMIF(PURCHASE!$X$6:$X$446,$A$5:$A$200,PURCHASE!$M$6:$M$446)</f>
        <v>2088.7200000000003</v>
      </c>
      <c r="I57" s="36">
        <f>SUMIF(PURCHASE!$X$6:$X$446,$A$5:$A$200,PURCHASE!$N$6:$N$446)</f>
        <v>2088.7200000000003</v>
      </c>
      <c r="J57" s="36">
        <f>SUMIF(PURCHASE!$X$6:$X$446,$A$5:$A$200,PURCHASE!$O$6:$O$446)</f>
        <v>0</v>
      </c>
    </row>
    <row r="58" spans="1:10" x14ac:dyDescent="0.3">
      <c r="A58" s="214">
        <v>32082020</v>
      </c>
      <c r="B58" s="214" t="s">
        <v>86</v>
      </c>
      <c r="C58" s="215" t="s">
        <v>237</v>
      </c>
      <c r="D58" s="36">
        <f>SUMIF(PURCHASE!$X$6:$X$446,$A$5:$A$200,PURCHASE!$AB$6:$AB$446)</f>
        <v>0</v>
      </c>
      <c r="E58" s="36">
        <f>SUMIF(PURCHASE!$X$6:$X$446,$A$5:$A$200,PURCHASE!$E$6:$E$446)</f>
        <v>0</v>
      </c>
      <c r="F58" s="36">
        <f>SUMIF(PURCHASE!$X$6:$X$446,$A$5:$A$200,PURCHASE!$K$6:$K$446)</f>
        <v>0</v>
      </c>
      <c r="G58" s="36">
        <f>SUMIF(PURCHASE!$X$6:$X$446,$A$5:$A$200,PURCHASE!$L$6:$L$446)</f>
        <v>0</v>
      </c>
      <c r="H58" s="36">
        <f>SUMIF(PURCHASE!$X$6:$X$446,$A$5:$A$200,PURCHASE!$M$6:$M$446)</f>
        <v>0</v>
      </c>
      <c r="I58" s="36">
        <f>SUMIF(PURCHASE!$X$6:$X$446,$A$5:$A$200,PURCHASE!$N$6:$N$446)</f>
        <v>0</v>
      </c>
      <c r="J58" s="36">
        <f>SUMIF(PURCHASE!$X$6:$X$446,$A$5:$A$200,PURCHASE!$O$6:$O$446)</f>
        <v>0</v>
      </c>
    </row>
    <row r="59" spans="1:10" x14ac:dyDescent="0.3">
      <c r="A59" s="214">
        <v>29163200</v>
      </c>
      <c r="B59" s="214" t="s">
        <v>86</v>
      </c>
      <c r="C59" s="215" t="s">
        <v>237</v>
      </c>
      <c r="D59" s="36">
        <f>SUMIF(PURCHASE!$X$6:$X$446,$A$5:$A$200,PURCHASE!$AB$6:$AB$446)</f>
        <v>0</v>
      </c>
      <c r="E59" s="36">
        <f>SUMIF(PURCHASE!$X$6:$X$446,$A$5:$A$200,PURCHASE!$E$6:$E$446)</f>
        <v>0</v>
      </c>
      <c r="F59" s="36">
        <f>SUMIF(PURCHASE!$X$6:$X$446,$A$5:$A$200,PURCHASE!$K$6:$K$446)</f>
        <v>0</v>
      </c>
      <c r="G59" s="36">
        <f>SUMIF(PURCHASE!$X$6:$X$446,$A$5:$A$200,PURCHASE!$L$6:$L$446)</f>
        <v>0</v>
      </c>
      <c r="H59" s="36">
        <f>SUMIF(PURCHASE!$X$6:$X$446,$A$5:$A$200,PURCHASE!$M$6:$M$446)</f>
        <v>0</v>
      </c>
      <c r="I59" s="36">
        <f>SUMIF(PURCHASE!$X$6:$X$446,$A$5:$A$200,PURCHASE!$N$6:$N$446)</f>
        <v>0</v>
      </c>
      <c r="J59" s="36">
        <f>SUMIF(PURCHASE!$X$6:$X$446,$A$5:$A$200,PURCHASE!$O$6:$O$446)</f>
        <v>0</v>
      </c>
    </row>
    <row r="60" spans="1:10" x14ac:dyDescent="0.3">
      <c r="A60" s="214">
        <v>3813</v>
      </c>
      <c r="B60" s="214" t="s">
        <v>489</v>
      </c>
      <c r="C60" s="215" t="s">
        <v>246</v>
      </c>
      <c r="D60" s="36">
        <f>SUMIF(PURCHASE!$X$6:$X$446,$A$5:$A$200,PURCHASE!$AB$6:$AB$446)</f>
        <v>0</v>
      </c>
      <c r="E60" s="36">
        <f>SUMIF(PURCHASE!$X$6:$X$446,$A$5:$A$200,PURCHASE!$E$6:$E$446)</f>
        <v>0</v>
      </c>
      <c r="F60" s="36">
        <f>SUMIF(PURCHASE!$X$6:$X$446,$A$5:$A$200,PURCHASE!$K$6:$K$446)</f>
        <v>0</v>
      </c>
      <c r="G60" s="36">
        <f>SUMIF(PURCHASE!$X$6:$X$446,$A$5:$A$200,PURCHASE!$L$6:$L$446)</f>
        <v>0</v>
      </c>
      <c r="H60" s="36">
        <f>SUMIF(PURCHASE!$X$6:$X$446,$A$5:$A$200,PURCHASE!$M$6:$M$446)</f>
        <v>0</v>
      </c>
      <c r="I60" s="36">
        <f>SUMIF(PURCHASE!$X$6:$X$446,$A$5:$A$200,PURCHASE!$N$6:$N$446)</f>
        <v>0</v>
      </c>
      <c r="J60" s="36">
        <f>SUMIF(PURCHASE!$X$6:$X$446,$A$5:$A$200,PURCHASE!$O$6:$O$446)</f>
        <v>0</v>
      </c>
    </row>
    <row r="61" spans="1:10" x14ac:dyDescent="0.3">
      <c r="A61" s="214">
        <v>40151100</v>
      </c>
      <c r="B61" s="214" t="s">
        <v>490</v>
      </c>
      <c r="C61" s="215" t="s">
        <v>246</v>
      </c>
      <c r="D61" s="36">
        <f>SUMIF(PURCHASE!$X$6:$X$446,$A$5:$A$200,PURCHASE!$AB$6:$AB$446)</f>
        <v>3000</v>
      </c>
      <c r="E61" s="36">
        <f>SUMIF(PURCHASE!$X$6:$X$446,$A$5:$A$200,PURCHASE!$E$6:$E$446)</f>
        <v>8736</v>
      </c>
      <c r="F61" s="36">
        <f>SUMIF(PURCHASE!$X$6:$X$446,$A$5:$A$200,PURCHASE!$K$6:$K$446)</f>
        <v>7800</v>
      </c>
      <c r="G61" s="36">
        <f>SUMIF(PURCHASE!$X$6:$X$446,$A$5:$A$200,PURCHASE!$L$6:$L$446)</f>
        <v>0</v>
      </c>
      <c r="H61" s="36">
        <f>SUMIF(PURCHASE!$X$6:$X$446,$A$5:$A$200,PURCHASE!$M$6:$M$446)</f>
        <v>468</v>
      </c>
      <c r="I61" s="36">
        <f>SUMIF(PURCHASE!$X$6:$X$446,$A$5:$A$200,PURCHASE!$N$6:$N$446)</f>
        <v>468</v>
      </c>
      <c r="J61" s="36">
        <f>SUMIF(PURCHASE!$X$6:$X$446,$A$5:$A$200,PURCHASE!$O$6:$O$446)</f>
        <v>0</v>
      </c>
    </row>
    <row r="62" spans="1:10" x14ac:dyDescent="0.3">
      <c r="A62" s="214">
        <v>84242000</v>
      </c>
      <c r="B62" s="214" t="s">
        <v>81</v>
      </c>
      <c r="C62" s="215" t="s">
        <v>246</v>
      </c>
      <c r="D62" s="36">
        <f>SUMIF(PURCHASE!$X$6:$X$446,$A$5:$A$200,PURCHASE!$AB$6:$AB$446)</f>
        <v>1</v>
      </c>
      <c r="E62" s="36">
        <f>SUMIF(PURCHASE!$X$6:$X$446,$A$5:$A$200,PURCHASE!$E$6:$E$446)</f>
        <v>14944.7</v>
      </c>
      <c r="F62" s="36">
        <f>SUMIF(PURCHASE!$X$6:$X$446,$A$5:$A$200,PURCHASE!$K$6:$K$446)</f>
        <v>12665</v>
      </c>
      <c r="G62" s="36">
        <f>SUMIF(PURCHASE!$X$6:$X$446,$A$5:$A$200,PURCHASE!$L$6:$L$446)</f>
        <v>0</v>
      </c>
      <c r="H62" s="36">
        <f>SUMIF(PURCHASE!$X$6:$X$446,$A$5:$A$200,PURCHASE!$M$6:$M$446)</f>
        <v>1139.8499999999999</v>
      </c>
      <c r="I62" s="36">
        <f>SUMIF(PURCHASE!$X$6:$X$446,$A$5:$A$200,PURCHASE!$N$6:$N$446)</f>
        <v>1139.8499999999999</v>
      </c>
      <c r="J62" s="36">
        <f>SUMIF(PURCHASE!$X$6:$X$446,$A$5:$A$200,PURCHASE!$O$6:$O$446)</f>
        <v>0</v>
      </c>
    </row>
    <row r="63" spans="1:10" x14ac:dyDescent="0.3">
      <c r="A63" s="214">
        <v>441480</v>
      </c>
      <c r="B63" s="214" t="s">
        <v>491</v>
      </c>
      <c r="C63" s="215" t="s">
        <v>246</v>
      </c>
      <c r="D63" s="36">
        <f>SUMIF(PURCHASE!$X$6:$X$446,$A$5:$A$200,PURCHASE!$AB$6:$AB$446)</f>
        <v>1</v>
      </c>
      <c r="E63" s="36">
        <f>SUMIF(PURCHASE!$X$6:$X$446,$A$5:$A$200,PURCHASE!$E$6:$E$446)</f>
        <v>482489.59999999998</v>
      </c>
      <c r="F63" s="36">
        <f>SUMIF(PURCHASE!$X$6:$X$446,$A$5:$A$200,PURCHASE!$K$6:$K$446)</f>
        <v>376945</v>
      </c>
      <c r="G63" s="36">
        <f>SUMIF(PURCHASE!$X$6:$X$446,$A$5:$A$200,PURCHASE!$L$6:$L$446)</f>
        <v>0</v>
      </c>
      <c r="H63" s="36">
        <f>SUMIF(PURCHASE!$X$6:$X$446,$A$5:$A$200,PURCHASE!$M$6:$M$446)</f>
        <v>52772.3</v>
      </c>
      <c r="I63" s="36">
        <f>SUMIF(PURCHASE!$X$6:$X$446,$A$5:$A$200,PURCHASE!$N$6:$N$446)</f>
        <v>52772.3</v>
      </c>
      <c r="J63" s="36">
        <f>SUMIF(PURCHASE!$X$6:$X$446,$A$5:$A$200,PURCHASE!$O$6:$O$446)</f>
        <v>0</v>
      </c>
    </row>
    <row r="64" spans="1:10" x14ac:dyDescent="0.3">
      <c r="A64" s="214">
        <v>27111900</v>
      </c>
      <c r="B64" s="214" t="s">
        <v>493</v>
      </c>
      <c r="C64" s="215" t="s">
        <v>246</v>
      </c>
      <c r="D64" s="36">
        <f>SUMIF(PURCHASE!$X$6:$X$446,$A$5:$A$200,PURCHASE!$AB$6:$AB$446)</f>
        <v>50</v>
      </c>
      <c r="E64" s="36">
        <f>SUMIF(PURCHASE!$X$6:$X$446,$A$5:$A$200,PURCHASE!$E$6:$E$446)</f>
        <v>84379.534400000004</v>
      </c>
      <c r="F64" s="36">
        <f>SUMIF(PURCHASE!$X$6:$X$446,$A$5:$A$200,PURCHASE!$K$6:$K$446)</f>
        <v>71508.08</v>
      </c>
      <c r="G64" s="36">
        <f>SUMIF(PURCHASE!$X$6:$X$446,$A$5:$A$200,PURCHASE!$L$6:$L$446)</f>
        <v>0</v>
      </c>
      <c r="H64" s="36">
        <f>SUMIF(PURCHASE!$X$6:$X$446,$A$5:$A$200,PURCHASE!$M$6:$M$446)</f>
        <v>6435.7271999999994</v>
      </c>
      <c r="I64" s="36">
        <f>SUMIF(PURCHASE!$X$6:$X$446,$A$5:$A$200,PURCHASE!$N$6:$N$446)</f>
        <v>6435.7271999999994</v>
      </c>
      <c r="J64" s="36">
        <f>SUMIF(PURCHASE!$X$6:$X$446,$A$5:$A$200,PURCHASE!$O$6:$O$446)</f>
        <v>0</v>
      </c>
    </row>
    <row r="65" spans="1:10" x14ac:dyDescent="0.3">
      <c r="A65" s="214">
        <v>34012000</v>
      </c>
      <c r="B65" s="214" t="s">
        <v>494</v>
      </c>
      <c r="C65" s="215" t="s">
        <v>246</v>
      </c>
      <c r="D65" s="36">
        <f>SUMIF(PURCHASE!$X$6:$X$446,$A$5:$A$200,PURCHASE!$AB$6:$AB$446)</f>
        <v>0</v>
      </c>
      <c r="E65" s="36">
        <f>SUMIF(PURCHASE!$X$6:$X$446,$A$5:$A$200,PURCHASE!$E$6:$E$446)</f>
        <v>0</v>
      </c>
      <c r="F65" s="36">
        <f>SUMIF(PURCHASE!$X$6:$X$446,$A$5:$A$200,PURCHASE!$K$6:$K$446)</f>
        <v>0</v>
      </c>
      <c r="G65" s="36">
        <f>SUMIF(PURCHASE!$X$6:$X$446,$A$5:$A$200,PURCHASE!$L$6:$L$446)</f>
        <v>0</v>
      </c>
      <c r="H65" s="36">
        <f>SUMIF(PURCHASE!$X$6:$X$446,$A$5:$A$200,PURCHASE!$M$6:$M$446)</f>
        <v>0</v>
      </c>
      <c r="I65" s="36">
        <f>SUMIF(PURCHASE!$X$6:$X$446,$A$5:$A$200,PURCHASE!$N$6:$N$446)</f>
        <v>0</v>
      </c>
      <c r="J65" s="36">
        <f>SUMIF(PURCHASE!$X$6:$X$446,$A$5:$A$200,PURCHASE!$O$6:$O$446)</f>
        <v>0</v>
      </c>
    </row>
    <row r="66" spans="1:10" x14ac:dyDescent="0.3">
      <c r="A66" s="214">
        <v>63071090</v>
      </c>
      <c r="B66" s="214" t="s">
        <v>495</v>
      </c>
      <c r="C66" s="215" t="s">
        <v>246</v>
      </c>
      <c r="D66" s="36">
        <f>SUMIF(PURCHASE!$X$6:$X$446,$A$5:$A$200,PURCHASE!$AB$6:$AB$446)</f>
        <v>24</v>
      </c>
      <c r="E66" s="36">
        <f>SUMIF(PURCHASE!$X$6:$X$446,$A$5:$A$200,PURCHASE!$E$6:$E$446)</f>
        <v>339.84000000000003</v>
      </c>
      <c r="F66" s="36">
        <f>SUMIF(PURCHASE!$X$6:$X$446,$A$5:$A$200,PURCHASE!$K$6:$K$446)</f>
        <v>288</v>
      </c>
      <c r="G66" s="36">
        <f>SUMIF(PURCHASE!$X$6:$X$446,$A$5:$A$200,PURCHASE!$L$6:$L$446)</f>
        <v>0</v>
      </c>
      <c r="H66" s="36">
        <f>SUMIF(PURCHASE!$X$6:$X$446,$A$5:$A$200,PURCHASE!$M$6:$M$446)</f>
        <v>25.919999999999998</v>
      </c>
      <c r="I66" s="36">
        <f>SUMIF(PURCHASE!$X$6:$X$446,$A$5:$A$200,PURCHASE!$N$6:$N$446)</f>
        <v>25.919999999999998</v>
      </c>
      <c r="J66" s="36">
        <f>SUMIF(PURCHASE!$X$6:$X$446,$A$5:$A$200,PURCHASE!$O$6:$O$446)</f>
        <v>0</v>
      </c>
    </row>
    <row r="67" spans="1:10" x14ac:dyDescent="0.3">
      <c r="A67" s="214">
        <v>34029092</v>
      </c>
      <c r="B67" s="214" t="s">
        <v>496</v>
      </c>
      <c r="C67" s="215" t="s">
        <v>235</v>
      </c>
      <c r="D67" s="36">
        <f>SUMIF(PURCHASE!$X$6:$X$446,$A$5:$A$200,PURCHASE!$AB$6:$AB$446)</f>
        <v>0</v>
      </c>
      <c r="E67" s="36">
        <f>SUMIF(PURCHASE!$X$6:$X$446,$A$5:$A$200,PURCHASE!$E$6:$E$446)</f>
        <v>0</v>
      </c>
      <c r="F67" s="36">
        <f>SUMIF(PURCHASE!$X$6:$X$446,$A$5:$A$200,PURCHASE!$K$6:$K$446)</f>
        <v>0</v>
      </c>
      <c r="G67" s="36">
        <f>SUMIF(PURCHASE!$X$6:$X$446,$A$5:$A$200,PURCHASE!$L$6:$L$446)</f>
        <v>0</v>
      </c>
      <c r="H67" s="36">
        <f>SUMIF(PURCHASE!$X$6:$X$446,$A$5:$A$200,PURCHASE!$M$6:$M$446)</f>
        <v>0</v>
      </c>
      <c r="I67" s="36">
        <f>SUMIF(PURCHASE!$X$6:$X$446,$A$5:$A$200,PURCHASE!$N$6:$N$446)</f>
        <v>0</v>
      </c>
      <c r="J67" s="36">
        <f>SUMIF(PURCHASE!$X$6:$X$446,$A$5:$A$200,PURCHASE!$O$6:$O$446)</f>
        <v>0</v>
      </c>
    </row>
    <row r="68" spans="1:10" x14ac:dyDescent="0.3">
      <c r="A68" s="214">
        <v>84439959</v>
      </c>
      <c r="B68" s="214" t="s">
        <v>497</v>
      </c>
      <c r="C68" s="215" t="s">
        <v>246</v>
      </c>
      <c r="D68" s="36">
        <f>SUMIF(PURCHASE!$X$6:$X$446,$A$5:$A$200,PURCHASE!$AB$6:$AB$446)</f>
        <v>0</v>
      </c>
      <c r="E68" s="36">
        <f>SUMIF(PURCHASE!$X$6:$X$446,$A$5:$A$200,PURCHASE!$E$6:$E$446)</f>
        <v>0</v>
      </c>
      <c r="F68" s="36">
        <f>SUMIF(PURCHASE!$X$6:$X$446,$A$5:$A$200,PURCHASE!$K$6:$K$446)</f>
        <v>0</v>
      </c>
      <c r="G68" s="36">
        <f>SUMIF(PURCHASE!$X$6:$X$446,$A$5:$A$200,PURCHASE!$L$6:$L$446)</f>
        <v>0</v>
      </c>
      <c r="H68" s="36">
        <f>SUMIF(PURCHASE!$X$6:$X$446,$A$5:$A$200,PURCHASE!$M$6:$M$446)</f>
        <v>0</v>
      </c>
      <c r="I68" s="36">
        <f>SUMIF(PURCHASE!$X$6:$X$446,$A$5:$A$200,PURCHASE!$N$6:$N$446)</f>
        <v>0</v>
      </c>
      <c r="J68" s="36">
        <f>SUMIF(PURCHASE!$X$6:$X$446,$A$5:$A$200,PURCHASE!$O$6:$O$446)</f>
        <v>0</v>
      </c>
    </row>
    <row r="69" spans="1:10" x14ac:dyDescent="0.3">
      <c r="A69" s="214">
        <v>8708</v>
      </c>
      <c r="B69" s="214" t="s">
        <v>81</v>
      </c>
      <c r="C69" s="215" t="s">
        <v>246</v>
      </c>
      <c r="D69" s="36">
        <f>SUMIF(PURCHASE!$X$6:$X$446,$A$5:$A$200,PURCHASE!$AB$6:$AB$446)</f>
        <v>0</v>
      </c>
      <c r="E69" s="36">
        <f>SUMIF(PURCHASE!$X$6:$X$446,$A$5:$A$200,PURCHASE!$E$6:$E$446)</f>
        <v>0</v>
      </c>
      <c r="F69" s="36">
        <f>SUMIF(PURCHASE!$X$6:$X$446,$A$5:$A$200,PURCHASE!$K$6:$K$446)</f>
        <v>0</v>
      </c>
      <c r="G69" s="36">
        <f>SUMIF(PURCHASE!$X$6:$X$446,$A$5:$A$200,PURCHASE!$L$6:$L$446)</f>
        <v>0</v>
      </c>
      <c r="H69" s="36">
        <f>SUMIF(PURCHASE!$X$6:$X$446,$A$5:$A$200,PURCHASE!$M$6:$M$446)</f>
        <v>0</v>
      </c>
      <c r="I69" s="36">
        <f>SUMIF(PURCHASE!$X$6:$X$446,$A$5:$A$200,PURCHASE!$N$6:$N$446)</f>
        <v>0</v>
      </c>
      <c r="J69" s="36">
        <f>SUMIF(PURCHASE!$X$6:$X$446,$A$5:$A$200,PURCHASE!$O$6:$O$446)</f>
        <v>0</v>
      </c>
    </row>
    <row r="70" spans="1:10" x14ac:dyDescent="0.3">
      <c r="A70" s="214">
        <v>8532299</v>
      </c>
      <c r="B70" s="216" t="s">
        <v>498</v>
      </c>
      <c r="C70" s="215" t="s">
        <v>246</v>
      </c>
      <c r="D70" s="36">
        <f>SUMIF(PURCHASE!$X$6:$X$446,$A$5:$A$200,PURCHASE!$AB$6:$AB$446)</f>
        <v>0</v>
      </c>
      <c r="E70" s="36">
        <f>SUMIF(PURCHASE!$X$6:$X$446,$A$5:$A$200,PURCHASE!$E$6:$E$446)</f>
        <v>0</v>
      </c>
      <c r="F70" s="36">
        <f>SUMIF(PURCHASE!$X$6:$X$446,$A$5:$A$200,PURCHASE!$K$6:$K$446)</f>
        <v>0</v>
      </c>
      <c r="G70" s="36">
        <f>SUMIF(PURCHASE!$X$6:$X$446,$A$5:$A$200,PURCHASE!$L$6:$L$446)</f>
        <v>0</v>
      </c>
      <c r="H70" s="36">
        <f>SUMIF(PURCHASE!$X$6:$X$446,$A$5:$A$200,PURCHASE!$M$6:$M$446)</f>
        <v>0</v>
      </c>
      <c r="I70" s="36">
        <f>SUMIF(PURCHASE!$X$6:$X$446,$A$5:$A$200,PURCHASE!$N$6:$N$446)</f>
        <v>0</v>
      </c>
      <c r="J70" s="36">
        <f>SUMIF(PURCHASE!$X$6:$X$446,$A$5:$A$200,PURCHASE!$O$6:$O$446)</f>
        <v>0</v>
      </c>
    </row>
    <row r="71" spans="1:10" x14ac:dyDescent="0.3">
      <c r="A71" s="214">
        <v>84818090</v>
      </c>
      <c r="B71" s="216" t="s">
        <v>499</v>
      </c>
      <c r="C71" s="215" t="s">
        <v>246</v>
      </c>
      <c r="D71" s="36">
        <f>SUMIF(PURCHASE!$X$6:$X$446,$A$5:$A$200,PURCHASE!$AB$6:$AB$446)</f>
        <v>0</v>
      </c>
      <c r="E71" s="36">
        <f>SUMIF(PURCHASE!$X$6:$X$446,$A$5:$A$200,PURCHASE!$E$6:$E$446)</f>
        <v>0</v>
      </c>
      <c r="F71" s="36">
        <f>SUMIF(PURCHASE!$X$6:$X$446,$A$5:$A$200,PURCHASE!$K$6:$K$446)</f>
        <v>0</v>
      </c>
      <c r="G71" s="36">
        <f>SUMIF(PURCHASE!$X$6:$X$446,$A$5:$A$200,PURCHASE!$L$6:$L$446)</f>
        <v>0</v>
      </c>
      <c r="H71" s="36">
        <f>SUMIF(PURCHASE!$X$6:$X$446,$A$5:$A$200,PURCHASE!$M$6:$M$446)</f>
        <v>0</v>
      </c>
      <c r="I71" s="36">
        <f>SUMIF(PURCHASE!$X$6:$X$446,$A$5:$A$200,PURCHASE!$N$6:$N$446)</f>
        <v>0</v>
      </c>
      <c r="J71" s="36">
        <f>SUMIF(PURCHASE!$X$6:$X$446,$A$5:$A$200,PURCHASE!$O$6:$O$446)</f>
        <v>0</v>
      </c>
    </row>
    <row r="72" spans="1:10" x14ac:dyDescent="0.3">
      <c r="A72" s="214">
        <v>4016932003</v>
      </c>
      <c r="B72" s="216" t="s">
        <v>500</v>
      </c>
      <c r="C72" s="215" t="s">
        <v>246</v>
      </c>
      <c r="D72" s="36">
        <f>SUMIF(PURCHASE!$X$6:$X$446,$A$5:$A$200,PURCHASE!$AB$6:$AB$446)</f>
        <v>0</v>
      </c>
      <c r="E72" s="36">
        <f>SUMIF(PURCHASE!$X$6:$X$446,$A$5:$A$200,PURCHASE!$E$6:$E$446)</f>
        <v>0</v>
      </c>
      <c r="F72" s="36">
        <f>SUMIF(PURCHASE!$X$6:$X$446,$A$5:$A$200,PURCHASE!$K$6:$K$446)</f>
        <v>0</v>
      </c>
      <c r="G72" s="36">
        <f>SUMIF(PURCHASE!$X$6:$X$446,$A$5:$A$200,PURCHASE!$L$6:$L$446)</f>
        <v>0</v>
      </c>
      <c r="H72" s="36">
        <f>SUMIF(PURCHASE!$X$6:$X$446,$A$5:$A$200,PURCHASE!$M$6:$M$446)</f>
        <v>0</v>
      </c>
      <c r="I72" s="36">
        <f>SUMIF(PURCHASE!$X$6:$X$446,$A$5:$A$200,PURCHASE!$N$6:$N$446)</f>
        <v>0</v>
      </c>
      <c r="J72" s="36">
        <f>SUMIF(PURCHASE!$X$6:$X$446,$A$5:$A$200,PURCHASE!$O$6:$O$446)</f>
        <v>0</v>
      </c>
    </row>
    <row r="73" spans="1:10" x14ac:dyDescent="0.3">
      <c r="A73" s="214">
        <v>4016999</v>
      </c>
      <c r="B73" s="216" t="s">
        <v>500</v>
      </c>
      <c r="C73" s="215" t="s">
        <v>246</v>
      </c>
      <c r="D73" s="36">
        <f>SUMIF(PURCHASE!$X$6:$X$446,$A$5:$A$200,PURCHASE!$AB$6:$AB$446)</f>
        <v>0</v>
      </c>
      <c r="E73" s="36">
        <f>SUMIF(PURCHASE!$X$6:$X$446,$A$5:$A$200,PURCHASE!$E$6:$E$446)</f>
        <v>0</v>
      </c>
      <c r="F73" s="36">
        <f>SUMIF(PURCHASE!$X$6:$X$446,$A$5:$A$200,PURCHASE!$K$6:$K$446)</f>
        <v>0</v>
      </c>
      <c r="G73" s="36">
        <f>SUMIF(PURCHASE!$X$6:$X$446,$A$5:$A$200,PURCHASE!$L$6:$L$446)</f>
        <v>0</v>
      </c>
      <c r="H73" s="36">
        <f>SUMIF(PURCHASE!$X$6:$X$446,$A$5:$A$200,PURCHASE!$M$6:$M$446)</f>
        <v>0</v>
      </c>
      <c r="I73" s="36">
        <f>SUMIF(PURCHASE!$X$6:$X$446,$A$5:$A$200,PURCHASE!$N$6:$N$446)</f>
        <v>0</v>
      </c>
      <c r="J73" s="36">
        <f>SUMIF(PURCHASE!$X$6:$X$446,$A$5:$A$200,PURCHASE!$O$6:$O$446)</f>
        <v>0</v>
      </c>
    </row>
    <row r="74" spans="1:10" x14ac:dyDescent="0.3">
      <c r="A74" s="214">
        <v>73182200</v>
      </c>
      <c r="B74" s="216" t="s">
        <v>501</v>
      </c>
      <c r="C74" s="215" t="s">
        <v>246</v>
      </c>
      <c r="D74" s="36">
        <f>SUMIF(PURCHASE!$X$6:$X$446,$A$5:$A$200,PURCHASE!$AB$6:$AB$446)</f>
        <v>0</v>
      </c>
      <c r="E74" s="36">
        <f>SUMIF(PURCHASE!$X$6:$X$446,$A$5:$A$200,PURCHASE!$E$6:$E$446)</f>
        <v>0</v>
      </c>
      <c r="F74" s="36">
        <f>SUMIF(PURCHASE!$X$6:$X$446,$A$5:$A$200,PURCHASE!$K$6:$K$446)</f>
        <v>0</v>
      </c>
      <c r="G74" s="36">
        <f>SUMIF(PURCHASE!$X$6:$X$446,$A$5:$A$200,PURCHASE!$L$6:$L$446)</f>
        <v>0</v>
      </c>
      <c r="H74" s="36">
        <f>SUMIF(PURCHASE!$X$6:$X$446,$A$5:$A$200,PURCHASE!$M$6:$M$446)</f>
        <v>0</v>
      </c>
      <c r="I74" s="36">
        <f>SUMIF(PURCHASE!$X$6:$X$446,$A$5:$A$200,PURCHASE!$N$6:$N$446)</f>
        <v>0</v>
      </c>
      <c r="J74" s="36">
        <f>SUMIF(PURCHASE!$X$6:$X$446,$A$5:$A$200,PURCHASE!$O$6:$O$446)</f>
        <v>0</v>
      </c>
    </row>
    <row r="75" spans="1:10" x14ac:dyDescent="0.3">
      <c r="A75" s="214">
        <v>8467299</v>
      </c>
      <c r="B75" s="216" t="s">
        <v>502</v>
      </c>
      <c r="C75" s="215" t="s">
        <v>246</v>
      </c>
      <c r="D75" s="36">
        <f>SUMIF(PURCHASE!$X$6:$X$446,$A$5:$A$200,PURCHASE!$AB$6:$AB$446)</f>
        <v>0</v>
      </c>
      <c r="E75" s="36">
        <f>SUMIF(PURCHASE!$X$6:$X$446,$A$5:$A$200,PURCHASE!$E$6:$E$446)</f>
        <v>0</v>
      </c>
      <c r="F75" s="36">
        <f>SUMIF(PURCHASE!$X$6:$X$446,$A$5:$A$200,PURCHASE!$K$6:$K$446)</f>
        <v>0</v>
      </c>
      <c r="G75" s="36">
        <f>SUMIF(PURCHASE!$X$6:$X$446,$A$5:$A$200,PURCHASE!$L$6:$L$446)</f>
        <v>0</v>
      </c>
      <c r="H75" s="36">
        <f>SUMIF(PURCHASE!$X$6:$X$446,$A$5:$A$200,PURCHASE!$M$6:$M$446)</f>
        <v>0</v>
      </c>
      <c r="I75" s="36">
        <f>SUMIF(PURCHASE!$X$6:$X$446,$A$5:$A$200,PURCHASE!$N$6:$N$446)</f>
        <v>0</v>
      </c>
      <c r="J75" s="36">
        <f>SUMIF(PURCHASE!$X$6:$X$446,$A$5:$A$200,PURCHASE!$O$6:$O$446)</f>
        <v>0</v>
      </c>
    </row>
    <row r="76" spans="1:10" x14ac:dyDescent="0.3">
      <c r="A76" s="214">
        <v>40119320</v>
      </c>
      <c r="B76" s="216" t="s">
        <v>503</v>
      </c>
      <c r="C76" s="215" t="s">
        <v>246</v>
      </c>
      <c r="D76" s="36">
        <f>SUMIF(PURCHASE!$X$6:$X$446,$A$5:$A$200,PURCHASE!$AB$6:$AB$446)</f>
        <v>0</v>
      </c>
      <c r="E76" s="36">
        <f>SUMIF(PURCHASE!$X$6:$X$446,$A$5:$A$200,PURCHASE!$E$6:$E$446)</f>
        <v>0</v>
      </c>
      <c r="F76" s="36">
        <f>SUMIF(PURCHASE!$X$6:$X$446,$A$5:$A$200,PURCHASE!$K$6:$K$446)</f>
        <v>0</v>
      </c>
      <c r="G76" s="36">
        <f>SUMIF(PURCHASE!$X$6:$X$446,$A$5:$A$200,PURCHASE!$L$6:$L$446)</f>
        <v>0</v>
      </c>
      <c r="H76" s="36">
        <f>SUMIF(PURCHASE!$X$6:$X$446,$A$5:$A$200,PURCHASE!$M$6:$M$446)</f>
        <v>0</v>
      </c>
      <c r="I76" s="36">
        <f>SUMIF(PURCHASE!$X$6:$X$446,$A$5:$A$200,PURCHASE!$N$6:$N$446)</f>
        <v>0</v>
      </c>
      <c r="J76" s="36">
        <f>SUMIF(PURCHASE!$X$6:$X$446,$A$5:$A$200,PURCHASE!$O$6:$O$446)</f>
        <v>0</v>
      </c>
    </row>
    <row r="77" spans="1:10" x14ac:dyDescent="0.3">
      <c r="A77" s="214" t="s">
        <v>504</v>
      </c>
      <c r="B77" s="216" t="s">
        <v>503</v>
      </c>
      <c r="C77" s="215" t="s">
        <v>246</v>
      </c>
      <c r="D77" s="36">
        <f>SUMIF(PURCHASE!$X$6:$X$446,$A$5:$A$200,PURCHASE!$AB$6:$AB$446)</f>
        <v>0</v>
      </c>
      <c r="E77" s="36">
        <f>SUMIF(PURCHASE!$X$6:$X$446,$A$5:$A$200,PURCHASE!$E$6:$E$446)</f>
        <v>0</v>
      </c>
      <c r="F77" s="36">
        <f>SUMIF(PURCHASE!$X$6:$X$446,$A$5:$A$200,PURCHASE!$K$6:$K$446)</f>
        <v>0</v>
      </c>
      <c r="G77" s="36">
        <f>SUMIF(PURCHASE!$X$6:$X$446,$A$5:$A$200,PURCHASE!$L$6:$L$446)</f>
        <v>0</v>
      </c>
      <c r="H77" s="36">
        <f>SUMIF(PURCHASE!$X$6:$X$446,$A$5:$A$200,PURCHASE!$M$6:$M$446)</f>
        <v>0</v>
      </c>
      <c r="I77" s="36">
        <f>SUMIF(PURCHASE!$X$6:$X$446,$A$5:$A$200,PURCHASE!$N$6:$N$446)</f>
        <v>0</v>
      </c>
      <c r="J77" s="36">
        <f>SUMIF(PURCHASE!$X$6:$X$446,$A$5:$A$200,PURCHASE!$O$6:$O$446)</f>
        <v>0</v>
      </c>
    </row>
    <row r="78" spans="1:10" x14ac:dyDescent="0.3">
      <c r="A78" s="214">
        <v>40169320</v>
      </c>
      <c r="B78" s="216" t="s">
        <v>505</v>
      </c>
      <c r="C78" s="215" t="s">
        <v>246</v>
      </c>
      <c r="D78" s="36">
        <f>SUMIF(PURCHASE!$X$6:$X$446,$A$5:$A$200,PURCHASE!$AB$6:$AB$446)</f>
        <v>0</v>
      </c>
      <c r="E78" s="36">
        <f>SUMIF(PURCHASE!$X$6:$X$446,$A$5:$A$200,PURCHASE!$E$6:$E$446)</f>
        <v>0</v>
      </c>
      <c r="F78" s="36">
        <f>SUMIF(PURCHASE!$X$6:$X$446,$A$5:$A$200,PURCHASE!$K$6:$K$446)</f>
        <v>0</v>
      </c>
      <c r="G78" s="36">
        <f>SUMIF(PURCHASE!$X$6:$X$446,$A$5:$A$200,PURCHASE!$L$6:$L$446)</f>
        <v>0</v>
      </c>
      <c r="H78" s="36">
        <f>SUMIF(PURCHASE!$X$6:$X$446,$A$5:$A$200,PURCHASE!$M$6:$M$446)</f>
        <v>0</v>
      </c>
      <c r="I78" s="36">
        <f>SUMIF(PURCHASE!$X$6:$X$446,$A$5:$A$200,PURCHASE!$N$6:$N$446)</f>
        <v>0</v>
      </c>
      <c r="J78" s="36">
        <f>SUMIF(PURCHASE!$X$6:$X$446,$A$5:$A$200,PURCHASE!$O$6:$O$446)</f>
        <v>0</v>
      </c>
    </row>
    <row r="79" spans="1:10" x14ac:dyDescent="0.3">
      <c r="A79" s="214" t="s">
        <v>506</v>
      </c>
      <c r="B79" s="216" t="s">
        <v>505</v>
      </c>
      <c r="C79" s="215" t="s">
        <v>246</v>
      </c>
      <c r="D79" s="36">
        <f>SUMIF(PURCHASE!$X$6:$X$446,$A$5:$A$200,PURCHASE!$AB$6:$AB$446)</f>
        <v>0</v>
      </c>
      <c r="E79" s="36">
        <f>SUMIF(PURCHASE!$X$6:$X$446,$A$5:$A$200,PURCHASE!$E$6:$E$446)</f>
        <v>0</v>
      </c>
      <c r="F79" s="36">
        <f>SUMIF(PURCHASE!$X$6:$X$446,$A$5:$A$200,PURCHASE!$K$6:$K$446)</f>
        <v>0</v>
      </c>
      <c r="G79" s="36">
        <f>SUMIF(PURCHASE!$X$6:$X$446,$A$5:$A$200,PURCHASE!$L$6:$L$446)</f>
        <v>0</v>
      </c>
      <c r="H79" s="36">
        <f>SUMIF(PURCHASE!$X$6:$X$446,$A$5:$A$200,PURCHASE!$M$6:$M$446)</f>
        <v>0</v>
      </c>
      <c r="I79" s="36">
        <f>SUMIF(PURCHASE!$X$6:$X$446,$A$5:$A$200,PURCHASE!$N$6:$N$446)</f>
        <v>0</v>
      </c>
      <c r="J79" s="36">
        <f>SUMIF(PURCHASE!$X$6:$X$446,$A$5:$A$200,PURCHASE!$O$6:$O$446)</f>
        <v>0</v>
      </c>
    </row>
    <row r="80" spans="1:10" x14ac:dyDescent="0.3">
      <c r="A80" s="214">
        <v>8483300</v>
      </c>
      <c r="B80" s="216" t="s">
        <v>507</v>
      </c>
      <c r="C80" s="215" t="s">
        <v>246</v>
      </c>
      <c r="D80" s="36">
        <f>SUMIF(PURCHASE!$X$6:$X$446,$A$5:$A$200,PURCHASE!$AB$6:$AB$446)</f>
        <v>0</v>
      </c>
      <c r="E80" s="36">
        <f>SUMIF(PURCHASE!$X$6:$X$446,$A$5:$A$200,PURCHASE!$E$6:$E$446)</f>
        <v>0</v>
      </c>
      <c r="F80" s="36">
        <f>SUMIF(PURCHASE!$X$6:$X$446,$A$5:$A$200,PURCHASE!$K$6:$K$446)</f>
        <v>0</v>
      </c>
      <c r="G80" s="36">
        <f>SUMIF(PURCHASE!$X$6:$X$446,$A$5:$A$200,PURCHASE!$L$6:$L$446)</f>
        <v>0</v>
      </c>
      <c r="H80" s="36">
        <f>SUMIF(PURCHASE!$X$6:$X$446,$A$5:$A$200,PURCHASE!$M$6:$M$446)</f>
        <v>0</v>
      </c>
      <c r="I80" s="36">
        <f>SUMIF(PURCHASE!$X$6:$X$446,$A$5:$A$200,PURCHASE!$N$6:$N$446)</f>
        <v>0</v>
      </c>
      <c r="J80" s="36">
        <f>SUMIF(PURCHASE!$X$6:$X$446,$A$5:$A$200,PURCHASE!$O$6:$O$446)</f>
        <v>0</v>
      </c>
    </row>
    <row r="81" spans="1:10" x14ac:dyDescent="0.3">
      <c r="A81" s="214">
        <v>4016932</v>
      </c>
      <c r="B81" s="216" t="s">
        <v>503</v>
      </c>
      <c r="C81" s="215" t="s">
        <v>246</v>
      </c>
      <c r="D81" s="36">
        <f>SUMIF(PURCHASE!$X$6:$X$446,$A$5:$A$200,PURCHASE!$AB$6:$AB$446)</f>
        <v>0</v>
      </c>
      <c r="E81" s="36">
        <f>SUMIF(PURCHASE!$X$6:$X$446,$A$5:$A$200,PURCHASE!$E$6:$E$446)</f>
        <v>0</v>
      </c>
      <c r="F81" s="36">
        <f>SUMIF(PURCHASE!$X$6:$X$446,$A$5:$A$200,PURCHASE!$K$6:$K$446)</f>
        <v>0</v>
      </c>
      <c r="G81" s="36">
        <f>SUMIF(PURCHASE!$X$6:$X$446,$A$5:$A$200,PURCHASE!$L$6:$L$446)</f>
        <v>0</v>
      </c>
      <c r="H81" s="36">
        <f>SUMIF(PURCHASE!$X$6:$X$446,$A$5:$A$200,PURCHASE!$M$6:$M$446)</f>
        <v>0</v>
      </c>
      <c r="I81" s="36">
        <f>SUMIF(PURCHASE!$X$6:$X$446,$A$5:$A$200,PURCHASE!$N$6:$N$446)</f>
        <v>0</v>
      </c>
      <c r="J81" s="36">
        <f>SUMIF(PURCHASE!$X$6:$X$446,$A$5:$A$200,PURCHASE!$O$6:$O$446)</f>
        <v>0</v>
      </c>
    </row>
    <row r="82" spans="1:10" x14ac:dyDescent="0.3">
      <c r="A82" s="214">
        <v>8483330</v>
      </c>
      <c r="B82" s="216" t="s">
        <v>507</v>
      </c>
      <c r="C82" s="215" t="s">
        <v>246</v>
      </c>
      <c r="D82" s="36">
        <f>SUMIF(PURCHASE!$X$6:$X$446,$A$5:$A$200,PURCHASE!$AB$6:$AB$446)</f>
        <v>0</v>
      </c>
      <c r="E82" s="36">
        <f>SUMIF(PURCHASE!$X$6:$X$446,$A$5:$A$200,PURCHASE!$E$6:$E$446)</f>
        <v>0</v>
      </c>
      <c r="F82" s="36">
        <f>SUMIF(PURCHASE!$X$6:$X$446,$A$5:$A$200,PURCHASE!$K$6:$K$446)</f>
        <v>0</v>
      </c>
      <c r="G82" s="36">
        <f>SUMIF(PURCHASE!$X$6:$X$446,$A$5:$A$200,PURCHASE!$L$6:$L$446)</f>
        <v>0</v>
      </c>
      <c r="H82" s="36">
        <f>SUMIF(PURCHASE!$X$6:$X$446,$A$5:$A$200,PURCHASE!$M$6:$M$446)</f>
        <v>0</v>
      </c>
      <c r="I82" s="36">
        <f>SUMIF(PURCHASE!$X$6:$X$446,$A$5:$A$200,PURCHASE!$N$6:$N$446)</f>
        <v>0</v>
      </c>
      <c r="J82" s="36">
        <f>SUMIF(PURCHASE!$X$6:$X$446,$A$5:$A$200,PURCHASE!$O$6:$O$446)</f>
        <v>0</v>
      </c>
    </row>
    <row r="83" spans="1:10" x14ac:dyDescent="0.3">
      <c r="A83" s="214">
        <v>998719</v>
      </c>
      <c r="B83" s="216" t="s">
        <v>508</v>
      </c>
      <c r="C83" s="215" t="s">
        <v>246</v>
      </c>
      <c r="D83" s="36">
        <f>SUMIF(PURCHASE!$X$6:$X$446,$A$5:$A$200,PURCHASE!$AB$6:$AB$446)</f>
        <v>0</v>
      </c>
      <c r="E83" s="36">
        <f>SUMIF(PURCHASE!$X$6:$X$446,$A$5:$A$200,PURCHASE!$E$6:$E$446)</f>
        <v>0</v>
      </c>
      <c r="F83" s="36">
        <f>SUMIF(PURCHASE!$X$6:$X$446,$A$5:$A$200,PURCHASE!$K$6:$K$446)</f>
        <v>0</v>
      </c>
      <c r="G83" s="36">
        <f>SUMIF(PURCHASE!$X$6:$X$446,$A$5:$A$200,PURCHASE!$L$6:$L$446)</f>
        <v>0</v>
      </c>
      <c r="H83" s="36">
        <f>SUMIF(PURCHASE!$X$6:$X$446,$A$5:$A$200,PURCHASE!$M$6:$M$446)</f>
        <v>0</v>
      </c>
      <c r="I83" s="36">
        <f>SUMIF(PURCHASE!$X$6:$X$446,$A$5:$A$200,PURCHASE!$N$6:$N$446)</f>
        <v>0</v>
      </c>
      <c r="J83" s="36">
        <f>SUMIF(PURCHASE!$X$6:$X$446,$A$5:$A$200,PURCHASE!$O$6:$O$446)</f>
        <v>0</v>
      </c>
    </row>
    <row r="84" spans="1:10" x14ac:dyDescent="0.3">
      <c r="A84" s="216" t="s">
        <v>509</v>
      </c>
      <c r="B84" s="216" t="s">
        <v>510</v>
      </c>
      <c r="C84" s="215" t="s">
        <v>246</v>
      </c>
      <c r="D84" s="36">
        <f>SUMIF(PURCHASE!$X$6:$X$446,$A$5:$A$200,PURCHASE!$AB$6:$AB$446)</f>
        <v>2400</v>
      </c>
      <c r="E84" s="36">
        <f>SUMIF(PURCHASE!$X$6:$X$446,$A$5:$A$200,PURCHASE!$E$6:$E$446)</f>
        <v>9440</v>
      </c>
      <c r="F84" s="36">
        <f>SUMIF(PURCHASE!$X$6:$X$446,$A$5:$A$200,PURCHASE!$K$6:$K$446)</f>
        <v>8000</v>
      </c>
      <c r="G84" s="36">
        <f>SUMIF(PURCHASE!$X$6:$X$446,$A$5:$A$200,PURCHASE!$L$6:$L$446)</f>
        <v>0</v>
      </c>
      <c r="H84" s="36">
        <f>SUMIF(PURCHASE!$X$6:$X$446,$A$5:$A$200,PURCHASE!$M$6:$M$446)</f>
        <v>720</v>
      </c>
      <c r="I84" s="36">
        <f>SUMIF(PURCHASE!$X$6:$X$446,$A$5:$A$200,PURCHASE!$N$6:$N$446)</f>
        <v>720</v>
      </c>
      <c r="J84" s="36">
        <f>SUMIF(PURCHASE!$X$6:$X$446,$A$5:$A$200,PURCHASE!$O$6:$O$446)</f>
        <v>0</v>
      </c>
    </row>
    <row r="85" spans="1:10" x14ac:dyDescent="0.3">
      <c r="A85" s="214">
        <v>39201091</v>
      </c>
      <c r="B85" s="216" t="s">
        <v>511</v>
      </c>
      <c r="C85" s="215" t="s">
        <v>246</v>
      </c>
      <c r="D85" s="36">
        <f>SUMIF(PURCHASE!$X$6:$X$446,$A$5:$A$200,PURCHASE!$AB$6:$AB$446)</f>
        <v>23</v>
      </c>
      <c r="E85" s="36">
        <f>SUMIF(PURCHASE!$X$6:$X$446,$A$5:$A$200,PURCHASE!$E$6:$E$446)</f>
        <v>27730</v>
      </c>
      <c r="F85" s="36">
        <f>SUMIF(PURCHASE!$X$6:$X$446,$A$5:$A$200,PURCHASE!$K$6:$K$446)</f>
        <v>23500</v>
      </c>
      <c r="G85" s="36">
        <f>SUMIF(PURCHASE!$X$6:$X$446,$A$5:$A$200,PURCHASE!$L$6:$L$446)</f>
        <v>0</v>
      </c>
      <c r="H85" s="36">
        <f>SUMIF(PURCHASE!$X$6:$X$446,$A$5:$A$200,PURCHASE!$M$6:$M$446)</f>
        <v>2115</v>
      </c>
      <c r="I85" s="36">
        <f>SUMIF(PURCHASE!$X$6:$X$446,$A$5:$A$200,PURCHASE!$N$6:$N$446)</f>
        <v>2115</v>
      </c>
      <c r="J85" s="36">
        <f>SUMIF(PURCHASE!$X$6:$X$446,$A$5:$A$200,PURCHASE!$O$6:$O$446)</f>
        <v>0</v>
      </c>
    </row>
    <row r="86" spans="1:10" x14ac:dyDescent="0.3">
      <c r="A86" s="214">
        <v>29214990</v>
      </c>
      <c r="B86" s="216" t="s">
        <v>512</v>
      </c>
      <c r="C86" s="215" t="s">
        <v>237</v>
      </c>
      <c r="D86" s="36">
        <f>SUMIF(PURCHASE!$X$6:$X$446,$A$5:$A$200,PURCHASE!$AB$6:$AB$446)</f>
        <v>0</v>
      </c>
      <c r="E86" s="36">
        <f>SUMIF(PURCHASE!$X$6:$X$446,$A$5:$A$200,PURCHASE!$E$6:$E$446)</f>
        <v>0</v>
      </c>
      <c r="F86" s="36">
        <f>SUMIF(PURCHASE!$X$6:$X$446,$A$5:$A$200,PURCHASE!$K$6:$K$446)</f>
        <v>0</v>
      </c>
      <c r="G86" s="36">
        <f>SUMIF(PURCHASE!$X$6:$X$446,$A$5:$A$200,PURCHASE!$L$6:$L$446)</f>
        <v>0</v>
      </c>
      <c r="H86" s="36">
        <f>SUMIF(PURCHASE!$X$6:$X$446,$A$5:$A$200,PURCHASE!$M$6:$M$446)</f>
        <v>0</v>
      </c>
      <c r="I86" s="36">
        <f>SUMIF(PURCHASE!$X$6:$X$446,$A$5:$A$200,PURCHASE!$N$6:$N$446)</f>
        <v>0</v>
      </c>
      <c r="J86" s="36">
        <f>SUMIF(PURCHASE!$X$6:$X$446,$A$5:$A$200,PURCHASE!$O$6:$O$446)</f>
        <v>0</v>
      </c>
    </row>
    <row r="87" spans="1:10" x14ac:dyDescent="0.3">
      <c r="A87" s="214">
        <v>998519</v>
      </c>
      <c r="B87" s="216" t="s">
        <v>513</v>
      </c>
      <c r="C87" s="215" t="s">
        <v>246</v>
      </c>
      <c r="D87" s="36">
        <f>SUMIF(PURCHASE!$X$6:$X$446,$A$5:$A$200,PURCHASE!$AB$6:$AB$446)</f>
        <v>2</v>
      </c>
      <c r="E87" s="36">
        <f>SUMIF(PURCHASE!$X$6:$X$446,$A$5:$A$200,PURCHASE!$E$6:$E$446)</f>
        <v>1155487.8599999999</v>
      </c>
      <c r="F87" s="36">
        <f>SUMIF(PURCHASE!$X$6:$X$446,$A$5:$A$200,PURCHASE!$K$6:$K$446)</f>
        <v>979227</v>
      </c>
      <c r="G87" s="36">
        <f>SUMIF(PURCHASE!$X$6:$X$446,$A$5:$A$200,PURCHASE!$L$6:$L$446)</f>
        <v>0</v>
      </c>
      <c r="H87" s="36">
        <f>SUMIF(PURCHASE!$X$6:$X$446,$A$5:$A$200,PURCHASE!$M$6:$M$446)</f>
        <v>88130.43</v>
      </c>
      <c r="I87" s="36">
        <f>SUMIF(PURCHASE!$X$6:$X$446,$A$5:$A$200,PURCHASE!$N$6:$N$446)</f>
        <v>88130.43</v>
      </c>
      <c r="J87" s="36">
        <f>SUMIF(PURCHASE!$X$6:$X$446,$A$5:$A$200,PURCHASE!$O$6:$O$446)</f>
        <v>0</v>
      </c>
    </row>
    <row r="88" spans="1:10" x14ac:dyDescent="0.3">
      <c r="A88" s="216" t="s">
        <v>514</v>
      </c>
      <c r="B88" s="216" t="s">
        <v>515</v>
      </c>
      <c r="C88" s="215" t="s">
        <v>246</v>
      </c>
      <c r="D88" s="36">
        <f>SUMIF(PURCHASE!$X$6:$X$446,$A$5:$A$200,PURCHASE!$AB$6:$AB$446)</f>
        <v>1</v>
      </c>
      <c r="E88" s="36">
        <f>SUMIF(PURCHASE!$X$6:$X$446,$A$5:$A$200,PURCHASE!$E$6:$E$446)</f>
        <v>4130</v>
      </c>
      <c r="F88" s="36">
        <f>SUMIF(PURCHASE!$X$6:$X$446,$A$5:$A$200,PURCHASE!$K$6:$K$446)</f>
        <v>3500</v>
      </c>
      <c r="G88" s="36">
        <f>SUMIF(PURCHASE!$X$6:$X$446,$A$5:$A$200,PURCHASE!$L$6:$L$446)</f>
        <v>0</v>
      </c>
      <c r="H88" s="36">
        <f>SUMIF(PURCHASE!$X$6:$X$446,$A$5:$A$200,PURCHASE!$M$6:$M$446)</f>
        <v>315</v>
      </c>
      <c r="I88" s="36">
        <f>SUMIF(PURCHASE!$X$6:$X$446,$A$5:$A$200,PURCHASE!$N$6:$N$446)</f>
        <v>315</v>
      </c>
      <c r="J88" s="36">
        <f>SUMIF(PURCHASE!$X$6:$X$446,$A$5:$A$200,PURCHASE!$O$6:$O$446)</f>
        <v>0</v>
      </c>
    </row>
    <row r="89" spans="1:10" x14ac:dyDescent="0.3">
      <c r="A89" s="216" t="s">
        <v>516</v>
      </c>
      <c r="B89" s="216" t="s">
        <v>517</v>
      </c>
      <c r="C89" s="215" t="s">
        <v>246</v>
      </c>
      <c r="D89" s="36">
        <f>SUMIF(PURCHASE!$X$6:$X$446,$A$5:$A$200,PURCHASE!$AB$6:$AB$446)</f>
        <v>0</v>
      </c>
      <c r="E89" s="36">
        <f>SUMIF(PURCHASE!$X$6:$X$446,$A$5:$A$200,PURCHASE!$E$6:$E$446)</f>
        <v>0</v>
      </c>
      <c r="F89" s="36">
        <f>SUMIF(PURCHASE!$X$6:$X$446,$A$5:$A$200,PURCHASE!$K$6:$K$446)</f>
        <v>0</v>
      </c>
      <c r="G89" s="36">
        <f>SUMIF(PURCHASE!$X$6:$X$446,$A$5:$A$200,PURCHASE!$L$6:$L$446)</f>
        <v>0</v>
      </c>
      <c r="H89" s="36">
        <f>SUMIF(PURCHASE!$X$6:$X$446,$A$5:$A$200,PURCHASE!$M$6:$M$446)</f>
        <v>0</v>
      </c>
      <c r="I89" s="36">
        <f>SUMIF(PURCHASE!$X$6:$X$446,$A$5:$A$200,PURCHASE!$N$6:$N$446)</f>
        <v>0</v>
      </c>
      <c r="J89" s="36">
        <f>SUMIF(PURCHASE!$X$6:$X$446,$A$5:$A$200,PURCHASE!$O$6:$O$446)</f>
        <v>0</v>
      </c>
    </row>
    <row r="90" spans="1:10" x14ac:dyDescent="0.3">
      <c r="A90" s="216" t="s">
        <v>518</v>
      </c>
      <c r="B90" s="216" t="s">
        <v>519</v>
      </c>
      <c r="C90" s="215" t="s">
        <v>246</v>
      </c>
      <c r="D90" s="36">
        <f>SUMIF(PURCHASE!$X$6:$X$446,$A$5:$A$200,PURCHASE!$AB$6:$AB$446)</f>
        <v>810</v>
      </c>
      <c r="E90" s="36">
        <f>SUMIF(PURCHASE!$X$6:$X$446,$A$5:$A$200,PURCHASE!$E$6:$E$446)</f>
        <v>167776.04620000001</v>
      </c>
      <c r="F90" s="36">
        <f>SUMIF(PURCHASE!$X$6:$X$446,$A$5:$A$200,PURCHASE!$K$6:$K$446)</f>
        <v>142183.09</v>
      </c>
      <c r="G90" s="36">
        <f>SUMIF(PURCHASE!$X$6:$X$446,$A$5:$A$200,PURCHASE!$L$6:$L$446)</f>
        <v>0</v>
      </c>
      <c r="H90" s="36">
        <f>SUMIF(PURCHASE!$X$6:$X$446,$A$5:$A$200,PURCHASE!$M$6:$M$446)</f>
        <v>12796.478099999998</v>
      </c>
      <c r="I90" s="36">
        <f>SUMIF(PURCHASE!$X$6:$X$446,$A$5:$A$200,PURCHASE!$N$6:$N$446)</f>
        <v>12796.478099999998</v>
      </c>
      <c r="J90" s="36">
        <f>SUMIF(PURCHASE!$X$6:$X$446,$A$5:$A$200,PURCHASE!$O$6:$O$446)</f>
        <v>0</v>
      </c>
    </row>
    <row r="91" spans="1:10" x14ac:dyDescent="0.3">
      <c r="A91" s="216" t="s">
        <v>520</v>
      </c>
      <c r="B91" s="216" t="s">
        <v>521</v>
      </c>
      <c r="C91" s="215" t="s">
        <v>246</v>
      </c>
      <c r="D91" s="36">
        <f>SUMIF(PURCHASE!$X$6:$X$446,$A$5:$A$200,PURCHASE!$AB$6:$AB$446)</f>
        <v>0</v>
      </c>
      <c r="E91" s="36">
        <f>SUMIF(PURCHASE!$X$6:$X$446,$A$5:$A$200,PURCHASE!$E$6:$E$446)</f>
        <v>0</v>
      </c>
      <c r="F91" s="36">
        <f>SUMIF(PURCHASE!$X$6:$X$446,$A$5:$A$200,PURCHASE!$K$6:$K$446)</f>
        <v>0</v>
      </c>
      <c r="G91" s="36">
        <f>SUMIF(PURCHASE!$X$6:$X$446,$A$5:$A$200,PURCHASE!$L$6:$L$446)</f>
        <v>0</v>
      </c>
      <c r="H91" s="36">
        <f>SUMIF(PURCHASE!$X$6:$X$446,$A$5:$A$200,PURCHASE!$M$6:$M$446)</f>
        <v>0</v>
      </c>
      <c r="I91" s="36">
        <f>SUMIF(PURCHASE!$X$6:$X$446,$A$5:$A$200,PURCHASE!$N$6:$N$446)</f>
        <v>0</v>
      </c>
      <c r="J91" s="36">
        <f>SUMIF(PURCHASE!$X$6:$X$446,$A$5:$A$200,PURCHASE!$O$6:$O$446)</f>
        <v>0</v>
      </c>
    </row>
    <row r="92" spans="1:10" x14ac:dyDescent="0.3">
      <c r="A92" s="216" t="s">
        <v>522</v>
      </c>
      <c r="B92" s="216" t="s">
        <v>523</v>
      </c>
      <c r="C92" s="215" t="s">
        <v>235</v>
      </c>
      <c r="D92" s="36">
        <f>SUMIF(PURCHASE!$X$6:$X$446,$A$5:$A$200,PURCHASE!$AB$6:$AB$446)</f>
        <v>0.5</v>
      </c>
      <c r="E92" s="36">
        <f>SUMIF(PURCHASE!$X$6:$X$446,$A$5:$A$200,PURCHASE!$E$6:$E$446)</f>
        <v>41.3</v>
      </c>
      <c r="F92" s="36">
        <f>SUMIF(PURCHASE!$X$6:$X$446,$A$5:$A$200,PURCHASE!$K$6:$K$446)</f>
        <v>35</v>
      </c>
      <c r="G92" s="36">
        <f>SUMIF(PURCHASE!$X$6:$X$446,$A$5:$A$200,PURCHASE!$L$6:$L$446)</f>
        <v>0</v>
      </c>
      <c r="H92" s="36">
        <f>SUMIF(PURCHASE!$X$6:$X$446,$A$5:$A$200,PURCHASE!$M$6:$M$446)</f>
        <v>3.15</v>
      </c>
      <c r="I92" s="36">
        <f>SUMIF(PURCHASE!$X$6:$X$446,$A$5:$A$200,PURCHASE!$N$6:$N$446)</f>
        <v>3.15</v>
      </c>
      <c r="J92" s="36">
        <f>SUMIF(PURCHASE!$X$6:$X$446,$A$5:$A$200,PURCHASE!$O$6:$O$446)</f>
        <v>0</v>
      </c>
    </row>
    <row r="93" spans="1:10" x14ac:dyDescent="0.3">
      <c r="A93" s="216" t="s">
        <v>524</v>
      </c>
      <c r="B93" s="216" t="s">
        <v>525</v>
      </c>
      <c r="C93" s="215" t="s">
        <v>246</v>
      </c>
      <c r="D93" s="36">
        <f>SUMIF(PURCHASE!$X$6:$X$446,$A$5:$A$200,PURCHASE!$AB$6:$AB$446)</f>
        <v>4</v>
      </c>
      <c r="E93" s="36">
        <f>SUMIF(PURCHASE!$X$6:$X$446,$A$5:$A$200,PURCHASE!$E$6:$E$446)</f>
        <v>141.60000000000002</v>
      </c>
      <c r="F93" s="36">
        <f>SUMIF(PURCHASE!$X$6:$X$446,$A$5:$A$200,PURCHASE!$K$6:$K$446)</f>
        <v>120</v>
      </c>
      <c r="G93" s="36">
        <f>SUMIF(PURCHASE!$X$6:$X$446,$A$5:$A$200,PURCHASE!$L$6:$L$446)</f>
        <v>0</v>
      </c>
      <c r="H93" s="36">
        <f>SUMIF(PURCHASE!$X$6:$X$446,$A$5:$A$200,PURCHASE!$M$6:$M$446)</f>
        <v>10.799999999999999</v>
      </c>
      <c r="I93" s="36">
        <f>SUMIF(PURCHASE!$X$6:$X$446,$A$5:$A$200,PURCHASE!$N$6:$N$446)</f>
        <v>10.799999999999999</v>
      </c>
      <c r="J93" s="36">
        <f>SUMIF(PURCHASE!$X$6:$X$446,$A$5:$A$200,PURCHASE!$O$6:$O$446)</f>
        <v>0</v>
      </c>
    </row>
    <row r="94" spans="1:10" x14ac:dyDescent="0.3">
      <c r="A94" s="216" t="s">
        <v>526</v>
      </c>
      <c r="B94" s="216" t="s">
        <v>527</v>
      </c>
      <c r="C94" s="215" t="s">
        <v>246</v>
      </c>
      <c r="D94" s="36">
        <f>SUMIF(PURCHASE!$X$6:$X$446,$A$5:$A$200,PURCHASE!$AB$6:$AB$446)</f>
        <v>52</v>
      </c>
      <c r="E94" s="36">
        <f>SUMIF(PURCHASE!$X$6:$X$446,$A$5:$A$200,PURCHASE!$E$6:$E$446)</f>
        <v>13245.358399999999</v>
      </c>
      <c r="F94" s="36">
        <f>SUMIF(PURCHASE!$X$6:$X$446,$A$5:$A$200,PURCHASE!$K$6:$K$446)</f>
        <v>11224.88</v>
      </c>
      <c r="G94" s="36">
        <f>SUMIF(PURCHASE!$X$6:$X$446,$A$5:$A$200,PURCHASE!$L$6:$L$446)</f>
        <v>0</v>
      </c>
      <c r="H94" s="36">
        <f>SUMIF(PURCHASE!$X$6:$X$446,$A$5:$A$200,PURCHASE!$M$6:$M$446)</f>
        <v>1010.2392</v>
      </c>
      <c r="I94" s="36">
        <f>SUMIF(PURCHASE!$X$6:$X$446,$A$5:$A$200,PURCHASE!$N$6:$N$446)</f>
        <v>1010.2392</v>
      </c>
      <c r="J94" s="36">
        <f>SUMIF(PURCHASE!$X$6:$X$446,$A$5:$A$200,PURCHASE!$O$6:$O$446)</f>
        <v>0</v>
      </c>
    </row>
    <row r="95" spans="1:10" x14ac:dyDescent="0.3">
      <c r="A95" s="214">
        <v>3824</v>
      </c>
      <c r="B95" s="217" t="s">
        <v>528</v>
      </c>
      <c r="C95" s="215" t="s">
        <v>246</v>
      </c>
      <c r="D95" s="36">
        <f>SUMIF(PURCHASE!$X$6:$X$446,$A$5:$A$200,PURCHASE!$AB$6:$AB$446)</f>
        <v>56</v>
      </c>
      <c r="E95" s="36">
        <f>SUMIF(PURCHASE!$X$6:$X$446,$A$5:$A$200,PURCHASE!$E$6:$E$446)</f>
        <v>46982.87999999999</v>
      </c>
      <c r="F95" s="36">
        <f>SUMIF(PURCHASE!$X$6:$X$446,$A$5:$A$200,PURCHASE!$K$6:$K$446)</f>
        <v>39816</v>
      </c>
      <c r="G95" s="36">
        <f>SUMIF(PURCHASE!$X$6:$X$446,$A$5:$A$200,PURCHASE!$L$6:$L$446)</f>
        <v>0</v>
      </c>
      <c r="H95" s="36">
        <f>SUMIF(PURCHASE!$X$6:$X$446,$A$5:$A$200,PURCHASE!$M$6:$M$446)</f>
        <v>3583.44</v>
      </c>
      <c r="I95" s="36">
        <f>SUMIF(PURCHASE!$X$6:$X$446,$A$5:$A$200,PURCHASE!$N$6:$N$446)</f>
        <v>3583.44</v>
      </c>
      <c r="J95" s="36">
        <f>SUMIF(PURCHASE!$X$6:$X$446,$A$5:$A$200,PURCHASE!$O$6:$O$446)</f>
        <v>0</v>
      </c>
    </row>
    <row r="96" spans="1:10" x14ac:dyDescent="0.3">
      <c r="A96" s="214">
        <v>6810</v>
      </c>
      <c r="B96" s="218" t="s">
        <v>529</v>
      </c>
      <c r="C96" s="215" t="s">
        <v>246</v>
      </c>
      <c r="D96" s="36">
        <f>SUMIF(PURCHASE!$X$6:$X$446,$A$5:$A$200,PURCHASE!$AB$6:$AB$446)</f>
        <v>0</v>
      </c>
      <c r="E96" s="36">
        <f>SUMIF(PURCHASE!$X$6:$X$446,$A$5:$A$200,PURCHASE!$E$6:$E$446)</f>
        <v>0</v>
      </c>
      <c r="F96" s="36">
        <f>SUMIF(PURCHASE!$X$6:$X$446,$A$5:$A$200,PURCHASE!$K$6:$K$446)</f>
        <v>0</v>
      </c>
      <c r="G96" s="36">
        <f>SUMIF(PURCHASE!$X$6:$X$446,$A$5:$A$200,PURCHASE!$L$6:$L$446)</f>
        <v>0</v>
      </c>
      <c r="H96" s="36">
        <f>SUMIF(PURCHASE!$X$6:$X$446,$A$5:$A$200,PURCHASE!$M$6:$M$446)</f>
        <v>0</v>
      </c>
      <c r="I96" s="36">
        <f>SUMIF(PURCHASE!$X$6:$X$446,$A$5:$A$200,PURCHASE!$N$6:$N$446)</f>
        <v>0</v>
      </c>
      <c r="J96" s="36">
        <f>SUMIF(PURCHASE!$X$6:$X$446,$A$5:$A$200,PURCHASE!$O$6:$O$446)</f>
        <v>0</v>
      </c>
    </row>
    <row r="97" spans="1:10" x14ac:dyDescent="0.3">
      <c r="A97" s="214">
        <v>846799</v>
      </c>
      <c r="B97" s="218" t="s">
        <v>530</v>
      </c>
      <c r="C97" s="215" t="s">
        <v>246</v>
      </c>
      <c r="D97" s="36">
        <f>SUMIF(PURCHASE!$X$6:$X$446,$A$5:$A$200,PURCHASE!$AB$6:$AB$446)</f>
        <v>0</v>
      </c>
      <c r="E97" s="36">
        <f>SUMIF(PURCHASE!$X$6:$X$446,$A$5:$A$200,PURCHASE!$E$6:$E$446)</f>
        <v>0</v>
      </c>
      <c r="F97" s="36">
        <f>SUMIF(PURCHASE!$X$6:$X$446,$A$5:$A$200,PURCHASE!$K$6:$K$446)</f>
        <v>0</v>
      </c>
      <c r="G97" s="36">
        <f>SUMIF(PURCHASE!$X$6:$X$446,$A$5:$A$200,PURCHASE!$L$6:$L$446)</f>
        <v>0</v>
      </c>
      <c r="H97" s="36">
        <f>SUMIF(PURCHASE!$X$6:$X$446,$A$5:$A$200,PURCHASE!$M$6:$M$446)</f>
        <v>0</v>
      </c>
      <c r="I97" s="36">
        <f>SUMIF(PURCHASE!$X$6:$X$446,$A$5:$A$200,PURCHASE!$N$6:$N$446)</f>
        <v>0</v>
      </c>
      <c r="J97" s="36">
        <f>SUMIF(PURCHASE!$X$6:$X$446,$A$5:$A$200,PURCHASE!$O$6:$O$446)</f>
        <v>0</v>
      </c>
    </row>
    <row r="98" spans="1:10" x14ac:dyDescent="0.3">
      <c r="A98" s="214">
        <v>401693</v>
      </c>
      <c r="B98" s="216" t="s">
        <v>500</v>
      </c>
      <c r="C98" s="215" t="s">
        <v>246</v>
      </c>
      <c r="D98" s="36">
        <f>SUMIF(PURCHASE!$X$6:$X$446,$A$5:$A$200,PURCHASE!$AB$6:$AB$446)</f>
        <v>0</v>
      </c>
      <c r="E98" s="36">
        <f>SUMIF(PURCHASE!$X$6:$X$446,$A$5:$A$200,PURCHASE!$E$6:$E$446)</f>
        <v>0</v>
      </c>
      <c r="F98" s="36">
        <f>SUMIF(PURCHASE!$X$6:$X$446,$A$5:$A$200,PURCHASE!$K$6:$K$446)</f>
        <v>0</v>
      </c>
      <c r="G98" s="36">
        <f>SUMIF(PURCHASE!$X$6:$X$446,$A$5:$A$200,PURCHASE!$L$6:$L$446)</f>
        <v>0</v>
      </c>
      <c r="H98" s="36">
        <f>SUMIF(PURCHASE!$X$6:$X$446,$A$5:$A$200,PURCHASE!$M$6:$M$446)</f>
        <v>0</v>
      </c>
      <c r="I98" s="36">
        <f>SUMIF(PURCHASE!$X$6:$X$446,$A$5:$A$200,PURCHASE!$N$6:$N$446)</f>
        <v>0</v>
      </c>
      <c r="J98" s="36">
        <f>SUMIF(PURCHASE!$X$6:$X$446,$A$5:$A$200,PURCHASE!$O$6:$O$446)</f>
        <v>0</v>
      </c>
    </row>
    <row r="99" spans="1:10" x14ac:dyDescent="0.3">
      <c r="A99" s="214">
        <v>84679900</v>
      </c>
      <c r="B99" s="218" t="s">
        <v>530</v>
      </c>
      <c r="C99" s="215" t="s">
        <v>246</v>
      </c>
      <c r="D99" s="36">
        <f>SUMIF(PURCHASE!$X$6:$X$446,$A$5:$A$200,PURCHASE!$AB$6:$AB$446)</f>
        <v>0</v>
      </c>
      <c r="E99" s="36">
        <f>SUMIF(PURCHASE!$X$6:$X$446,$A$5:$A$200,PURCHASE!$E$6:$E$446)</f>
        <v>0</v>
      </c>
      <c r="F99" s="36">
        <f>SUMIF(PURCHASE!$X$6:$X$446,$A$5:$A$200,PURCHASE!$K$6:$K$446)</f>
        <v>0</v>
      </c>
      <c r="G99" s="36">
        <f>SUMIF(PURCHASE!$X$6:$X$446,$A$5:$A$200,PURCHASE!$L$6:$L$446)</f>
        <v>0</v>
      </c>
      <c r="H99" s="36">
        <f>SUMIF(PURCHASE!$X$6:$X$446,$A$5:$A$200,PURCHASE!$M$6:$M$446)</f>
        <v>0</v>
      </c>
      <c r="I99" s="36">
        <f>SUMIF(PURCHASE!$X$6:$X$446,$A$5:$A$200,PURCHASE!$N$6:$N$446)</f>
        <v>0</v>
      </c>
      <c r="J99" s="36">
        <f>SUMIF(PURCHASE!$X$6:$X$446,$A$5:$A$200,PURCHASE!$O$6:$O$446)</f>
        <v>0</v>
      </c>
    </row>
    <row r="100" spans="1:10" x14ac:dyDescent="0.3">
      <c r="A100" s="214">
        <v>3919</v>
      </c>
      <c r="B100" s="214" t="s">
        <v>478</v>
      </c>
      <c r="C100" s="215" t="s">
        <v>246</v>
      </c>
      <c r="D100" s="36">
        <f>SUMIF(PURCHASE!$X$6:$X$446,$A$5:$A$200,PURCHASE!$AB$6:$AB$446)</f>
        <v>15</v>
      </c>
      <c r="E100" s="36">
        <f>SUMIF(PURCHASE!$X$6:$X$446,$A$5:$A$200,PURCHASE!$E$6:$E$446)</f>
        <v>318.60000000000002</v>
      </c>
      <c r="F100" s="36">
        <f>SUMIF(PURCHASE!$X$6:$X$446,$A$5:$A$200,PURCHASE!$K$6:$K$446)</f>
        <v>270</v>
      </c>
      <c r="G100" s="36">
        <f>SUMIF(PURCHASE!$X$6:$X$446,$A$5:$A$200,PURCHASE!$L$6:$L$446)</f>
        <v>0</v>
      </c>
      <c r="H100" s="36">
        <f>SUMIF(PURCHASE!$X$6:$X$446,$A$5:$A$200,PURCHASE!$M$6:$M$446)</f>
        <v>24.3</v>
      </c>
      <c r="I100" s="36">
        <f>SUMIF(PURCHASE!$X$6:$X$446,$A$5:$A$200,PURCHASE!$N$6:$N$446)</f>
        <v>24.3</v>
      </c>
      <c r="J100" s="36">
        <f>SUMIF(PURCHASE!$X$6:$X$446,$A$5:$A$200,PURCHASE!$O$6:$O$446)</f>
        <v>0</v>
      </c>
    </row>
    <row r="101" spans="1:10" x14ac:dyDescent="0.3">
      <c r="A101" s="214">
        <v>27101990</v>
      </c>
      <c r="B101" s="218" t="s">
        <v>531</v>
      </c>
      <c r="C101" s="215" t="s">
        <v>235</v>
      </c>
      <c r="D101" s="36">
        <f>SUMIF(PURCHASE!$X$6:$X$446,$A$5:$A$200,PURCHASE!$AB$6:$AB$446)</f>
        <v>0</v>
      </c>
      <c r="E101" s="36">
        <f>SUMIF(PURCHASE!$X$6:$X$446,$A$5:$A$200,PURCHASE!$E$6:$E$446)</f>
        <v>0</v>
      </c>
      <c r="F101" s="36">
        <f>SUMIF(PURCHASE!$X$6:$X$446,$A$5:$A$200,PURCHASE!$K$6:$K$446)</f>
        <v>0</v>
      </c>
      <c r="G101" s="36">
        <f>SUMIF(PURCHASE!$X$6:$X$446,$A$5:$A$200,PURCHASE!$L$6:$L$446)</f>
        <v>0</v>
      </c>
      <c r="H101" s="36">
        <f>SUMIF(PURCHASE!$X$6:$X$446,$A$5:$A$200,PURCHASE!$M$6:$M$446)</f>
        <v>0</v>
      </c>
      <c r="I101" s="36">
        <f>SUMIF(PURCHASE!$X$6:$X$446,$A$5:$A$200,PURCHASE!$N$6:$N$446)</f>
        <v>0</v>
      </c>
      <c r="J101" s="36">
        <f>SUMIF(PURCHASE!$X$6:$X$446,$A$5:$A$200,PURCHASE!$O$6:$O$446)</f>
        <v>0</v>
      </c>
    </row>
    <row r="102" spans="1:10" x14ac:dyDescent="0.3">
      <c r="A102" s="214">
        <v>8211</v>
      </c>
      <c r="B102" s="218" t="s">
        <v>479</v>
      </c>
      <c r="C102" s="215" t="s">
        <v>246</v>
      </c>
      <c r="D102" s="36">
        <f>SUMIF(PURCHASE!$X$6:$X$446,$A$5:$A$200,PURCHASE!$AB$6:$AB$446)</f>
        <v>0</v>
      </c>
      <c r="E102" s="36">
        <f>SUMIF(PURCHASE!$X$6:$X$446,$A$5:$A$200,PURCHASE!$E$6:$E$446)</f>
        <v>0</v>
      </c>
      <c r="F102" s="36">
        <f>SUMIF(PURCHASE!$X$6:$X$446,$A$5:$A$200,PURCHASE!$K$6:$K$446)</f>
        <v>0</v>
      </c>
      <c r="G102" s="36">
        <f>SUMIF(PURCHASE!$X$6:$X$446,$A$5:$A$200,PURCHASE!$L$6:$L$446)</f>
        <v>0</v>
      </c>
      <c r="H102" s="36">
        <f>SUMIF(PURCHASE!$X$6:$X$446,$A$5:$A$200,PURCHASE!$M$6:$M$446)</f>
        <v>0</v>
      </c>
      <c r="I102" s="36">
        <f>SUMIF(PURCHASE!$X$6:$X$446,$A$5:$A$200,PURCHASE!$N$6:$N$446)</f>
        <v>0</v>
      </c>
      <c r="J102" s="36">
        <f>SUMIF(PURCHASE!$X$6:$X$446,$A$5:$A$200,PURCHASE!$O$6:$O$446)</f>
        <v>0</v>
      </c>
    </row>
    <row r="103" spans="1:10" x14ac:dyDescent="0.3">
      <c r="A103" s="214">
        <v>4817200</v>
      </c>
      <c r="B103" s="218" t="s">
        <v>532</v>
      </c>
      <c r="C103" s="215" t="s">
        <v>246</v>
      </c>
      <c r="D103" s="36">
        <f>SUMIF(PURCHASE!$X$6:$X$446,$A$5:$A$200,PURCHASE!$AB$6:$AB$446)</f>
        <v>0</v>
      </c>
      <c r="E103" s="36">
        <f>SUMIF(PURCHASE!$X$6:$X$446,$A$5:$A$200,PURCHASE!$E$6:$E$446)</f>
        <v>0</v>
      </c>
      <c r="F103" s="36">
        <f>SUMIF(PURCHASE!$X$6:$X$446,$A$5:$A$200,PURCHASE!$K$6:$K$446)</f>
        <v>0</v>
      </c>
      <c r="G103" s="36">
        <f>SUMIF(PURCHASE!$X$6:$X$446,$A$5:$A$200,PURCHASE!$L$6:$L$446)</f>
        <v>0</v>
      </c>
      <c r="H103" s="36">
        <f>SUMIF(PURCHASE!$X$6:$X$446,$A$5:$A$200,PURCHASE!$M$6:$M$446)</f>
        <v>0</v>
      </c>
      <c r="I103" s="36">
        <f>SUMIF(PURCHASE!$X$6:$X$446,$A$5:$A$200,PURCHASE!$N$6:$N$446)</f>
        <v>0</v>
      </c>
      <c r="J103" s="36">
        <f>SUMIF(PURCHASE!$X$6:$X$446,$A$5:$A$200,PURCHASE!$O$6:$O$446)</f>
        <v>0</v>
      </c>
    </row>
    <row r="104" spans="1:10" x14ac:dyDescent="0.3">
      <c r="A104" s="214" t="s">
        <v>87</v>
      </c>
      <c r="B104" s="214" t="s">
        <v>459</v>
      </c>
      <c r="C104" s="215" t="s">
        <v>246</v>
      </c>
      <c r="D104" s="36">
        <f>SUMIF(PURCHASE!$X$6:$X$446,$A$5:$A$200,PURCHASE!$AB$6:$AB$446)</f>
        <v>0</v>
      </c>
      <c r="E104" s="36">
        <f>SUMIF(PURCHASE!$X$6:$X$446,$A$5:$A$200,PURCHASE!$E$6:$E$446)</f>
        <v>0</v>
      </c>
      <c r="F104" s="36">
        <f>SUMIF(PURCHASE!$X$6:$X$446,$A$5:$A$200,PURCHASE!$K$6:$K$446)</f>
        <v>0</v>
      </c>
      <c r="G104" s="36">
        <f>SUMIF(PURCHASE!$X$6:$X$446,$A$5:$A$200,PURCHASE!$L$6:$L$446)</f>
        <v>0</v>
      </c>
      <c r="H104" s="36">
        <f>SUMIF(PURCHASE!$X$6:$X$446,$A$5:$A$200,PURCHASE!$M$6:$M$446)</f>
        <v>0</v>
      </c>
      <c r="I104" s="36">
        <f>SUMIF(PURCHASE!$X$6:$X$446,$A$5:$A$200,PURCHASE!$N$6:$N$446)</f>
        <v>0</v>
      </c>
      <c r="J104" s="36">
        <f>SUMIF(PURCHASE!$X$6:$X$446,$A$5:$A$200,PURCHASE!$O$6:$O$446)</f>
        <v>0</v>
      </c>
    </row>
    <row r="105" spans="1:10" x14ac:dyDescent="0.3">
      <c r="A105" s="214">
        <v>8207</v>
      </c>
      <c r="B105" s="218" t="s">
        <v>533</v>
      </c>
      <c r="C105" s="215" t="s">
        <v>246</v>
      </c>
      <c r="D105" s="36">
        <f>SUMIF(PURCHASE!$X$6:$X$446,$A$5:$A$200,PURCHASE!$AB$6:$AB$446)</f>
        <v>0</v>
      </c>
      <c r="E105" s="36">
        <f>SUMIF(PURCHASE!$X$6:$X$446,$A$5:$A$200,PURCHASE!$E$6:$E$446)</f>
        <v>0</v>
      </c>
      <c r="F105" s="36">
        <f>SUMIF(PURCHASE!$X$6:$X$446,$A$5:$A$200,PURCHASE!$K$6:$K$446)</f>
        <v>0</v>
      </c>
      <c r="G105" s="36">
        <f>SUMIF(PURCHASE!$X$6:$X$446,$A$5:$A$200,PURCHASE!$L$6:$L$446)</f>
        <v>0</v>
      </c>
      <c r="H105" s="36">
        <f>SUMIF(PURCHASE!$X$6:$X$446,$A$5:$A$200,PURCHASE!$M$6:$M$446)</f>
        <v>0</v>
      </c>
      <c r="I105" s="36">
        <f>SUMIF(PURCHASE!$X$6:$X$446,$A$5:$A$200,PURCHASE!$N$6:$N$446)</f>
        <v>0</v>
      </c>
      <c r="J105" s="36">
        <f>SUMIF(PURCHASE!$X$6:$X$446,$A$5:$A$200,PURCHASE!$O$6:$O$446)</f>
        <v>0</v>
      </c>
    </row>
    <row r="106" spans="1:10" x14ac:dyDescent="0.3">
      <c r="A106" s="214">
        <v>7318</v>
      </c>
      <c r="B106" s="216" t="s">
        <v>501</v>
      </c>
      <c r="C106" s="215" t="s">
        <v>246</v>
      </c>
      <c r="D106" s="36">
        <f>SUMIF(PURCHASE!$X$6:$X$446,$A$5:$A$200,PURCHASE!$AB$6:$AB$446)</f>
        <v>5113</v>
      </c>
      <c r="E106" s="36">
        <f>SUMIF(PURCHASE!$X$6:$X$446,$A$5:$A$200,PURCHASE!$E$6:$E$446)</f>
        <v>8950.488800000001</v>
      </c>
      <c r="F106" s="36">
        <f>SUMIF(PURCHASE!$X$6:$X$446,$A$5:$A$200,PURCHASE!$K$6:$K$446)</f>
        <v>7585.16</v>
      </c>
      <c r="G106" s="36">
        <f>SUMIF(PURCHASE!$X$6:$X$446,$A$5:$A$200,PURCHASE!$L$6:$L$446)</f>
        <v>0</v>
      </c>
      <c r="H106" s="36">
        <f>SUMIF(PURCHASE!$X$6:$X$446,$A$5:$A$200,PURCHASE!$M$6:$M$446)</f>
        <v>682.66439999999989</v>
      </c>
      <c r="I106" s="36">
        <f>SUMIF(PURCHASE!$X$6:$X$446,$A$5:$A$200,PURCHASE!$N$6:$N$446)</f>
        <v>682.66439999999989</v>
      </c>
      <c r="J106" s="36">
        <f>SUMIF(PURCHASE!$X$6:$X$446,$A$5:$A$200,PURCHASE!$O$6:$O$446)</f>
        <v>0</v>
      </c>
    </row>
    <row r="107" spans="1:10" x14ac:dyDescent="0.3">
      <c r="A107" s="214">
        <v>8506</v>
      </c>
      <c r="B107" s="214" t="s">
        <v>472</v>
      </c>
      <c r="C107" s="215" t="s">
        <v>246</v>
      </c>
      <c r="D107" s="36">
        <f>SUMIF(PURCHASE!$X$6:$X$446,$A$5:$A$200,PURCHASE!$AB$6:$AB$446)</f>
        <v>0</v>
      </c>
      <c r="E107" s="36">
        <f>SUMIF(PURCHASE!$X$6:$X$446,$A$5:$A$200,PURCHASE!$E$6:$E$446)</f>
        <v>0</v>
      </c>
      <c r="F107" s="36">
        <f>SUMIF(PURCHASE!$X$6:$X$446,$A$5:$A$200,PURCHASE!$K$6:$K$446)</f>
        <v>0</v>
      </c>
      <c r="G107" s="36">
        <f>SUMIF(PURCHASE!$X$6:$X$446,$A$5:$A$200,PURCHASE!$L$6:$L$446)</f>
        <v>0</v>
      </c>
      <c r="H107" s="36">
        <f>SUMIF(PURCHASE!$X$6:$X$446,$A$5:$A$200,PURCHASE!$M$6:$M$446)</f>
        <v>0</v>
      </c>
      <c r="I107" s="36">
        <f>SUMIF(PURCHASE!$X$6:$X$446,$A$5:$A$200,PURCHASE!$N$6:$N$446)</f>
        <v>0</v>
      </c>
      <c r="J107" s="36">
        <f>SUMIF(PURCHASE!$X$6:$X$446,$A$5:$A$200,PURCHASE!$O$6:$O$446)</f>
        <v>0</v>
      </c>
    </row>
    <row r="108" spans="1:10" x14ac:dyDescent="0.3">
      <c r="A108" s="214">
        <v>8205</v>
      </c>
      <c r="B108" s="214" t="s">
        <v>476</v>
      </c>
      <c r="C108" s="215" t="s">
        <v>246</v>
      </c>
      <c r="D108" s="36">
        <f>SUMIF(PURCHASE!$X$6:$X$446,$A$5:$A$200,PURCHASE!$AB$6:$AB$446)</f>
        <v>0</v>
      </c>
      <c r="E108" s="36">
        <f>SUMIF(PURCHASE!$X$6:$X$446,$A$5:$A$200,PURCHASE!$E$6:$E$446)</f>
        <v>0</v>
      </c>
      <c r="F108" s="36">
        <f>SUMIF(PURCHASE!$X$6:$X$446,$A$5:$A$200,PURCHASE!$K$6:$K$446)</f>
        <v>0</v>
      </c>
      <c r="G108" s="36">
        <f>SUMIF(PURCHASE!$X$6:$X$446,$A$5:$A$200,PURCHASE!$L$6:$L$446)</f>
        <v>0</v>
      </c>
      <c r="H108" s="36">
        <f>SUMIF(PURCHASE!$X$6:$X$446,$A$5:$A$200,PURCHASE!$M$6:$M$446)</f>
        <v>0</v>
      </c>
      <c r="I108" s="36">
        <f>SUMIF(PURCHASE!$X$6:$X$446,$A$5:$A$200,PURCHASE!$N$6:$N$446)</f>
        <v>0</v>
      </c>
      <c r="J108" s="36">
        <f>SUMIF(PURCHASE!$X$6:$X$446,$A$5:$A$200,PURCHASE!$O$6:$O$446)</f>
        <v>0</v>
      </c>
    </row>
    <row r="109" spans="1:10" x14ac:dyDescent="0.3">
      <c r="A109" s="214">
        <v>8481</v>
      </c>
      <c r="B109" s="216" t="s">
        <v>499</v>
      </c>
      <c r="C109" s="215" t="s">
        <v>246</v>
      </c>
      <c r="D109" s="36">
        <f>SUMIF(PURCHASE!$X$6:$X$446,$A$5:$A$200,PURCHASE!$AB$6:$AB$446)</f>
        <v>6</v>
      </c>
      <c r="E109" s="36">
        <f>SUMIF(PURCHASE!$X$6:$X$446,$A$5:$A$200,PURCHASE!$E$6:$E$446)</f>
        <v>1675.6</v>
      </c>
      <c r="F109" s="36">
        <f>SUMIF(PURCHASE!$X$6:$X$446,$A$5:$A$200,PURCHASE!$K$6:$K$446)</f>
        <v>1420</v>
      </c>
      <c r="G109" s="36">
        <f>SUMIF(PURCHASE!$X$6:$X$446,$A$5:$A$200,PURCHASE!$L$6:$L$446)</f>
        <v>0</v>
      </c>
      <c r="H109" s="36">
        <f>SUMIF(PURCHASE!$X$6:$X$446,$A$5:$A$200,PURCHASE!$M$6:$M$446)</f>
        <v>127.8</v>
      </c>
      <c r="I109" s="36">
        <f>SUMIF(PURCHASE!$X$6:$X$446,$A$5:$A$200,PURCHASE!$N$6:$N$446)</f>
        <v>127.8</v>
      </c>
      <c r="J109" s="36">
        <f>SUMIF(PURCHASE!$X$6:$X$446,$A$5:$A$200,PURCHASE!$O$6:$O$446)</f>
        <v>0</v>
      </c>
    </row>
    <row r="110" spans="1:10" x14ac:dyDescent="0.3">
      <c r="A110" s="214">
        <v>8532</v>
      </c>
      <c r="B110" s="216" t="s">
        <v>498</v>
      </c>
      <c r="C110" s="215" t="s">
        <v>246</v>
      </c>
      <c r="D110" s="36">
        <f>SUMIF(PURCHASE!$X$6:$X$446,$A$5:$A$200,PURCHASE!$AB$6:$AB$446)</f>
        <v>0</v>
      </c>
      <c r="E110" s="36">
        <f>SUMIF(PURCHASE!$X$6:$X$446,$A$5:$A$200,PURCHASE!$E$6:$E$446)</f>
        <v>0</v>
      </c>
      <c r="F110" s="36">
        <f>SUMIF(PURCHASE!$X$6:$X$446,$A$5:$A$200,PURCHASE!$K$6:$K$446)</f>
        <v>0</v>
      </c>
      <c r="G110" s="36">
        <f>SUMIF(PURCHASE!$X$6:$X$446,$A$5:$A$200,PURCHASE!$L$6:$L$446)</f>
        <v>0</v>
      </c>
      <c r="H110" s="36">
        <f>SUMIF(PURCHASE!$X$6:$X$446,$A$5:$A$200,PURCHASE!$M$6:$M$446)</f>
        <v>0</v>
      </c>
      <c r="I110" s="36">
        <f>SUMIF(PURCHASE!$X$6:$X$446,$A$5:$A$200,PURCHASE!$N$6:$N$446)</f>
        <v>0</v>
      </c>
      <c r="J110" s="36">
        <f>SUMIF(PURCHASE!$X$6:$X$446,$A$5:$A$200,PURCHASE!$O$6:$O$446)</f>
        <v>0</v>
      </c>
    </row>
    <row r="111" spans="1:10" x14ac:dyDescent="0.3">
      <c r="A111" s="214">
        <v>8546</v>
      </c>
      <c r="B111" s="214" t="s">
        <v>534</v>
      </c>
      <c r="C111" s="215" t="s">
        <v>246</v>
      </c>
      <c r="D111" s="36">
        <f>SUMIF(PURCHASE!$X$6:$X$446,$A$5:$A$200,PURCHASE!$AB$6:$AB$446)</f>
        <v>15</v>
      </c>
      <c r="E111" s="36">
        <f>SUMIF(PURCHASE!$X$6:$X$446,$A$5:$A$200,PURCHASE!$E$6:$E$446)</f>
        <v>186.56979999999999</v>
      </c>
      <c r="F111" s="36">
        <f>SUMIF(PURCHASE!$X$6:$X$446,$A$5:$A$200,PURCHASE!$K$6:$K$446)</f>
        <v>158.11000000000001</v>
      </c>
      <c r="G111" s="36">
        <f>SUMIF(PURCHASE!$X$6:$X$446,$A$5:$A$200,PURCHASE!$L$6:$L$446)</f>
        <v>0</v>
      </c>
      <c r="H111" s="36">
        <f>SUMIF(PURCHASE!$X$6:$X$446,$A$5:$A$200,PURCHASE!$M$6:$M$446)</f>
        <v>14.229899999999999</v>
      </c>
      <c r="I111" s="36">
        <f>SUMIF(PURCHASE!$X$6:$X$446,$A$5:$A$200,PURCHASE!$N$6:$N$446)</f>
        <v>14.229899999999999</v>
      </c>
      <c r="J111" s="36">
        <f>SUMIF(PURCHASE!$X$6:$X$446,$A$5:$A$200,PURCHASE!$O$6:$O$446)</f>
        <v>0</v>
      </c>
    </row>
    <row r="112" spans="1:10" x14ac:dyDescent="0.3">
      <c r="A112" s="214">
        <v>3214</v>
      </c>
      <c r="B112" s="214" t="s">
        <v>535</v>
      </c>
      <c r="C112" s="215" t="s">
        <v>246</v>
      </c>
      <c r="D112" s="36">
        <f>SUMIF(PURCHASE!$X$6:$X$446,$A$5:$A$200,PURCHASE!$AB$6:$AB$446)</f>
        <v>0</v>
      </c>
      <c r="E112" s="36">
        <f>SUMIF(PURCHASE!$X$6:$X$446,$A$5:$A$200,PURCHASE!$E$6:$E$446)</f>
        <v>0</v>
      </c>
      <c r="F112" s="36">
        <f>SUMIF(PURCHASE!$X$6:$X$446,$A$5:$A$200,PURCHASE!$K$6:$K$446)</f>
        <v>0</v>
      </c>
      <c r="G112" s="36">
        <f>SUMIF(PURCHASE!$X$6:$X$446,$A$5:$A$200,PURCHASE!$L$6:$L$446)</f>
        <v>0</v>
      </c>
      <c r="H112" s="36">
        <f>SUMIF(PURCHASE!$X$6:$X$446,$A$5:$A$200,PURCHASE!$M$6:$M$446)</f>
        <v>0</v>
      </c>
      <c r="I112" s="36">
        <f>SUMIF(PURCHASE!$X$6:$X$446,$A$5:$A$200,PURCHASE!$N$6:$N$446)</f>
        <v>0</v>
      </c>
      <c r="J112" s="36">
        <f>SUMIF(PURCHASE!$X$6:$X$446,$A$5:$A$200,PURCHASE!$O$6:$O$446)</f>
        <v>0</v>
      </c>
    </row>
    <row r="113" spans="1:10" x14ac:dyDescent="0.3">
      <c r="A113" s="214">
        <v>3403</v>
      </c>
      <c r="B113" s="214" t="s">
        <v>536</v>
      </c>
      <c r="C113" s="215" t="s">
        <v>246</v>
      </c>
      <c r="D113" s="36">
        <f>SUMIF(PURCHASE!$X$6:$X$446,$A$5:$A$200,PURCHASE!$AB$6:$AB$446)</f>
        <v>0</v>
      </c>
      <c r="E113" s="36">
        <f>SUMIF(PURCHASE!$X$6:$X$446,$A$5:$A$200,PURCHASE!$E$6:$E$446)</f>
        <v>0</v>
      </c>
      <c r="F113" s="36">
        <f>SUMIF(PURCHASE!$X$6:$X$446,$A$5:$A$200,PURCHASE!$K$6:$K$446)</f>
        <v>0</v>
      </c>
      <c r="G113" s="36">
        <f>SUMIF(PURCHASE!$X$6:$X$446,$A$5:$A$200,PURCHASE!$L$6:$L$446)</f>
        <v>0</v>
      </c>
      <c r="H113" s="36">
        <f>SUMIF(PURCHASE!$X$6:$X$446,$A$5:$A$200,PURCHASE!$M$6:$M$446)</f>
        <v>0</v>
      </c>
      <c r="I113" s="36">
        <f>SUMIF(PURCHASE!$X$6:$X$446,$A$5:$A$200,PURCHASE!$N$6:$N$446)</f>
        <v>0</v>
      </c>
      <c r="J113" s="36">
        <f>SUMIF(PURCHASE!$X$6:$X$446,$A$5:$A$200,PURCHASE!$O$6:$O$446)</f>
        <v>0</v>
      </c>
    </row>
    <row r="114" spans="1:10" x14ac:dyDescent="0.3">
      <c r="A114" s="214">
        <v>9603</v>
      </c>
      <c r="B114" s="214" t="s">
        <v>537</v>
      </c>
      <c r="C114" s="215" t="s">
        <v>246</v>
      </c>
      <c r="D114" s="36">
        <f>SUMIF(PURCHASE!$X$6:$X$446,$A$5:$A$200,PURCHASE!$AB$6:$AB$446)</f>
        <v>9</v>
      </c>
      <c r="E114" s="36">
        <f>SUMIF(PURCHASE!$X$6:$X$446,$A$5:$A$200,PURCHASE!$E$6:$E$446)</f>
        <v>460.20000000000005</v>
      </c>
      <c r="F114" s="36">
        <f>SUMIF(PURCHASE!$X$6:$X$446,$A$5:$A$200,PURCHASE!$K$6:$K$446)</f>
        <v>390</v>
      </c>
      <c r="G114" s="36">
        <f>SUMIF(PURCHASE!$X$6:$X$446,$A$5:$A$200,PURCHASE!$L$6:$L$446)</f>
        <v>0</v>
      </c>
      <c r="H114" s="36">
        <f>SUMIF(PURCHASE!$X$6:$X$446,$A$5:$A$200,PURCHASE!$M$6:$M$446)</f>
        <v>35.1</v>
      </c>
      <c r="I114" s="36">
        <f>SUMIF(PURCHASE!$X$6:$X$446,$A$5:$A$200,PURCHASE!$N$6:$N$446)</f>
        <v>35.1</v>
      </c>
      <c r="J114" s="36">
        <f>SUMIF(PURCHASE!$X$6:$X$446,$A$5:$A$200,PURCHASE!$O$6:$O$446)</f>
        <v>0</v>
      </c>
    </row>
    <row r="115" spans="1:10" x14ac:dyDescent="0.3">
      <c r="A115" s="214">
        <v>2508</v>
      </c>
      <c r="B115" s="214" t="s">
        <v>538</v>
      </c>
      <c r="C115" s="215" t="s">
        <v>246</v>
      </c>
      <c r="D115" s="36">
        <f>SUMIF(PURCHASE!$X$6:$X$446,$A$5:$A$200,PURCHASE!$AB$6:$AB$446)</f>
        <v>0</v>
      </c>
      <c r="E115" s="36">
        <f>SUMIF(PURCHASE!$X$6:$X$446,$A$5:$A$200,PURCHASE!$E$6:$E$446)</f>
        <v>0</v>
      </c>
      <c r="F115" s="36">
        <f>SUMIF(PURCHASE!$X$6:$X$446,$A$5:$A$200,PURCHASE!$K$6:$K$446)</f>
        <v>0</v>
      </c>
      <c r="G115" s="36">
        <f>SUMIF(PURCHASE!$X$6:$X$446,$A$5:$A$200,PURCHASE!$L$6:$L$446)</f>
        <v>0</v>
      </c>
      <c r="H115" s="36">
        <f>SUMIF(PURCHASE!$X$6:$X$446,$A$5:$A$200,PURCHASE!$M$6:$M$446)</f>
        <v>0</v>
      </c>
      <c r="I115" s="36">
        <f>SUMIF(PURCHASE!$X$6:$X$446,$A$5:$A$200,PURCHASE!$N$6:$N$446)</f>
        <v>0</v>
      </c>
      <c r="J115" s="36">
        <f>SUMIF(PURCHASE!$X$6:$X$446,$A$5:$A$200,PURCHASE!$O$6:$O$446)</f>
        <v>0</v>
      </c>
    </row>
    <row r="116" spans="1:10" x14ac:dyDescent="0.3">
      <c r="A116" s="214">
        <v>7409</v>
      </c>
      <c r="B116" s="214" t="s">
        <v>539</v>
      </c>
      <c r="C116" s="215" t="s">
        <v>235</v>
      </c>
      <c r="D116" s="36">
        <f>SUMIF(PURCHASE!$X$6:$X$446,$A$5:$A$200,PURCHASE!$AB$6:$AB$446)</f>
        <v>0</v>
      </c>
      <c r="E116" s="36">
        <f>SUMIF(PURCHASE!$X$6:$X$446,$A$5:$A$200,PURCHASE!$E$6:$E$446)</f>
        <v>0</v>
      </c>
      <c r="F116" s="36">
        <f>SUMIF(PURCHASE!$X$6:$X$446,$A$5:$A$200,PURCHASE!$K$6:$K$446)</f>
        <v>0</v>
      </c>
      <c r="G116" s="36">
        <f>SUMIF(PURCHASE!$X$6:$X$446,$A$5:$A$200,PURCHASE!$L$6:$L$446)</f>
        <v>0</v>
      </c>
      <c r="H116" s="36">
        <f>SUMIF(PURCHASE!$X$6:$X$446,$A$5:$A$200,PURCHASE!$M$6:$M$446)</f>
        <v>0</v>
      </c>
      <c r="I116" s="36">
        <f>SUMIF(PURCHASE!$X$6:$X$446,$A$5:$A$200,PURCHASE!$N$6:$N$446)</f>
        <v>0</v>
      </c>
      <c r="J116" s="36">
        <f>SUMIF(PURCHASE!$X$6:$X$446,$A$5:$A$200,PURCHASE!$O$6:$O$446)</f>
        <v>0</v>
      </c>
    </row>
    <row r="117" spans="1:10" x14ac:dyDescent="0.3">
      <c r="A117" s="214">
        <v>8535</v>
      </c>
      <c r="B117" s="214" t="s">
        <v>540</v>
      </c>
      <c r="C117" s="215" t="s">
        <v>246</v>
      </c>
      <c r="D117" s="36">
        <f>SUMIF(PURCHASE!$X$6:$X$446,$A$5:$A$200,PURCHASE!$AB$6:$AB$446)</f>
        <v>0</v>
      </c>
      <c r="E117" s="36">
        <f>SUMIF(PURCHASE!$X$6:$X$446,$A$5:$A$200,PURCHASE!$E$6:$E$446)</f>
        <v>0</v>
      </c>
      <c r="F117" s="36">
        <f>SUMIF(PURCHASE!$X$6:$X$446,$A$5:$A$200,PURCHASE!$K$6:$K$446)</f>
        <v>0</v>
      </c>
      <c r="G117" s="36">
        <f>SUMIF(PURCHASE!$X$6:$X$446,$A$5:$A$200,PURCHASE!$L$6:$L$446)</f>
        <v>0</v>
      </c>
      <c r="H117" s="36">
        <f>SUMIF(PURCHASE!$X$6:$X$446,$A$5:$A$200,PURCHASE!$M$6:$M$446)</f>
        <v>0</v>
      </c>
      <c r="I117" s="36">
        <f>SUMIF(PURCHASE!$X$6:$X$446,$A$5:$A$200,PURCHASE!$N$6:$N$446)</f>
        <v>0</v>
      </c>
      <c r="J117" s="36">
        <f>SUMIF(PURCHASE!$X$6:$X$446,$A$5:$A$200,PURCHASE!$O$6:$O$446)</f>
        <v>0</v>
      </c>
    </row>
    <row r="118" spans="1:10" x14ac:dyDescent="0.3">
      <c r="A118" s="214">
        <v>998346</v>
      </c>
      <c r="B118" s="217" t="s">
        <v>541</v>
      </c>
      <c r="C118" s="215" t="s">
        <v>246</v>
      </c>
      <c r="D118" s="36">
        <f>SUMIF(PURCHASE!$X$6:$X$446,$A$5:$A$200,PURCHASE!$AB$6:$AB$446)</f>
        <v>0</v>
      </c>
      <c r="E118" s="36">
        <f>SUMIF(PURCHASE!$X$6:$X$446,$A$5:$A$200,PURCHASE!$E$6:$E$446)</f>
        <v>0</v>
      </c>
      <c r="F118" s="36">
        <f>SUMIF(PURCHASE!$X$6:$X$446,$A$5:$A$200,PURCHASE!$K$6:$K$446)</f>
        <v>0</v>
      </c>
      <c r="G118" s="36">
        <f>SUMIF(PURCHASE!$X$6:$X$446,$A$5:$A$200,PURCHASE!$L$6:$L$446)</f>
        <v>0</v>
      </c>
      <c r="H118" s="36">
        <f>SUMIF(PURCHASE!$X$6:$X$446,$A$5:$A$200,PURCHASE!$M$6:$M$446)</f>
        <v>0</v>
      </c>
      <c r="I118" s="36">
        <f>SUMIF(PURCHASE!$X$6:$X$446,$A$5:$A$200,PURCHASE!$N$6:$N$446)</f>
        <v>0</v>
      </c>
      <c r="J118" s="36">
        <f>SUMIF(PURCHASE!$X$6:$X$446,$A$5:$A$200,PURCHASE!$O$6:$O$446)</f>
        <v>0</v>
      </c>
    </row>
    <row r="119" spans="1:10" x14ac:dyDescent="0.3">
      <c r="A119" s="214">
        <v>84137010</v>
      </c>
      <c r="B119" s="214" t="s">
        <v>542</v>
      </c>
      <c r="C119" s="215" t="s">
        <v>246</v>
      </c>
      <c r="D119" s="36">
        <f>SUMIF(PURCHASE!$X$6:$X$446,$A$5:$A$200,PURCHASE!$AB$6:$AB$446)</f>
        <v>0</v>
      </c>
      <c r="E119" s="36">
        <f>SUMIF(PURCHASE!$X$6:$X$446,$A$5:$A$200,PURCHASE!$E$6:$E$446)</f>
        <v>0</v>
      </c>
      <c r="F119" s="36">
        <f>SUMIF(PURCHASE!$X$6:$X$446,$A$5:$A$200,PURCHASE!$K$6:$K$446)</f>
        <v>0</v>
      </c>
      <c r="G119" s="36">
        <f>SUMIF(PURCHASE!$X$6:$X$446,$A$5:$A$200,PURCHASE!$L$6:$L$446)</f>
        <v>0</v>
      </c>
      <c r="H119" s="36">
        <f>SUMIF(PURCHASE!$X$6:$X$446,$A$5:$A$200,PURCHASE!$M$6:$M$446)</f>
        <v>0</v>
      </c>
      <c r="I119" s="36">
        <f>SUMIF(PURCHASE!$X$6:$X$446,$A$5:$A$200,PURCHASE!$N$6:$N$446)</f>
        <v>0</v>
      </c>
      <c r="J119" s="36">
        <f>SUMIF(PURCHASE!$X$6:$X$446,$A$5:$A$200,PURCHASE!$O$6:$O$446)</f>
        <v>0</v>
      </c>
    </row>
    <row r="120" spans="1:10" x14ac:dyDescent="0.3">
      <c r="A120" s="214">
        <v>63071030</v>
      </c>
      <c r="B120" s="214" t="s">
        <v>543</v>
      </c>
      <c r="C120" s="215" t="s">
        <v>246</v>
      </c>
      <c r="D120" s="36">
        <f>SUMIF(PURCHASE!$X$6:$X$446,$A$5:$A$200,PURCHASE!$AB$6:$AB$446)</f>
        <v>50</v>
      </c>
      <c r="E120" s="36">
        <f>SUMIF(PURCHASE!$X$6:$X$446,$A$5:$A$200,PURCHASE!$E$6:$E$446)</f>
        <v>13755</v>
      </c>
      <c r="F120" s="36">
        <f>SUMIF(PURCHASE!$X$6:$X$446,$A$5:$A$200,PURCHASE!$K$6:$K$446)</f>
        <v>13100</v>
      </c>
      <c r="G120" s="36">
        <f>SUMIF(PURCHASE!$X$6:$X$446,$A$5:$A$200,PURCHASE!$L$6:$L$446)</f>
        <v>0</v>
      </c>
      <c r="H120" s="36">
        <f>SUMIF(PURCHASE!$X$6:$X$446,$A$5:$A$200,PURCHASE!$M$6:$M$446)</f>
        <v>327.5</v>
      </c>
      <c r="I120" s="36">
        <f>SUMIF(PURCHASE!$X$6:$X$446,$A$5:$A$200,PURCHASE!$N$6:$N$446)</f>
        <v>327.5</v>
      </c>
      <c r="J120" s="36">
        <f>SUMIF(PURCHASE!$X$6:$X$446,$A$5:$A$200,PURCHASE!$O$6:$O$446)</f>
        <v>0</v>
      </c>
    </row>
    <row r="121" spans="1:10" x14ac:dyDescent="0.3">
      <c r="A121" s="214" t="s">
        <v>544</v>
      </c>
      <c r="B121" s="214" t="s">
        <v>81</v>
      </c>
      <c r="C121" s="215" t="s">
        <v>246</v>
      </c>
      <c r="D121" s="36">
        <f>SUMIF(PURCHASE!$X$6:$X$446,$A$5:$A$200,PURCHASE!$AB$6:$AB$446)</f>
        <v>349</v>
      </c>
      <c r="E121" s="36">
        <f>SUMIF(PURCHASE!$X$6:$X$446,$A$5:$A$200,PURCHASE!$E$6:$E$446)</f>
        <v>6464.04</v>
      </c>
      <c r="F121" s="36">
        <f>SUMIF(PURCHASE!$X$6:$X$446,$A$5:$A$200,PURCHASE!$K$6:$K$446)</f>
        <v>5478</v>
      </c>
      <c r="G121" s="36">
        <f>SUMIF(PURCHASE!$X$6:$X$446,$A$5:$A$200,PURCHASE!$L$6:$L$446)</f>
        <v>0</v>
      </c>
      <c r="H121" s="36">
        <f>SUMIF(PURCHASE!$X$6:$X$446,$A$5:$A$200,PURCHASE!$M$6:$M$446)</f>
        <v>493.02</v>
      </c>
      <c r="I121" s="36">
        <f>SUMIF(PURCHASE!$X$6:$X$446,$A$5:$A$200,PURCHASE!$N$6:$N$446)</f>
        <v>493.02</v>
      </c>
      <c r="J121" s="36">
        <f>SUMIF(PURCHASE!$X$6:$X$446,$A$5:$A$200,PURCHASE!$O$6:$O$446)</f>
        <v>0</v>
      </c>
    </row>
    <row r="122" spans="1:10" x14ac:dyDescent="0.3">
      <c r="A122" s="214">
        <v>3808</v>
      </c>
      <c r="B122" s="214" t="s">
        <v>473</v>
      </c>
      <c r="C122" s="215" t="s">
        <v>246</v>
      </c>
      <c r="D122" s="36">
        <f>SUMIF(PURCHASE!$X$6:$X$446,$A$5:$A$200,PURCHASE!$AB$6:$AB$446)</f>
        <v>0</v>
      </c>
      <c r="E122" s="36">
        <f>SUMIF(PURCHASE!$X$6:$X$446,$A$5:$A$200,PURCHASE!$E$6:$E$446)</f>
        <v>0</v>
      </c>
      <c r="F122" s="36">
        <f>SUMIF(PURCHASE!$X$6:$X$446,$A$5:$A$200,PURCHASE!$K$6:$K$446)</f>
        <v>0</v>
      </c>
      <c r="G122" s="36">
        <f>SUMIF(PURCHASE!$X$6:$X$446,$A$5:$A$200,PURCHASE!$L$6:$L$446)</f>
        <v>0</v>
      </c>
      <c r="H122" s="36">
        <f>SUMIF(PURCHASE!$X$6:$X$446,$A$5:$A$200,PURCHASE!$M$6:$M$446)</f>
        <v>0</v>
      </c>
      <c r="I122" s="36">
        <f>SUMIF(PURCHASE!$X$6:$X$446,$A$5:$A$200,PURCHASE!$N$6:$N$446)</f>
        <v>0</v>
      </c>
      <c r="J122" s="36">
        <f>SUMIF(PURCHASE!$X$6:$X$446,$A$5:$A$200,PURCHASE!$O$6:$O$446)</f>
        <v>0</v>
      </c>
    </row>
    <row r="123" spans="1:10" x14ac:dyDescent="0.3">
      <c r="A123" s="214">
        <v>96091000</v>
      </c>
      <c r="B123" s="214" t="s">
        <v>545</v>
      </c>
      <c r="C123" s="215" t="s">
        <v>246</v>
      </c>
      <c r="D123" s="36">
        <f>SUMIF(PURCHASE!$X$6:$X$446,$A$5:$A$200,PURCHASE!$AB$6:$AB$446)</f>
        <v>0</v>
      </c>
      <c r="E123" s="36">
        <f>SUMIF(PURCHASE!$X$6:$X$446,$A$5:$A$200,PURCHASE!$E$6:$E$446)</f>
        <v>0</v>
      </c>
      <c r="F123" s="36">
        <f>SUMIF(PURCHASE!$X$6:$X$446,$A$5:$A$200,PURCHASE!$K$6:$K$446)</f>
        <v>0</v>
      </c>
      <c r="G123" s="36">
        <f>SUMIF(PURCHASE!$X$6:$X$446,$A$5:$A$200,PURCHASE!$L$6:$L$446)</f>
        <v>0</v>
      </c>
      <c r="H123" s="36">
        <f>SUMIF(PURCHASE!$X$6:$X$446,$A$5:$A$200,PURCHASE!$M$6:$M$446)</f>
        <v>0</v>
      </c>
      <c r="I123" s="36">
        <f>SUMIF(PURCHASE!$X$6:$X$446,$A$5:$A$200,PURCHASE!$N$6:$N$446)</f>
        <v>0</v>
      </c>
      <c r="J123" s="36">
        <f>SUMIF(PURCHASE!$X$6:$X$446,$A$5:$A$200,PURCHASE!$O$6:$O$446)</f>
        <v>0</v>
      </c>
    </row>
    <row r="124" spans="1:10" x14ac:dyDescent="0.3">
      <c r="A124" s="214">
        <v>8466300</v>
      </c>
      <c r="B124" s="214" t="s">
        <v>546</v>
      </c>
      <c r="C124" s="215" t="s">
        <v>246</v>
      </c>
      <c r="D124" s="36">
        <f>SUMIF(PURCHASE!$X$6:$X$446,$A$5:$A$200,PURCHASE!$AB$6:$AB$446)</f>
        <v>189</v>
      </c>
      <c r="E124" s="36">
        <f>SUMIF(PURCHASE!$X$6:$X$446,$A$5:$A$200,PURCHASE!$E$6:$E$446)</f>
        <v>869778</v>
      </c>
      <c r="F124" s="36">
        <f>SUMIF(PURCHASE!$X$6:$X$446,$A$5:$A$200,PURCHASE!$K$6:$K$446)</f>
        <v>737100</v>
      </c>
      <c r="G124" s="36">
        <f>SUMIF(PURCHASE!$X$6:$X$446,$A$5:$A$200,PURCHASE!$L$6:$L$446)</f>
        <v>0</v>
      </c>
      <c r="H124" s="36">
        <f>SUMIF(PURCHASE!$X$6:$X$446,$A$5:$A$200,PURCHASE!$M$6:$M$446)</f>
        <v>66339</v>
      </c>
      <c r="I124" s="36">
        <f>SUMIF(PURCHASE!$X$6:$X$446,$A$5:$A$200,PURCHASE!$N$6:$N$446)</f>
        <v>66339</v>
      </c>
      <c r="J124" s="36">
        <f>SUMIF(PURCHASE!$X$6:$X$446,$A$5:$A$200,PURCHASE!$O$6:$O$446)</f>
        <v>0</v>
      </c>
    </row>
    <row r="125" spans="1:10" x14ac:dyDescent="0.3">
      <c r="A125" s="214">
        <v>84213920</v>
      </c>
      <c r="B125" s="214" t="s">
        <v>547</v>
      </c>
      <c r="C125" s="215" t="s">
        <v>246</v>
      </c>
      <c r="D125" s="36">
        <f>SUMIF(PURCHASE!$X$6:$X$446,$A$5:$A$200,PURCHASE!$AB$6:$AB$446)</f>
        <v>14.4</v>
      </c>
      <c r="E125" s="36">
        <f>SUMIF(PURCHASE!$X$6:$X$446,$A$5:$A$200,PURCHASE!$E$6:$E$446)</f>
        <v>16183.7</v>
      </c>
      <c r="F125" s="36">
        <f>SUMIF(PURCHASE!$X$6:$X$446,$A$5:$A$200,PURCHASE!$K$6:$K$446)</f>
        <v>13715</v>
      </c>
      <c r="G125" s="36">
        <f>SUMIF(PURCHASE!$X$6:$X$446,$A$5:$A$200,PURCHASE!$L$6:$L$446)</f>
        <v>0</v>
      </c>
      <c r="H125" s="36">
        <f>SUMIF(PURCHASE!$X$6:$X$446,$A$5:$A$200,PURCHASE!$M$6:$M$446)</f>
        <v>1234.3499999999999</v>
      </c>
      <c r="I125" s="36">
        <f>SUMIF(PURCHASE!$X$6:$X$446,$A$5:$A$200,PURCHASE!$N$6:$N$446)</f>
        <v>1234.3499999999999</v>
      </c>
      <c r="J125" s="36">
        <f>SUMIF(PURCHASE!$X$6:$X$446,$A$5:$A$200,PURCHASE!$O$6:$O$446)</f>
        <v>0</v>
      </c>
    </row>
    <row r="126" spans="1:10" x14ac:dyDescent="0.3">
      <c r="A126" s="214">
        <v>48211090</v>
      </c>
      <c r="B126" s="214" t="s">
        <v>548</v>
      </c>
      <c r="C126" s="215" t="s">
        <v>246</v>
      </c>
      <c r="D126" s="36">
        <f>SUMIF(PURCHASE!$X$6:$X$446,$A$5:$A$200,PURCHASE!$AB$6:$AB$446)</f>
        <v>32</v>
      </c>
      <c r="E126" s="36">
        <f>SUMIF(PURCHASE!$X$6:$X$446,$A$5:$A$200,PURCHASE!$E$6:$E$446)</f>
        <v>3917.6000000000004</v>
      </c>
      <c r="F126" s="36">
        <f>SUMIF(PURCHASE!$X$6:$X$446,$A$5:$A$200,PURCHASE!$K$6:$K$446)</f>
        <v>3320</v>
      </c>
      <c r="G126" s="36">
        <f>SUMIF(PURCHASE!$X$6:$X$446,$A$5:$A$200,PURCHASE!$L$6:$L$446)</f>
        <v>0</v>
      </c>
      <c r="H126" s="36">
        <f>SUMIF(PURCHASE!$X$6:$X$446,$A$5:$A$200,PURCHASE!$M$6:$M$446)</f>
        <v>298.8</v>
      </c>
      <c r="I126" s="36">
        <f>SUMIF(PURCHASE!$X$6:$X$446,$A$5:$A$200,PURCHASE!$N$6:$N$446)</f>
        <v>298.8</v>
      </c>
      <c r="J126" s="36">
        <f>SUMIF(PURCHASE!$X$6:$X$446,$A$5:$A$200,PURCHASE!$O$6:$O$446)</f>
        <v>0</v>
      </c>
    </row>
    <row r="127" spans="1:10" x14ac:dyDescent="0.3">
      <c r="A127" s="214" t="s">
        <v>549</v>
      </c>
      <c r="B127" s="214" t="s">
        <v>458</v>
      </c>
      <c r="C127" s="215" t="s">
        <v>246</v>
      </c>
      <c r="D127" s="36">
        <f>SUMIF(PURCHASE!$X$6:$X$446,$A$5:$A$200,PURCHASE!$AB$6:$AB$446)</f>
        <v>487.52</v>
      </c>
      <c r="E127" s="36">
        <f>SUMIF(PURCHASE!$X$6:$X$446,$A$5:$A$200,PURCHASE!$E$6:$E$446)</f>
        <v>83550.372000000003</v>
      </c>
      <c r="F127" s="36">
        <f>SUMIF(PURCHASE!$X$6:$X$446,$A$5:$A$200,PURCHASE!$K$6:$K$446)</f>
        <v>70805.399999999994</v>
      </c>
      <c r="G127" s="36">
        <f>SUMIF(PURCHASE!$X$6:$X$446,$A$5:$A$200,PURCHASE!$L$6:$L$446)</f>
        <v>0</v>
      </c>
      <c r="H127" s="36">
        <f>SUMIF(PURCHASE!$X$6:$X$446,$A$5:$A$200,PURCHASE!$M$6:$M$446)</f>
        <v>6372.4859999999999</v>
      </c>
      <c r="I127" s="36">
        <f>SUMIF(PURCHASE!$X$6:$X$446,$A$5:$A$200,PURCHASE!$N$6:$N$446)</f>
        <v>6372.4859999999999</v>
      </c>
      <c r="J127" s="36">
        <f>SUMIF(PURCHASE!$X$6:$X$446,$A$5:$A$200,PURCHASE!$O$6:$O$446)</f>
        <v>0</v>
      </c>
    </row>
    <row r="128" spans="1:10" x14ac:dyDescent="0.3">
      <c r="A128" s="214" t="s">
        <v>550</v>
      </c>
      <c r="B128" s="214" t="s">
        <v>458</v>
      </c>
      <c r="C128" s="215" t="s">
        <v>237</v>
      </c>
      <c r="D128" s="36">
        <f>SUMIF(PURCHASE!$X$6:$X$446,$A$5:$A$200,PURCHASE!$AB$6:$AB$446)</f>
        <v>0</v>
      </c>
      <c r="E128" s="36">
        <f>SUMIF(PURCHASE!$X$6:$X$446,$A$5:$A$200,PURCHASE!$E$6:$E$446)</f>
        <v>0</v>
      </c>
      <c r="F128" s="36">
        <f>SUMIF(PURCHASE!$X$6:$X$446,$A$5:$A$200,PURCHASE!$K$6:$K$446)</f>
        <v>0</v>
      </c>
      <c r="G128" s="36">
        <f>SUMIF(PURCHASE!$X$6:$X$446,$A$5:$A$200,PURCHASE!$L$6:$L$446)</f>
        <v>0</v>
      </c>
      <c r="H128" s="36">
        <f>SUMIF(PURCHASE!$X$6:$X$446,$A$5:$A$200,PURCHASE!$M$6:$M$446)</f>
        <v>0</v>
      </c>
      <c r="I128" s="36">
        <f>SUMIF(PURCHASE!$X$6:$X$446,$A$5:$A$200,PURCHASE!$N$6:$N$446)</f>
        <v>0</v>
      </c>
      <c r="J128" s="36">
        <f>SUMIF(PURCHASE!$X$6:$X$446,$A$5:$A$200,PURCHASE!$O$6:$O$446)</f>
        <v>0</v>
      </c>
    </row>
    <row r="129" spans="1:10" x14ac:dyDescent="0.3">
      <c r="A129" s="214">
        <v>84733030</v>
      </c>
      <c r="B129" s="214" t="s">
        <v>551</v>
      </c>
      <c r="C129" s="215" t="s">
        <v>246</v>
      </c>
      <c r="D129" s="36">
        <f>SUMIF(PURCHASE!$X$6:$X$446,$A$5:$A$200,PURCHASE!$AB$6:$AB$446)</f>
        <v>0</v>
      </c>
      <c r="E129" s="36">
        <f>SUMIF(PURCHASE!$X$6:$X$446,$A$5:$A$200,PURCHASE!$E$6:$E$446)</f>
        <v>0</v>
      </c>
      <c r="F129" s="36">
        <f>SUMIF(PURCHASE!$X$6:$X$446,$A$5:$A$200,PURCHASE!$K$6:$K$446)</f>
        <v>0</v>
      </c>
      <c r="G129" s="36">
        <f>SUMIF(PURCHASE!$X$6:$X$446,$A$5:$A$200,PURCHASE!$L$6:$L$446)</f>
        <v>0</v>
      </c>
      <c r="H129" s="36">
        <f>SUMIF(PURCHASE!$X$6:$X$446,$A$5:$A$200,PURCHASE!$M$6:$M$446)</f>
        <v>0</v>
      </c>
      <c r="I129" s="36">
        <f>SUMIF(PURCHASE!$X$6:$X$446,$A$5:$A$200,PURCHASE!$N$6:$N$446)</f>
        <v>0</v>
      </c>
      <c r="J129" s="36">
        <f>SUMIF(PURCHASE!$X$6:$X$446,$A$5:$A$200,PURCHASE!$O$6:$O$446)</f>
        <v>0</v>
      </c>
    </row>
    <row r="130" spans="1:10" x14ac:dyDescent="0.3">
      <c r="A130" s="214">
        <v>3209</v>
      </c>
      <c r="B130" s="214" t="s">
        <v>552</v>
      </c>
      <c r="C130" s="215" t="s">
        <v>237</v>
      </c>
      <c r="D130" s="36">
        <f>SUMIF(PURCHASE!$X$6:$X$446,$A$5:$A$200,PURCHASE!$AB$6:$AB$446)</f>
        <v>0</v>
      </c>
      <c r="E130" s="36">
        <f>SUMIF(PURCHASE!$X$6:$X$446,$A$5:$A$200,PURCHASE!$E$6:$E$446)</f>
        <v>0</v>
      </c>
      <c r="F130" s="36">
        <f>SUMIF(PURCHASE!$X$6:$X$446,$A$5:$A$200,PURCHASE!$K$6:$K$446)</f>
        <v>0</v>
      </c>
      <c r="G130" s="36">
        <f>SUMIF(PURCHASE!$X$6:$X$446,$A$5:$A$200,PURCHASE!$L$6:$L$446)</f>
        <v>0</v>
      </c>
      <c r="H130" s="36">
        <f>SUMIF(PURCHASE!$X$6:$X$446,$A$5:$A$200,PURCHASE!$M$6:$M$446)</f>
        <v>0</v>
      </c>
      <c r="I130" s="36">
        <f>SUMIF(PURCHASE!$X$6:$X$446,$A$5:$A$200,PURCHASE!$N$6:$N$446)</f>
        <v>0</v>
      </c>
      <c r="J130" s="36">
        <f>SUMIF(PURCHASE!$X$6:$X$446,$A$5:$A$200,PURCHASE!$O$6:$O$446)</f>
        <v>0</v>
      </c>
    </row>
    <row r="131" spans="1:10" x14ac:dyDescent="0.3">
      <c r="A131" s="214">
        <v>3920</v>
      </c>
      <c r="B131" s="214" t="s">
        <v>553</v>
      </c>
      <c r="C131" s="215" t="s">
        <v>246</v>
      </c>
      <c r="D131" s="36">
        <f>SUMIF(PURCHASE!$X$6:$X$446,$A$5:$A$200,PURCHASE!$AB$6:$AB$446)</f>
        <v>0</v>
      </c>
      <c r="E131" s="36">
        <f>SUMIF(PURCHASE!$X$6:$X$446,$A$5:$A$200,PURCHASE!$E$6:$E$446)</f>
        <v>0</v>
      </c>
      <c r="F131" s="36">
        <f>SUMIF(PURCHASE!$X$6:$X$446,$A$5:$A$200,PURCHASE!$K$6:$K$446)</f>
        <v>0</v>
      </c>
      <c r="G131" s="36">
        <f>SUMIF(PURCHASE!$X$6:$X$446,$A$5:$A$200,PURCHASE!$L$6:$L$446)</f>
        <v>0</v>
      </c>
      <c r="H131" s="36">
        <f>SUMIF(PURCHASE!$X$6:$X$446,$A$5:$A$200,PURCHASE!$M$6:$M$446)</f>
        <v>0</v>
      </c>
      <c r="I131" s="36">
        <f>SUMIF(PURCHASE!$X$6:$X$446,$A$5:$A$200,PURCHASE!$N$6:$N$446)</f>
        <v>0</v>
      </c>
      <c r="J131" s="36">
        <f>SUMIF(PURCHASE!$X$6:$X$446,$A$5:$A$200,PURCHASE!$O$6:$O$446)</f>
        <v>0</v>
      </c>
    </row>
    <row r="132" spans="1:10" x14ac:dyDescent="0.3">
      <c r="A132" s="214">
        <v>3506</v>
      </c>
      <c r="B132" s="214" t="s">
        <v>554</v>
      </c>
      <c r="C132" s="215" t="s">
        <v>246</v>
      </c>
      <c r="D132" s="36">
        <f>SUMIF(PURCHASE!$X$6:$X$446,$A$5:$A$200,PURCHASE!$AB$6:$AB$446)</f>
        <v>52</v>
      </c>
      <c r="E132" s="36">
        <f>SUMIF(PURCHASE!$X$6:$X$446,$A$5:$A$200,PURCHASE!$E$6:$E$446)</f>
        <v>13245.358399999999</v>
      </c>
      <c r="F132" s="36">
        <f>SUMIF(PURCHASE!$X$6:$X$446,$A$5:$A$200,PURCHASE!$K$6:$K$446)</f>
        <v>11224.88</v>
      </c>
      <c r="G132" s="36">
        <f>SUMIF(PURCHASE!$X$6:$X$446,$A$5:$A$200,PURCHASE!$L$6:$L$446)</f>
        <v>0</v>
      </c>
      <c r="H132" s="36">
        <f>SUMIF(PURCHASE!$X$6:$X$446,$A$5:$A$200,PURCHASE!$M$6:$M$446)</f>
        <v>1010.2392</v>
      </c>
      <c r="I132" s="36">
        <f>SUMIF(PURCHASE!$X$6:$X$446,$A$5:$A$200,PURCHASE!$N$6:$N$446)</f>
        <v>1010.2392</v>
      </c>
      <c r="J132" s="36">
        <f>SUMIF(PURCHASE!$X$6:$X$446,$A$5:$A$200,PURCHASE!$O$6:$O$446)</f>
        <v>0</v>
      </c>
    </row>
    <row r="133" spans="1:10" x14ac:dyDescent="0.3">
      <c r="A133" s="214">
        <v>2523</v>
      </c>
      <c r="B133" s="214" t="s">
        <v>486</v>
      </c>
      <c r="C133" s="215" t="s">
        <v>235</v>
      </c>
      <c r="D133" s="36">
        <f>SUMIF(PURCHASE!$X$6:$X$446,$A$5:$A$200,PURCHASE!$AB$6:$AB$446)</f>
        <v>0</v>
      </c>
      <c r="E133" s="36">
        <f>SUMIF(PURCHASE!$X$6:$X$446,$A$5:$A$200,PURCHASE!$E$6:$E$446)</f>
        <v>0</v>
      </c>
      <c r="F133" s="36">
        <f>SUMIF(PURCHASE!$X$6:$X$446,$A$5:$A$200,PURCHASE!$K$6:$K$446)</f>
        <v>0</v>
      </c>
      <c r="G133" s="36">
        <f>SUMIF(PURCHASE!$X$6:$X$446,$A$5:$A$200,PURCHASE!$L$6:$L$446)</f>
        <v>0</v>
      </c>
      <c r="H133" s="36">
        <f>SUMIF(PURCHASE!$X$6:$X$446,$A$5:$A$200,PURCHASE!$M$6:$M$446)</f>
        <v>0</v>
      </c>
      <c r="I133" s="36">
        <f>SUMIF(PURCHASE!$X$6:$X$446,$A$5:$A$200,PURCHASE!$N$6:$N$446)</f>
        <v>0</v>
      </c>
      <c r="J133" s="36">
        <f>SUMIF(PURCHASE!$X$6:$X$446,$A$5:$A$200,PURCHASE!$O$6:$O$446)</f>
        <v>0</v>
      </c>
    </row>
    <row r="134" spans="1:10" x14ac:dyDescent="0.3">
      <c r="A134" s="214">
        <v>6805</v>
      </c>
      <c r="B134" s="214" t="s">
        <v>460</v>
      </c>
      <c r="C134" s="215" t="s">
        <v>246</v>
      </c>
      <c r="D134" s="36">
        <f>SUMIF(PURCHASE!$X$6:$X$446,$A$5:$A$200,PURCHASE!$AB$6:$AB$446)</f>
        <v>0</v>
      </c>
      <c r="E134" s="36">
        <f>SUMIF(PURCHASE!$X$6:$X$446,$A$5:$A$200,PURCHASE!$E$6:$E$446)</f>
        <v>0</v>
      </c>
      <c r="F134" s="36">
        <f>SUMIF(PURCHASE!$X$6:$X$446,$A$5:$A$200,PURCHASE!$K$6:$K$446)</f>
        <v>0</v>
      </c>
      <c r="G134" s="36">
        <f>SUMIF(PURCHASE!$X$6:$X$446,$A$5:$A$200,PURCHASE!$L$6:$L$446)</f>
        <v>0</v>
      </c>
      <c r="H134" s="36">
        <f>SUMIF(PURCHASE!$X$6:$X$446,$A$5:$A$200,PURCHASE!$M$6:$M$446)</f>
        <v>0</v>
      </c>
      <c r="I134" s="36">
        <f>SUMIF(PURCHASE!$X$6:$X$446,$A$5:$A$200,PURCHASE!$N$6:$N$446)</f>
        <v>0</v>
      </c>
      <c r="J134" s="36">
        <f>SUMIF(PURCHASE!$X$6:$X$446,$A$5:$A$200,PURCHASE!$O$6:$O$446)</f>
        <v>0</v>
      </c>
    </row>
    <row r="135" spans="1:10" x14ac:dyDescent="0.3">
      <c r="A135" s="214">
        <v>8481</v>
      </c>
      <c r="B135" s="214" t="s">
        <v>555</v>
      </c>
      <c r="C135" s="215" t="s">
        <v>246</v>
      </c>
      <c r="D135" s="36">
        <f>SUMIF(PURCHASE!$X$6:$X$446,$A$5:$A$200,PURCHASE!$AB$6:$AB$446)</f>
        <v>6</v>
      </c>
      <c r="E135" s="36">
        <f>SUMIF(PURCHASE!$X$6:$X$446,$A$5:$A$200,PURCHASE!$E$6:$E$446)</f>
        <v>1675.6</v>
      </c>
      <c r="F135" s="36">
        <f>SUMIF(PURCHASE!$X$6:$X$446,$A$5:$A$200,PURCHASE!$K$6:$K$446)</f>
        <v>1420</v>
      </c>
      <c r="G135" s="36">
        <f>SUMIF(PURCHASE!$X$6:$X$446,$A$5:$A$200,PURCHASE!$L$6:$L$446)</f>
        <v>0</v>
      </c>
      <c r="H135" s="36">
        <f>SUMIF(PURCHASE!$X$6:$X$446,$A$5:$A$200,PURCHASE!$M$6:$M$446)</f>
        <v>127.8</v>
      </c>
      <c r="I135" s="36">
        <f>SUMIF(PURCHASE!$X$6:$X$446,$A$5:$A$200,PURCHASE!$N$6:$N$446)</f>
        <v>127.8</v>
      </c>
      <c r="J135" s="36">
        <f>SUMIF(PURCHASE!$X$6:$X$446,$A$5:$A$200,PURCHASE!$O$6:$O$446)</f>
        <v>0</v>
      </c>
    </row>
    <row r="136" spans="1:10" x14ac:dyDescent="0.3">
      <c r="A136" s="214">
        <v>8202</v>
      </c>
      <c r="B136" s="214" t="s">
        <v>556</v>
      </c>
      <c r="C136" s="215" t="s">
        <v>246</v>
      </c>
      <c r="D136" s="36">
        <f>SUMIF(PURCHASE!$X$6:$X$446,$A$5:$A$200,PURCHASE!$AB$6:$AB$446)</f>
        <v>0</v>
      </c>
      <c r="E136" s="36">
        <f>SUMIF(PURCHASE!$X$6:$X$446,$A$5:$A$200,PURCHASE!$E$6:$E$446)</f>
        <v>0</v>
      </c>
      <c r="F136" s="36">
        <f>SUMIF(PURCHASE!$X$6:$X$446,$A$5:$A$200,PURCHASE!$K$6:$K$446)</f>
        <v>0</v>
      </c>
      <c r="G136" s="36">
        <f>SUMIF(PURCHASE!$X$6:$X$446,$A$5:$A$200,PURCHASE!$L$6:$L$446)</f>
        <v>0</v>
      </c>
      <c r="H136" s="36">
        <f>SUMIF(PURCHASE!$X$6:$X$446,$A$5:$A$200,PURCHASE!$M$6:$M$446)</f>
        <v>0</v>
      </c>
      <c r="I136" s="36">
        <f>SUMIF(PURCHASE!$X$6:$X$446,$A$5:$A$200,PURCHASE!$N$6:$N$446)</f>
        <v>0</v>
      </c>
      <c r="J136" s="36">
        <f>SUMIF(PURCHASE!$X$6:$X$446,$A$5:$A$200,PURCHASE!$O$6:$O$446)</f>
        <v>0</v>
      </c>
    </row>
    <row r="137" spans="1:10" x14ac:dyDescent="0.3">
      <c r="A137" s="214">
        <v>8539</v>
      </c>
      <c r="B137" s="214" t="s">
        <v>557</v>
      </c>
      <c r="C137" s="215" t="s">
        <v>246</v>
      </c>
      <c r="D137" s="36">
        <f>SUMIF(PURCHASE!$X$6:$X$446,$A$5:$A$200,PURCHASE!$AB$6:$AB$446)</f>
        <v>0</v>
      </c>
      <c r="E137" s="36">
        <f>SUMIF(PURCHASE!$X$6:$X$446,$A$5:$A$200,PURCHASE!$E$6:$E$446)</f>
        <v>0</v>
      </c>
      <c r="F137" s="36">
        <f>SUMIF(PURCHASE!$X$6:$X$446,$A$5:$A$200,PURCHASE!$K$6:$K$446)</f>
        <v>0</v>
      </c>
      <c r="G137" s="36">
        <f>SUMIF(PURCHASE!$X$6:$X$446,$A$5:$A$200,PURCHASE!$L$6:$L$446)</f>
        <v>0</v>
      </c>
      <c r="H137" s="36">
        <f>SUMIF(PURCHASE!$X$6:$X$446,$A$5:$A$200,PURCHASE!$M$6:$M$446)</f>
        <v>0</v>
      </c>
      <c r="I137" s="36">
        <f>SUMIF(PURCHASE!$X$6:$X$446,$A$5:$A$200,PURCHASE!$N$6:$N$446)</f>
        <v>0</v>
      </c>
      <c r="J137" s="36">
        <f>SUMIF(PURCHASE!$X$6:$X$446,$A$5:$A$200,PURCHASE!$O$6:$O$446)</f>
        <v>0</v>
      </c>
    </row>
    <row r="138" spans="1:10" x14ac:dyDescent="0.3">
      <c r="A138" s="214">
        <v>2710</v>
      </c>
      <c r="B138" s="214" t="s">
        <v>558</v>
      </c>
      <c r="C138" s="215" t="s">
        <v>237</v>
      </c>
      <c r="D138" s="36">
        <f>SUMIF(PURCHASE!$X$6:$X$446,$A$5:$A$200,PURCHASE!$AB$6:$AB$446)</f>
        <v>92</v>
      </c>
      <c r="E138" s="36">
        <f>SUMIF(PURCHASE!$X$6:$X$446,$A$5:$A$200,PURCHASE!$E$6:$E$446)</f>
        <v>7622.8</v>
      </c>
      <c r="F138" s="36">
        <f>SUMIF(PURCHASE!$X$6:$X$446,$A$5:$A$200,PURCHASE!$K$6:$K$446)</f>
        <v>6460</v>
      </c>
      <c r="G138" s="36">
        <f>SUMIF(PURCHASE!$X$6:$X$446,$A$5:$A$200,PURCHASE!$L$6:$L$446)</f>
        <v>0</v>
      </c>
      <c r="H138" s="36">
        <f>SUMIF(PURCHASE!$X$6:$X$446,$A$5:$A$200,PURCHASE!$M$6:$M$446)</f>
        <v>581.4</v>
      </c>
      <c r="I138" s="36">
        <f>SUMIF(PURCHASE!$X$6:$X$446,$A$5:$A$200,PURCHASE!$N$6:$N$446)</f>
        <v>581.4</v>
      </c>
      <c r="J138" s="36">
        <f>SUMIF(PURCHASE!$X$6:$X$446,$A$5:$A$200,PURCHASE!$O$6:$O$446)</f>
        <v>0</v>
      </c>
    </row>
    <row r="139" spans="1:10" x14ac:dyDescent="0.3">
      <c r="A139" s="214">
        <v>8538</v>
      </c>
      <c r="B139" s="214" t="s">
        <v>559</v>
      </c>
      <c r="C139" s="215" t="s">
        <v>246</v>
      </c>
      <c r="D139" s="36">
        <f>SUMIF(PURCHASE!$X$6:$X$446,$A$5:$A$200,PURCHASE!$AB$6:$AB$446)</f>
        <v>0</v>
      </c>
      <c r="E139" s="36">
        <f>SUMIF(PURCHASE!$X$6:$X$446,$A$5:$A$200,PURCHASE!$E$6:$E$446)</f>
        <v>0</v>
      </c>
      <c r="F139" s="36">
        <f>SUMIF(PURCHASE!$X$6:$X$446,$A$5:$A$200,PURCHASE!$K$6:$K$446)</f>
        <v>0</v>
      </c>
      <c r="G139" s="36">
        <f>SUMIF(PURCHASE!$X$6:$X$446,$A$5:$A$200,PURCHASE!$L$6:$L$446)</f>
        <v>0</v>
      </c>
      <c r="H139" s="36">
        <f>SUMIF(PURCHASE!$X$6:$X$446,$A$5:$A$200,PURCHASE!$M$6:$M$446)</f>
        <v>0</v>
      </c>
      <c r="I139" s="36">
        <f>SUMIF(PURCHASE!$X$6:$X$446,$A$5:$A$200,PURCHASE!$N$6:$N$446)</f>
        <v>0</v>
      </c>
      <c r="J139" s="36">
        <f>SUMIF(PURCHASE!$X$6:$X$446,$A$5:$A$200,PURCHASE!$O$6:$O$446)</f>
        <v>0</v>
      </c>
    </row>
    <row r="140" spans="1:10" x14ac:dyDescent="0.3">
      <c r="A140" s="214">
        <v>3405</v>
      </c>
      <c r="B140" s="214" t="s">
        <v>560</v>
      </c>
      <c r="C140" s="215" t="s">
        <v>246</v>
      </c>
      <c r="D140" s="36">
        <f>SUMIF(PURCHASE!$X$6:$X$446,$A$5:$A$200,PURCHASE!$AB$6:$AB$446)</f>
        <v>0</v>
      </c>
      <c r="E140" s="36">
        <f>SUMIF(PURCHASE!$X$6:$X$446,$A$5:$A$200,PURCHASE!$E$6:$E$446)</f>
        <v>0</v>
      </c>
      <c r="F140" s="36">
        <f>SUMIF(PURCHASE!$X$6:$X$446,$A$5:$A$200,PURCHASE!$K$6:$K$446)</f>
        <v>0</v>
      </c>
      <c r="G140" s="36">
        <f>SUMIF(PURCHASE!$X$6:$X$446,$A$5:$A$200,PURCHASE!$L$6:$L$446)</f>
        <v>0</v>
      </c>
      <c r="H140" s="36">
        <f>SUMIF(PURCHASE!$X$6:$X$446,$A$5:$A$200,PURCHASE!$M$6:$M$446)</f>
        <v>0</v>
      </c>
      <c r="I140" s="36">
        <f>SUMIF(PURCHASE!$X$6:$X$446,$A$5:$A$200,PURCHASE!$N$6:$N$446)</f>
        <v>0</v>
      </c>
      <c r="J140" s="36">
        <f>SUMIF(PURCHASE!$X$6:$X$446,$A$5:$A$200,PURCHASE!$O$6:$O$446)</f>
        <v>0</v>
      </c>
    </row>
    <row r="141" spans="1:10" x14ac:dyDescent="0.3">
      <c r="A141" s="214">
        <v>8302</v>
      </c>
      <c r="B141" s="214" t="s">
        <v>561</v>
      </c>
      <c r="C141" s="215" t="s">
        <v>258</v>
      </c>
      <c r="D141" s="36">
        <f>SUMIF(PURCHASE!$X$6:$X$446,$A$5:$A$200,PURCHASE!$AB$6:$AB$446)</f>
        <v>0</v>
      </c>
      <c r="E141" s="36">
        <f>SUMIF(PURCHASE!$X$6:$X$446,$A$5:$A$200,PURCHASE!$E$6:$E$446)</f>
        <v>0</v>
      </c>
      <c r="F141" s="36">
        <f>SUMIF(PURCHASE!$X$6:$X$446,$A$5:$A$200,PURCHASE!$K$6:$K$446)</f>
        <v>0</v>
      </c>
      <c r="G141" s="36">
        <f>SUMIF(PURCHASE!$X$6:$X$446,$A$5:$A$200,PURCHASE!$L$6:$L$446)</f>
        <v>0</v>
      </c>
      <c r="H141" s="36">
        <f>SUMIF(PURCHASE!$X$6:$X$446,$A$5:$A$200,PURCHASE!$M$6:$M$446)</f>
        <v>0</v>
      </c>
      <c r="I141" s="36">
        <f>SUMIF(PURCHASE!$X$6:$X$446,$A$5:$A$200,PURCHASE!$N$6:$N$446)</f>
        <v>0</v>
      </c>
      <c r="J141" s="36">
        <f>SUMIF(PURCHASE!$X$6:$X$446,$A$5:$A$200,PURCHASE!$O$6:$O$446)</f>
        <v>0</v>
      </c>
    </row>
    <row r="142" spans="1:10" x14ac:dyDescent="0.3">
      <c r="A142" s="214">
        <v>4417</v>
      </c>
      <c r="B142" s="214" t="s">
        <v>562</v>
      </c>
      <c r="C142" s="215" t="s">
        <v>246</v>
      </c>
      <c r="D142" s="36">
        <f>SUMIF(PURCHASE!$X$6:$X$446,$A$5:$A$200,PURCHASE!$AB$6:$AB$446)</f>
        <v>0</v>
      </c>
      <c r="E142" s="36">
        <f>SUMIF(PURCHASE!$X$6:$X$446,$A$5:$A$200,PURCHASE!$E$6:$E$446)</f>
        <v>0</v>
      </c>
      <c r="F142" s="36">
        <f>SUMIF(PURCHASE!$X$6:$X$446,$A$5:$A$200,PURCHASE!$K$6:$K$446)</f>
        <v>0</v>
      </c>
      <c r="G142" s="36">
        <f>SUMIF(PURCHASE!$X$6:$X$446,$A$5:$A$200,PURCHASE!$L$6:$L$446)</f>
        <v>0</v>
      </c>
      <c r="H142" s="36">
        <f>SUMIF(PURCHASE!$X$6:$X$446,$A$5:$A$200,PURCHASE!$M$6:$M$446)</f>
        <v>0</v>
      </c>
      <c r="I142" s="36">
        <f>SUMIF(PURCHASE!$X$6:$X$446,$A$5:$A$200,PURCHASE!$N$6:$N$446)</f>
        <v>0</v>
      </c>
      <c r="J142" s="36">
        <f>SUMIF(PURCHASE!$X$6:$X$446,$A$5:$A$200,PURCHASE!$O$6:$O$446)</f>
        <v>0</v>
      </c>
    </row>
    <row r="143" spans="1:10" x14ac:dyDescent="0.3">
      <c r="A143" s="214">
        <v>3917</v>
      </c>
      <c r="B143" s="214" t="s">
        <v>563</v>
      </c>
      <c r="C143" s="215" t="s">
        <v>246</v>
      </c>
      <c r="D143" s="36">
        <f>SUMIF(PURCHASE!$X$6:$X$446,$A$5:$A$200,PURCHASE!$AB$6:$AB$446)</f>
        <v>810</v>
      </c>
      <c r="E143" s="36">
        <f>SUMIF(PURCHASE!$X$6:$X$446,$A$5:$A$200,PURCHASE!$E$6:$E$446)</f>
        <v>167776.04620000001</v>
      </c>
      <c r="F143" s="36">
        <f>SUMIF(PURCHASE!$X$6:$X$446,$A$5:$A$200,PURCHASE!$K$6:$K$446)</f>
        <v>142183.09</v>
      </c>
      <c r="G143" s="36">
        <f>SUMIF(PURCHASE!$X$6:$X$446,$A$5:$A$200,PURCHASE!$L$6:$L$446)</f>
        <v>0</v>
      </c>
      <c r="H143" s="36">
        <f>SUMIF(PURCHASE!$X$6:$X$446,$A$5:$A$200,PURCHASE!$M$6:$M$446)</f>
        <v>12796.478099999998</v>
      </c>
      <c r="I143" s="36">
        <f>SUMIF(PURCHASE!$X$6:$X$446,$A$5:$A$200,PURCHASE!$N$6:$N$446)</f>
        <v>12796.478099999998</v>
      </c>
      <c r="J143" s="36">
        <f>SUMIF(PURCHASE!$X$6:$X$446,$A$5:$A$200,PURCHASE!$O$6:$O$446)</f>
        <v>0</v>
      </c>
    </row>
    <row r="144" spans="1:10" x14ac:dyDescent="0.3">
      <c r="A144" s="214">
        <v>2520</v>
      </c>
      <c r="B144" s="214" t="s">
        <v>564</v>
      </c>
      <c r="C144" s="215" t="s">
        <v>235</v>
      </c>
      <c r="D144" s="36">
        <f>SUMIF(PURCHASE!$X$6:$X$446,$A$5:$A$200,PURCHASE!$AB$6:$AB$446)</f>
        <v>1</v>
      </c>
      <c r="E144" s="36">
        <f>SUMIF(PURCHASE!$X$6:$X$446,$A$5:$A$200,PURCHASE!$E$6:$E$446)</f>
        <v>94.5</v>
      </c>
      <c r="F144" s="36">
        <f>SUMIF(PURCHASE!$X$6:$X$446,$A$5:$A$200,PURCHASE!$K$6:$K$446)</f>
        <v>90</v>
      </c>
      <c r="G144" s="36">
        <f>SUMIF(PURCHASE!$X$6:$X$446,$A$5:$A$200,PURCHASE!$L$6:$L$446)</f>
        <v>0</v>
      </c>
      <c r="H144" s="36">
        <f>SUMIF(PURCHASE!$X$6:$X$446,$A$5:$A$200,PURCHASE!$M$6:$M$446)</f>
        <v>2.25</v>
      </c>
      <c r="I144" s="36">
        <f>SUMIF(PURCHASE!$X$6:$X$446,$A$5:$A$200,PURCHASE!$N$6:$N$446)</f>
        <v>2.25</v>
      </c>
      <c r="J144" s="36">
        <f>SUMIF(PURCHASE!$X$6:$X$446,$A$5:$A$200,PURCHASE!$O$6:$O$446)</f>
        <v>0</v>
      </c>
    </row>
    <row r="145" spans="1:10" x14ac:dyDescent="0.3">
      <c r="A145" s="214">
        <v>3925</v>
      </c>
      <c r="B145" s="214" t="s">
        <v>565</v>
      </c>
      <c r="C145" s="215" t="s">
        <v>246</v>
      </c>
      <c r="D145" s="36">
        <f>SUMIF(PURCHASE!$X$6:$X$446,$A$5:$A$200,PURCHASE!$AB$6:$AB$446)</f>
        <v>0</v>
      </c>
      <c r="E145" s="36">
        <f>SUMIF(PURCHASE!$X$6:$X$446,$A$5:$A$200,PURCHASE!$E$6:$E$446)</f>
        <v>0</v>
      </c>
      <c r="F145" s="36">
        <f>SUMIF(PURCHASE!$X$6:$X$446,$A$5:$A$200,PURCHASE!$K$6:$K$446)</f>
        <v>0</v>
      </c>
      <c r="G145" s="36">
        <f>SUMIF(PURCHASE!$X$6:$X$446,$A$5:$A$200,PURCHASE!$L$6:$L$446)</f>
        <v>0</v>
      </c>
      <c r="H145" s="36">
        <f>SUMIF(PURCHASE!$X$6:$X$446,$A$5:$A$200,PURCHASE!$M$6:$M$446)</f>
        <v>0</v>
      </c>
      <c r="I145" s="36">
        <f>SUMIF(PURCHASE!$X$6:$X$446,$A$5:$A$200,PURCHASE!$N$6:$N$446)</f>
        <v>0</v>
      </c>
      <c r="J145" s="36">
        <f>SUMIF(PURCHASE!$X$6:$X$446,$A$5:$A$200,PURCHASE!$O$6:$O$446)</f>
        <v>0</v>
      </c>
    </row>
    <row r="146" spans="1:10" x14ac:dyDescent="0.3">
      <c r="A146" s="214">
        <v>9608</v>
      </c>
      <c r="B146" s="214" t="s">
        <v>467</v>
      </c>
      <c r="C146" s="215" t="s">
        <v>246</v>
      </c>
      <c r="D146" s="36">
        <f>SUMIF(PURCHASE!$X$6:$X$446,$A$5:$A$200,PURCHASE!$AB$6:$AB$446)</f>
        <v>0</v>
      </c>
      <c r="E146" s="36">
        <f>SUMIF(PURCHASE!$X$6:$X$446,$A$5:$A$200,PURCHASE!$E$6:$E$446)</f>
        <v>0</v>
      </c>
      <c r="F146" s="36">
        <f>SUMIF(PURCHASE!$X$6:$X$446,$A$5:$A$200,PURCHASE!$K$6:$K$446)</f>
        <v>0</v>
      </c>
      <c r="G146" s="36">
        <f>SUMIF(PURCHASE!$X$6:$X$446,$A$5:$A$200,PURCHASE!$L$6:$L$446)</f>
        <v>0</v>
      </c>
      <c r="H146" s="36">
        <f>SUMIF(PURCHASE!$X$6:$X$446,$A$5:$A$200,PURCHASE!$M$6:$M$446)</f>
        <v>0</v>
      </c>
      <c r="I146" s="36">
        <f>SUMIF(PURCHASE!$X$6:$X$446,$A$5:$A$200,PURCHASE!$N$6:$N$446)</f>
        <v>0</v>
      </c>
      <c r="J146" s="36">
        <f>SUMIF(PURCHASE!$X$6:$X$446,$A$5:$A$200,PURCHASE!$O$6:$O$446)</f>
        <v>0</v>
      </c>
    </row>
    <row r="147" spans="1:10" x14ac:dyDescent="0.3">
      <c r="A147" s="214">
        <v>39199010</v>
      </c>
      <c r="B147" s="214" t="s">
        <v>566</v>
      </c>
      <c r="C147" s="215" t="s">
        <v>246</v>
      </c>
      <c r="D147" s="36">
        <f>SUMIF(PURCHASE!$X$6:$X$446,$A$5:$A$200,PURCHASE!$AB$6:$AB$446)</f>
        <v>20000</v>
      </c>
      <c r="E147" s="36">
        <f>SUMIF(PURCHASE!$X$6:$X$446,$A$5:$A$200,PURCHASE!$E$6:$E$446)</f>
        <v>28556</v>
      </c>
      <c r="F147" s="36">
        <f>SUMIF(PURCHASE!$X$6:$X$446,$A$5:$A$200,PURCHASE!$K$6:$K$446)</f>
        <v>24200</v>
      </c>
      <c r="G147" s="36">
        <f>SUMIF(PURCHASE!$X$6:$X$446,$A$5:$A$200,PURCHASE!$L$6:$L$446)</f>
        <v>0</v>
      </c>
      <c r="H147" s="36">
        <f>SUMIF(PURCHASE!$X$6:$X$446,$A$5:$A$200,PURCHASE!$M$6:$M$446)</f>
        <v>2178</v>
      </c>
      <c r="I147" s="36">
        <f>SUMIF(PURCHASE!$X$6:$X$446,$A$5:$A$200,PURCHASE!$N$6:$N$446)</f>
        <v>2178</v>
      </c>
      <c r="J147" s="36">
        <f>SUMIF(PURCHASE!$X$6:$X$446,$A$5:$A$200,PURCHASE!$O$6:$O$446)</f>
        <v>0</v>
      </c>
    </row>
    <row r="148" spans="1:10" x14ac:dyDescent="0.3">
      <c r="A148" s="214">
        <v>7412</v>
      </c>
      <c r="B148" s="214" t="s">
        <v>567</v>
      </c>
      <c r="C148" s="215" t="s">
        <v>246</v>
      </c>
      <c r="D148" s="36">
        <f>SUMIF(PURCHASE!$X$6:$X$446,$A$5:$A$200,PURCHASE!$AB$6:$AB$446)</f>
        <v>0</v>
      </c>
      <c r="E148" s="36">
        <f>SUMIF(PURCHASE!$X$6:$X$446,$A$5:$A$200,PURCHASE!$E$6:$E$446)</f>
        <v>0</v>
      </c>
      <c r="F148" s="36">
        <f>SUMIF(PURCHASE!$X$6:$X$446,$A$5:$A$200,PURCHASE!$K$6:$K$446)</f>
        <v>0</v>
      </c>
      <c r="G148" s="36">
        <f>SUMIF(PURCHASE!$X$6:$X$446,$A$5:$A$200,PURCHASE!$L$6:$L$446)</f>
        <v>0</v>
      </c>
      <c r="H148" s="36">
        <f>SUMIF(PURCHASE!$X$6:$X$446,$A$5:$A$200,PURCHASE!$M$6:$M$446)</f>
        <v>0</v>
      </c>
      <c r="I148" s="36">
        <f>SUMIF(PURCHASE!$X$6:$X$446,$A$5:$A$200,PURCHASE!$N$6:$N$446)</f>
        <v>0</v>
      </c>
      <c r="J148" s="36">
        <f>SUMIF(PURCHASE!$X$6:$X$446,$A$5:$A$200,PURCHASE!$O$6:$O$446)</f>
        <v>0</v>
      </c>
    </row>
    <row r="149" spans="1:10" x14ac:dyDescent="0.3">
      <c r="A149" s="214">
        <v>6804</v>
      </c>
      <c r="B149" s="214" t="s">
        <v>568</v>
      </c>
      <c r="C149" s="215" t="s">
        <v>246</v>
      </c>
      <c r="D149" s="36">
        <f>SUMIF(PURCHASE!$X$6:$X$446,$A$5:$A$200,PURCHASE!$AB$6:$AB$446)</f>
        <v>0</v>
      </c>
      <c r="E149" s="36">
        <f>SUMIF(PURCHASE!$X$6:$X$446,$A$5:$A$200,PURCHASE!$E$6:$E$446)</f>
        <v>0</v>
      </c>
      <c r="F149" s="36">
        <f>SUMIF(PURCHASE!$X$6:$X$446,$A$5:$A$200,PURCHASE!$K$6:$K$446)</f>
        <v>0</v>
      </c>
      <c r="G149" s="36">
        <f>SUMIF(PURCHASE!$X$6:$X$446,$A$5:$A$200,PURCHASE!$L$6:$L$446)</f>
        <v>0</v>
      </c>
      <c r="H149" s="36">
        <f>SUMIF(PURCHASE!$X$6:$X$446,$A$5:$A$200,PURCHASE!$M$6:$M$446)</f>
        <v>0</v>
      </c>
      <c r="I149" s="36">
        <f>SUMIF(PURCHASE!$X$6:$X$446,$A$5:$A$200,PURCHASE!$N$6:$N$446)</f>
        <v>0</v>
      </c>
      <c r="J149" s="36">
        <f>SUMIF(PURCHASE!$X$6:$X$446,$A$5:$A$200,PURCHASE!$O$6:$O$446)</f>
        <v>0</v>
      </c>
    </row>
    <row r="150" spans="1:10" x14ac:dyDescent="0.3">
      <c r="A150" s="214">
        <v>9968</v>
      </c>
      <c r="B150" s="214" t="s">
        <v>569</v>
      </c>
      <c r="C150" s="215" t="s">
        <v>246</v>
      </c>
      <c r="D150" s="36">
        <f>SUMIF(PURCHASE!$X$6:$X$446,$A$5:$A$200,PURCHASE!$AB$6:$AB$446)</f>
        <v>0</v>
      </c>
      <c r="E150" s="36">
        <f>SUMIF(PURCHASE!$X$6:$X$446,$A$5:$A$200,PURCHASE!$E$6:$E$446)</f>
        <v>0</v>
      </c>
      <c r="F150" s="36">
        <f>SUMIF(PURCHASE!$X$6:$X$446,$A$5:$A$200,PURCHASE!$K$6:$K$446)</f>
        <v>0</v>
      </c>
      <c r="G150" s="36">
        <f>SUMIF(PURCHASE!$X$6:$X$446,$A$5:$A$200,PURCHASE!$L$6:$L$446)</f>
        <v>0</v>
      </c>
      <c r="H150" s="36">
        <f>SUMIF(PURCHASE!$X$6:$X$446,$A$5:$A$200,PURCHASE!$M$6:$M$446)</f>
        <v>0</v>
      </c>
      <c r="I150" s="36">
        <f>SUMIF(PURCHASE!$X$6:$X$446,$A$5:$A$200,PURCHASE!$N$6:$N$446)</f>
        <v>0</v>
      </c>
      <c r="J150" s="36">
        <f>SUMIF(PURCHASE!$X$6:$X$446,$A$5:$A$200,PURCHASE!$O$6:$O$446)</f>
        <v>0</v>
      </c>
    </row>
    <row r="151" spans="1:10" x14ac:dyDescent="0.3">
      <c r="A151" s="214">
        <v>8517</v>
      </c>
      <c r="B151" s="214" t="s">
        <v>570</v>
      </c>
      <c r="C151" s="215" t="s">
        <v>246</v>
      </c>
      <c r="D151" s="36">
        <f>SUMIF(PURCHASE!$X$6:$X$446,$A$5:$A$200,PURCHASE!$AB$6:$AB$446)</f>
        <v>0</v>
      </c>
      <c r="E151" s="36">
        <f>SUMIF(PURCHASE!$X$6:$X$446,$A$5:$A$200,PURCHASE!$E$6:$E$446)</f>
        <v>0</v>
      </c>
      <c r="F151" s="36">
        <f>SUMIF(PURCHASE!$X$6:$X$446,$A$5:$A$200,PURCHASE!$K$6:$K$446)</f>
        <v>0</v>
      </c>
      <c r="G151" s="36">
        <f>SUMIF(PURCHASE!$X$6:$X$446,$A$5:$A$200,PURCHASE!$L$6:$L$446)</f>
        <v>0</v>
      </c>
      <c r="H151" s="36">
        <f>SUMIF(PURCHASE!$X$6:$X$446,$A$5:$A$200,PURCHASE!$M$6:$M$446)</f>
        <v>0</v>
      </c>
      <c r="I151" s="36">
        <f>SUMIF(PURCHASE!$X$6:$X$446,$A$5:$A$200,PURCHASE!$N$6:$N$446)</f>
        <v>0</v>
      </c>
      <c r="J151" s="36">
        <f>SUMIF(PURCHASE!$X$6:$X$446,$A$5:$A$200,PURCHASE!$O$6:$O$446)</f>
        <v>0</v>
      </c>
    </row>
    <row r="152" spans="1:10" x14ac:dyDescent="0.3">
      <c r="A152" s="214">
        <v>7324</v>
      </c>
      <c r="B152" s="214" t="s">
        <v>571</v>
      </c>
      <c r="C152" s="215" t="s">
        <v>246</v>
      </c>
      <c r="D152" s="36">
        <f>SUMIF(PURCHASE!$X$6:$X$446,$A$5:$A$200,PURCHASE!$AB$6:$AB$446)</f>
        <v>0</v>
      </c>
      <c r="E152" s="36">
        <f>SUMIF(PURCHASE!$X$6:$X$446,$A$5:$A$200,PURCHASE!$E$6:$E$446)</f>
        <v>0</v>
      </c>
      <c r="F152" s="36">
        <f>SUMIF(PURCHASE!$X$6:$X$446,$A$5:$A$200,PURCHASE!$K$6:$K$446)</f>
        <v>0</v>
      </c>
      <c r="G152" s="36">
        <f>SUMIF(PURCHASE!$X$6:$X$446,$A$5:$A$200,PURCHASE!$L$6:$L$446)</f>
        <v>0</v>
      </c>
      <c r="H152" s="36">
        <f>SUMIF(PURCHASE!$X$6:$X$446,$A$5:$A$200,PURCHASE!$M$6:$M$446)</f>
        <v>0</v>
      </c>
      <c r="I152" s="36">
        <f>SUMIF(PURCHASE!$X$6:$X$446,$A$5:$A$200,PURCHASE!$N$6:$N$446)</f>
        <v>0</v>
      </c>
      <c r="J152" s="36">
        <f>SUMIF(PURCHASE!$X$6:$X$446,$A$5:$A$200,PURCHASE!$O$6:$O$446)</f>
        <v>0</v>
      </c>
    </row>
    <row r="153" spans="1:10" x14ac:dyDescent="0.3">
      <c r="A153" s="214">
        <v>8544</v>
      </c>
      <c r="B153" s="214" t="s">
        <v>572</v>
      </c>
      <c r="C153" s="215" t="s">
        <v>246</v>
      </c>
      <c r="D153" s="36">
        <f>SUMIF(PURCHASE!$X$6:$X$446,$A$5:$A$200,PURCHASE!$AB$6:$AB$446)</f>
        <v>0</v>
      </c>
      <c r="E153" s="36">
        <f>SUMIF(PURCHASE!$X$6:$X$446,$A$5:$A$200,PURCHASE!$E$6:$E$446)</f>
        <v>0</v>
      </c>
      <c r="F153" s="36">
        <f>SUMIF(PURCHASE!$X$6:$X$446,$A$5:$A$200,PURCHASE!$K$6:$K$446)</f>
        <v>0</v>
      </c>
      <c r="G153" s="36">
        <f>SUMIF(PURCHASE!$X$6:$X$446,$A$5:$A$200,PURCHASE!$L$6:$L$446)</f>
        <v>0</v>
      </c>
      <c r="H153" s="36">
        <f>SUMIF(PURCHASE!$X$6:$X$446,$A$5:$A$200,PURCHASE!$M$6:$M$446)</f>
        <v>0</v>
      </c>
      <c r="I153" s="36">
        <f>SUMIF(PURCHASE!$X$6:$X$446,$A$5:$A$200,PURCHASE!$N$6:$N$446)</f>
        <v>0</v>
      </c>
      <c r="J153" s="36">
        <f>SUMIF(PURCHASE!$X$6:$X$446,$A$5:$A$200,PURCHASE!$O$6:$O$446)</f>
        <v>0</v>
      </c>
    </row>
    <row r="154" spans="1:10" x14ac:dyDescent="0.3">
      <c r="A154" s="214">
        <v>8515</v>
      </c>
      <c r="B154" s="214" t="s">
        <v>573</v>
      </c>
      <c r="C154" s="215" t="s">
        <v>246</v>
      </c>
      <c r="D154" s="36">
        <f>SUMIF(PURCHASE!$X$6:$X$446,$A$5:$A$200,PURCHASE!$AB$6:$AB$446)</f>
        <v>0</v>
      </c>
      <c r="E154" s="36">
        <f>SUMIF(PURCHASE!$X$6:$X$446,$A$5:$A$200,PURCHASE!$E$6:$E$446)</f>
        <v>0</v>
      </c>
      <c r="F154" s="36">
        <f>SUMIF(PURCHASE!$X$6:$X$446,$A$5:$A$200,PURCHASE!$K$6:$K$446)</f>
        <v>0</v>
      </c>
      <c r="G154" s="36">
        <f>SUMIF(PURCHASE!$X$6:$X$446,$A$5:$A$200,PURCHASE!$L$6:$L$446)</f>
        <v>0</v>
      </c>
      <c r="H154" s="36">
        <f>SUMIF(PURCHASE!$X$6:$X$446,$A$5:$A$200,PURCHASE!$M$6:$M$446)</f>
        <v>0</v>
      </c>
      <c r="I154" s="36">
        <f>SUMIF(PURCHASE!$X$6:$X$446,$A$5:$A$200,PURCHASE!$N$6:$N$446)</f>
        <v>0</v>
      </c>
      <c r="J154" s="36">
        <f>SUMIF(PURCHASE!$X$6:$X$446,$A$5:$A$200,PURCHASE!$O$6:$O$446)</f>
        <v>0</v>
      </c>
    </row>
    <row r="155" spans="1:10" x14ac:dyDescent="0.3">
      <c r="A155" s="214">
        <v>8203</v>
      </c>
      <c r="B155" s="214" t="s">
        <v>574</v>
      </c>
      <c r="C155" s="215" t="s">
        <v>246</v>
      </c>
      <c r="D155" s="36">
        <f>SUMIF(PURCHASE!$X$6:$X$446,$A$5:$A$200,PURCHASE!$AB$6:$AB$446)</f>
        <v>0</v>
      </c>
      <c r="E155" s="36">
        <f>SUMIF(PURCHASE!$X$6:$X$446,$A$5:$A$200,PURCHASE!$E$6:$E$446)</f>
        <v>0</v>
      </c>
      <c r="F155" s="36">
        <f>SUMIF(PURCHASE!$X$6:$X$446,$A$5:$A$200,PURCHASE!$K$6:$K$446)</f>
        <v>0</v>
      </c>
      <c r="G155" s="36">
        <f>SUMIF(PURCHASE!$X$6:$X$446,$A$5:$A$200,PURCHASE!$L$6:$L$446)</f>
        <v>0</v>
      </c>
      <c r="H155" s="36">
        <f>SUMIF(PURCHASE!$X$6:$X$446,$A$5:$A$200,PURCHASE!$M$6:$M$446)</f>
        <v>0</v>
      </c>
      <c r="I155" s="36">
        <f>SUMIF(PURCHASE!$X$6:$X$446,$A$5:$A$200,PURCHASE!$N$6:$N$446)</f>
        <v>0</v>
      </c>
      <c r="J155" s="36">
        <f>SUMIF(PURCHASE!$X$6:$X$446,$A$5:$A$200,PURCHASE!$O$6:$O$446)</f>
        <v>0</v>
      </c>
    </row>
    <row r="156" spans="1:10" x14ac:dyDescent="0.3">
      <c r="A156" s="214">
        <v>8536</v>
      </c>
      <c r="B156" s="214" t="s">
        <v>575</v>
      </c>
      <c r="C156" s="215" t="s">
        <v>246</v>
      </c>
      <c r="D156" s="36">
        <f>SUMIF(PURCHASE!$X$6:$X$446,$A$5:$A$200,PURCHASE!$AB$6:$AB$446)</f>
        <v>77</v>
      </c>
      <c r="E156" s="36">
        <f>SUMIF(PURCHASE!$X$6:$X$446,$A$5:$A$200,PURCHASE!$E$6:$E$446)</f>
        <v>3256.8</v>
      </c>
      <c r="F156" s="36">
        <f>SUMIF(PURCHASE!$X$6:$X$446,$A$5:$A$200,PURCHASE!$K$6:$K$446)</f>
        <v>2760</v>
      </c>
      <c r="G156" s="36">
        <f>SUMIF(PURCHASE!$X$6:$X$446,$A$5:$A$200,PURCHASE!$L$6:$L$446)</f>
        <v>0</v>
      </c>
      <c r="H156" s="36">
        <f>SUMIF(PURCHASE!$X$6:$X$446,$A$5:$A$200,PURCHASE!$M$6:$M$446)</f>
        <v>248.39999999999998</v>
      </c>
      <c r="I156" s="36">
        <f>SUMIF(PURCHASE!$X$6:$X$446,$A$5:$A$200,PURCHASE!$N$6:$N$446)</f>
        <v>248.39999999999998</v>
      </c>
      <c r="J156" s="36">
        <f>SUMIF(PURCHASE!$X$6:$X$446,$A$5:$A$200,PURCHASE!$O$6:$O$446)</f>
        <v>0</v>
      </c>
    </row>
    <row r="157" spans="1:10" x14ac:dyDescent="0.3">
      <c r="A157" s="214">
        <v>8414</v>
      </c>
      <c r="B157" s="214" t="s">
        <v>576</v>
      </c>
      <c r="C157" s="215" t="s">
        <v>246</v>
      </c>
      <c r="D157" s="36">
        <f>SUMIF(PURCHASE!$X$6:$X$446,$A$5:$A$200,PURCHASE!$AB$6:$AB$446)</f>
        <v>4</v>
      </c>
      <c r="E157" s="36">
        <f>SUMIF(PURCHASE!$X$6:$X$446,$A$5:$A$200,PURCHASE!$E$6:$E$446)</f>
        <v>230751.35999999999</v>
      </c>
      <c r="F157" s="36">
        <f>SUMIF(PURCHASE!$X$6:$X$446,$A$5:$A$200,PURCHASE!$K$6:$K$446)</f>
        <v>195552</v>
      </c>
      <c r="G157" s="36">
        <f>SUMIF(PURCHASE!$X$6:$X$446,$A$5:$A$200,PURCHASE!$L$6:$L$446)</f>
        <v>0</v>
      </c>
      <c r="H157" s="36">
        <f>SUMIF(PURCHASE!$X$6:$X$446,$A$5:$A$200,PURCHASE!$M$6:$M$446)</f>
        <v>17599.68</v>
      </c>
      <c r="I157" s="36">
        <f>SUMIF(PURCHASE!$X$6:$X$446,$A$5:$A$200,PURCHASE!$N$6:$N$446)</f>
        <v>17599.68</v>
      </c>
      <c r="J157" s="36">
        <f>SUMIF(PURCHASE!$X$6:$X$446,$A$5:$A$200,PURCHASE!$O$6:$O$446)</f>
        <v>0</v>
      </c>
    </row>
    <row r="158" spans="1:10" x14ac:dyDescent="0.3">
      <c r="A158" s="214">
        <v>85446090</v>
      </c>
      <c r="B158" s="214" t="s">
        <v>577</v>
      </c>
      <c r="C158" s="215" t="s">
        <v>242</v>
      </c>
      <c r="D158" s="36">
        <f>SUMIF(PURCHASE!$X$6:$X$446,$A$5:$A$200,PURCHASE!$AB$6:$AB$446)</f>
        <v>0</v>
      </c>
      <c r="E158" s="36">
        <f>SUMIF(PURCHASE!$X$6:$X$446,$A$5:$A$200,PURCHASE!$E$6:$E$446)</f>
        <v>0</v>
      </c>
      <c r="F158" s="36">
        <f>SUMIF(PURCHASE!$X$6:$X$446,$A$5:$A$200,PURCHASE!$K$6:$K$446)</f>
        <v>0</v>
      </c>
      <c r="G158" s="36">
        <f>SUMIF(PURCHASE!$X$6:$X$446,$A$5:$A$200,PURCHASE!$L$6:$L$446)</f>
        <v>0</v>
      </c>
      <c r="H158" s="36">
        <f>SUMIF(PURCHASE!$X$6:$X$446,$A$5:$A$200,PURCHASE!$M$6:$M$446)</f>
        <v>0</v>
      </c>
      <c r="I158" s="36">
        <f>SUMIF(PURCHASE!$X$6:$X$446,$A$5:$A$200,PURCHASE!$N$6:$N$446)</f>
        <v>0</v>
      </c>
      <c r="J158" s="36">
        <f>SUMIF(PURCHASE!$X$6:$X$446,$A$5:$A$200,PURCHASE!$O$6:$O$446)</f>
        <v>0</v>
      </c>
    </row>
    <row r="159" spans="1:10" x14ac:dyDescent="0.3">
      <c r="A159" s="214" t="s">
        <v>578</v>
      </c>
      <c r="B159" s="214" t="s">
        <v>458</v>
      </c>
      <c r="C159" s="215" t="s">
        <v>246</v>
      </c>
      <c r="D159" s="36">
        <f>SUMIF(PURCHASE!$X$6:$X$446,$A$5:$A$200,PURCHASE!$AB$6:$AB$446)</f>
        <v>0</v>
      </c>
      <c r="E159" s="36">
        <f>SUMIF(PURCHASE!$X$6:$X$446,$A$5:$A$200,PURCHASE!$E$6:$E$446)</f>
        <v>0</v>
      </c>
      <c r="F159" s="36">
        <f>SUMIF(PURCHASE!$X$6:$X$446,$A$5:$A$200,PURCHASE!$K$6:$K$446)</f>
        <v>0</v>
      </c>
      <c r="G159" s="36">
        <f>SUMIF(PURCHASE!$X$6:$X$446,$A$5:$A$200,PURCHASE!$L$6:$L$446)</f>
        <v>0</v>
      </c>
      <c r="H159" s="36">
        <f>SUMIF(PURCHASE!$X$6:$X$446,$A$5:$A$200,PURCHASE!$M$6:$M$446)</f>
        <v>0</v>
      </c>
      <c r="I159" s="36">
        <f>SUMIF(PURCHASE!$X$6:$X$446,$A$5:$A$200,PURCHASE!$N$6:$N$446)</f>
        <v>0</v>
      </c>
      <c r="J159" s="36">
        <f>SUMIF(PURCHASE!$X$6:$X$446,$A$5:$A$200,PURCHASE!$O$6:$O$446)</f>
        <v>0</v>
      </c>
    </row>
    <row r="160" spans="1:10" x14ac:dyDescent="0.3">
      <c r="A160" s="214" t="s">
        <v>579</v>
      </c>
      <c r="B160" s="214" t="s">
        <v>81</v>
      </c>
      <c r="C160" s="215" t="s">
        <v>246</v>
      </c>
      <c r="D160" s="36">
        <f>SUMIF(PURCHASE!$X$6:$X$446,$A$5:$A$200,PURCHASE!$AB$6:$AB$446)</f>
        <v>0</v>
      </c>
      <c r="E160" s="36">
        <f>SUMIF(PURCHASE!$X$6:$X$446,$A$5:$A$200,PURCHASE!$E$6:$E$446)</f>
        <v>0</v>
      </c>
      <c r="F160" s="36">
        <f>SUMIF(PURCHASE!$X$6:$X$446,$A$5:$A$200,PURCHASE!$K$6:$K$446)</f>
        <v>0</v>
      </c>
      <c r="G160" s="36">
        <f>SUMIF(PURCHASE!$X$6:$X$446,$A$5:$A$200,PURCHASE!$L$6:$L$446)</f>
        <v>0</v>
      </c>
      <c r="H160" s="36">
        <f>SUMIF(PURCHASE!$X$6:$X$446,$A$5:$A$200,PURCHASE!$M$6:$M$446)</f>
        <v>0</v>
      </c>
      <c r="I160" s="36">
        <f>SUMIF(PURCHASE!$X$6:$X$446,$A$5:$A$200,PURCHASE!$N$6:$N$446)</f>
        <v>0</v>
      </c>
      <c r="J160" s="36">
        <f>SUMIF(PURCHASE!$X$6:$X$446,$A$5:$A$200,PURCHASE!$O$6:$O$446)</f>
        <v>0</v>
      </c>
    </row>
    <row r="161" spans="1:10" x14ac:dyDescent="0.3">
      <c r="A161" s="214" t="s">
        <v>580</v>
      </c>
      <c r="B161" s="214" t="s">
        <v>484</v>
      </c>
      <c r="C161" s="215" t="s">
        <v>246</v>
      </c>
      <c r="D161" s="36">
        <f>SUMIF(PURCHASE!$X$6:$X$446,$A$5:$A$200,PURCHASE!$AB$6:$AB$446)</f>
        <v>0</v>
      </c>
      <c r="E161" s="36">
        <f>SUMIF(PURCHASE!$X$6:$X$446,$A$5:$A$200,PURCHASE!$E$6:$E$446)</f>
        <v>0</v>
      </c>
      <c r="F161" s="36">
        <f>SUMIF(PURCHASE!$X$6:$X$446,$A$5:$A$200,PURCHASE!$K$6:$K$446)</f>
        <v>0</v>
      </c>
      <c r="G161" s="36">
        <f>SUMIF(PURCHASE!$X$6:$X$446,$A$5:$A$200,PURCHASE!$L$6:$L$446)</f>
        <v>0</v>
      </c>
      <c r="H161" s="36">
        <f>SUMIF(PURCHASE!$X$6:$X$446,$A$5:$A$200,PURCHASE!$M$6:$M$446)</f>
        <v>0</v>
      </c>
      <c r="I161" s="36">
        <f>SUMIF(PURCHASE!$X$6:$X$446,$A$5:$A$200,PURCHASE!$N$6:$N$446)</f>
        <v>0</v>
      </c>
      <c r="J161" s="36">
        <f>SUMIF(PURCHASE!$X$6:$X$446,$A$5:$A$200,PURCHASE!$O$6:$O$446)</f>
        <v>0</v>
      </c>
    </row>
    <row r="162" spans="1:10" x14ac:dyDescent="0.3">
      <c r="A162" s="214">
        <v>27076000</v>
      </c>
      <c r="B162" s="214" t="s">
        <v>581</v>
      </c>
      <c r="C162" s="215" t="s">
        <v>246</v>
      </c>
      <c r="D162" s="36">
        <f>SUMIF(PURCHASE!$X$6:$X$446,$A$5:$A$200,PURCHASE!$AB$6:$AB$446)</f>
        <v>0</v>
      </c>
      <c r="E162" s="36">
        <f>SUMIF(PURCHASE!$X$6:$X$446,$A$5:$A$200,PURCHASE!$E$6:$E$446)</f>
        <v>0</v>
      </c>
      <c r="F162" s="36">
        <f>SUMIF(PURCHASE!$X$6:$X$446,$A$5:$A$200,PURCHASE!$K$6:$K$446)</f>
        <v>0</v>
      </c>
      <c r="G162" s="36">
        <f>SUMIF(PURCHASE!$X$6:$X$446,$A$5:$A$200,PURCHASE!$L$6:$L$446)</f>
        <v>0</v>
      </c>
      <c r="H162" s="36">
        <f>SUMIF(PURCHASE!$X$6:$X$446,$A$5:$A$200,PURCHASE!$M$6:$M$446)</f>
        <v>0</v>
      </c>
      <c r="I162" s="36">
        <f>SUMIF(PURCHASE!$X$6:$X$446,$A$5:$A$200,PURCHASE!$N$6:$N$446)</f>
        <v>0</v>
      </c>
      <c r="J162" s="36">
        <f>SUMIF(PURCHASE!$X$6:$X$446,$A$5:$A$200,PURCHASE!$O$6:$O$446)</f>
        <v>0</v>
      </c>
    </row>
    <row r="163" spans="1:10" x14ac:dyDescent="0.3">
      <c r="A163" s="214">
        <v>96039000</v>
      </c>
      <c r="B163" s="214" t="s">
        <v>582</v>
      </c>
      <c r="C163" s="215" t="s">
        <v>246</v>
      </c>
      <c r="D163" s="36">
        <f>SUMIF(PURCHASE!$X$6:$X$446,$A$5:$A$200,PURCHASE!$AB$6:$AB$446)</f>
        <v>12</v>
      </c>
      <c r="E163" s="36">
        <f>SUMIF(PURCHASE!$X$6:$X$446,$A$5:$A$200,PURCHASE!$E$6:$E$446)</f>
        <v>300</v>
      </c>
      <c r="F163" s="36">
        <f>SUMIF(PURCHASE!$X$6:$X$446,$A$5:$A$200,PURCHASE!$K$6:$K$446)</f>
        <v>300</v>
      </c>
      <c r="G163" s="36">
        <f>SUMIF(PURCHASE!$X$6:$X$446,$A$5:$A$200,PURCHASE!$L$6:$L$446)</f>
        <v>0</v>
      </c>
      <c r="H163" s="36">
        <f>SUMIF(PURCHASE!$X$6:$X$446,$A$5:$A$200,PURCHASE!$M$6:$M$446)</f>
        <v>0</v>
      </c>
      <c r="I163" s="36">
        <f>SUMIF(PURCHASE!$X$6:$X$446,$A$5:$A$200,PURCHASE!$N$6:$N$446)</f>
        <v>0</v>
      </c>
      <c r="J163" s="36">
        <f>SUMIF(PURCHASE!$X$6:$X$446,$A$5:$A$200,PURCHASE!$O$6:$O$446)</f>
        <v>0</v>
      </c>
    </row>
    <row r="164" spans="1:10" x14ac:dyDescent="0.3">
      <c r="A164" s="214">
        <v>62104090</v>
      </c>
      <c r="B164" s="214" t="s">
        <v>483</v>
      </c>
      <c r="C164" s="215" t="s">
        <v>246</v>
      </c>
      <c r="D164" s="36">
        <f>SUMIF(PURCHASE!$X$6:$X$446,$A$5:$A$200,PURCHASE!$AB$6:$AB$446)</f>
        <v>0</v>
      </c>
      <c r="E164" s="36">
        <f>SUMIF(PURCHASE!$X$6:$X$446,$A$5:$A$200,PURCHASE!$E$6:$E$446)</f>
        <v>0</v>
      </c>
      <c r="F164" s="36">
        <f>SUMIF(PURCHASE!$X$6:$X$446,$A$5:$A$200,PURCHASE!$K$6:$K$446)</f>
        <v>0</v>
      </c>
      <c r="G164" s="36">
        <f>SUMIF(PURCHASE!$X$6:$X$446,$A$5:$A$200,PURCHASE!$L$6:$L$446)</f>
        <v>0</v>
      </c>
      <c r="H164" s="36">
        <f>SUMIF(PURCHASE!$X$6:$X$446,$A$5:$A$200,PURCHASE!$M$6:$M$446)</f>
        <v>0</v>
      </c>
      <c r="I164" s="36">
        <f>SUMIF(PURCHASE!$X$6:$X$446,$A$5:$A$200,PURCHASE!$N$6:$N$446)</f>
        <v>0</v>
      </c>
      <c r="J164" s="36">
        <f>SUMIF(PURCHASE!$X$6:$X$446,$A$5:$A$200,PURCHASE!$O$6:$O$446)</f>
        <v>0</v>
      </c>
    </row>
    <row r="165" spans="1:10" x14ac:dyDescent="0.3">
      <c r="A165" s="214">
        <v>39172190</v>
      </c>
      <c r="B165" s="214" t="s">
        <v>583</v>
      </c>
      <c r="C165" s="215" t="s">
        <v>246</v>
      </c>
      <c r="D165" s="36">
        <f>SUMIF(PURCHASE!$X$6:$X$446,$A$5:$A$200,PURCHASE!$AB$6:$AB$446)</f>
        <v>0</v>
      </c>
      <c r="E165" s="36">
        <f>SUMIF(PURCHASE!$X$6:$X$446,$A$5:$A$200,PURCHASE!$E$6:$E$446)</f>
        <v>0</v>
      </c>
      <c r="F165" s="36">
        <f>SUMIF(PURCHASE!$X$6:$X$446,$A$5:$A$200,PURCHASE!$K$6:$K$446)</f>
        <v>0</v>
      </c>
      <c r="G165" s="36">
        <f>SUMIF(PURCHASE!$X$6:$X$446,$A$5:$A$200,PURCHASE!$L$6:$L$446)</f>
        <v>0</v>
      </c>
      <c r="H165" s="36">
        <f>SUMIF(PURCHASE!$X$6:$X$446,$A$5:$A$200,PURCHASE!$M$6:$M$446)</f>
        <v>0</v>
      </c>
      <c r="I165" s="36">
        <f>SUMIF(PURCHASE!$X$6:$X$446,$A$5:$A$200,PURCHASE!$N$6:$N$446)</f>
        <v>0</v>
      </c>
      <c r="J165" s="36">
        <f>SUMIF(PURCHASE!$X$6:$X$446,$A$5:$A$200,PURCHASE!$O$6:$O$446)</f>
        <v>0</v>
      </c>
    </row>
    <row r="166" spans="1:10" x14ac:dyDescent="0.3">
      <c r="A166" s="214">
        <v>85371000</v>
      </c>
      <c r="B166" s="214" t="s">
        <v>584</v>
      </c>
      <c r="C166" s="215" t="s">
        <v>246</v>
      </c>
      <c r="D166" s="36">
        <f>SUMIF(PURCHASE!$X$6:$X$446,$A$5:$A$200,PURCHASE!$AB$6:$AB$446)</f>
        <v>0</v>
      </c>
      <c r="E166" s="36">
        <f>SUMIF(PURCHASE!$X$6:$X$446,$A$5:$A$200,PURCHASE!$E$6:$E$446)</f>
        <v>0</v>
      </c>
      <c r="F166" s="36">
        <f>SUMIF(PURCHASE!$X$6:$X$446,$A$5:$A$200,PURCHASE!$K$6:$K$446)</f>
        <v>0</v>
      </c>
      <c r="G166" s="36">
        <f>SUMIF(PURCHASE!$X$6:$X$446,$A$5:$A$200,PURCHASE!$L$6:$L$446)</f>
        <v>0</v>
      </c>
      <c r="H166" s="36">
        <f>SUMIF(PURCHASE!$X$6:$X$446,$A$5:$A$200,PURCHASE!$M$6:$M$446)</f>
        <v>0</v>
      </c>
      <c r="I166" s="36">
        <f>SUMIF(PURCHASE!$X$6:$X$446,$A$5:$A$200,PURCHASE!$N$6:$N$446)</f>
        <v>0</v>
      </c>
      <c r="J166" s="36">
        <f>SUMIF(PURCHASE!$X$6:$X$446,$A$5:$A$200,PURCHASE!$O$6:$O$446)</f>
        <v>0</v>
      </c>
    </row>
    <row r="167" spans="1:10" x14ac:dyDescent="0.3">
      <c r="A167" s="214" t="s">
        <v>585</v>
      </c>
      <c r="B167" s="214" t="s">
        <v>559</v>
      </c>
      <c r="C167" s="215" t="s">
        <v>246</v>
      </c>
      <c r="D167" s="36">
        <f>SUMIF(PURCHASE!$X$6:$X$446,$A$5:$A$200,PURCHASE!$AB$6:$AB$446)</f>
        <v>0</v>
      </c>
      <c r="E167" s="36">
        <f>SUMIF(PURCHASE!$X$6:$X$446,$A$5:$A$200,PURCHASE!$E$6:$E$446)</f>
        <v>0</v>
      </c>
      <c r="F167" s="36">
        <f>SUMIF(PURCHASE!$X$6:$X$446,$A$5:$A$200,PURCHASE!$K$6:$K$446)</f>
        <v>0</v>
      </c>
      <c r="G167" s="36">
        <f>SUMIF(PURCHASE!$X$6:$X$446,$A$5:$A$200,PURCHASE!$L$6:$L$446)</f>
        <v>0</v>
      </c>
      <c r="H167" s="36">
        <f>SUMIF(PURCHASE!$X$6:$X$446,$A$5:$A$200,PURCHASE!$M$6:$M$446)</f>
        <v>0</v>
      </c>
      <c r="I167" s="36">
        <f>SUMIF(PURCHASE!$X$6:$X$446,$A$5:$A$200,PURCHASE!$N$6:$N$446)</f>
        <v>0</v>
      </c>
      <c r="J167" s="36">
        <f>SUMIF(PURCHASE!$X$6:$X$446,$A$5:$A$200,PURCHASE!$O$6:$O$446)</f>
        <v>0</v>
      </c>
    </row>
    <row r="168" spans="1:10" x14ac:dyDescent="0.3">
      <c r="A168" s="214">
        <v>85381090</v>
      </c>
      <c r="B168" s="214" t="s">
        <v>586</v>
      </c>
      <c r="C168" s="215" t="s">
        <v>246</v>
      </c>
      <c r="D168" s="36">
        <f>SUMIF(PURCHASE!$X$6:$X$446,$A$5:$A$200,PURCHASE!$AB$6:$AB$446)</f>
        <v>0</v>
      </c>
      <c r="E168" s="36">
        <f>SUMIF(PURCHASE!$X$6:$X$446,$A$5:$A$200,PURCHASE!$E$6:$E$446)</f>
        <v>0</v>
      </c>
      <c r="F168" s="36">
        <f>SUMIF(PURCHASE!$X$6:$X$446,$A$5:$A$200,PURCHASE!$K$6:$K$446)</f>
        <v>0</v>
      </c>
      <c r="G168" s="36">
        <f>SUMIF(PURCHASE!$X$6:$X$446,$A$5:$A$200,PURCHASE!$L$6:$L$446)</f>
        <v>0</v>
      </c>
      <c r="H168" s="36">
        <f>SUMIF(PURCHASE!$X$6:$X$446,$A$5:$A$200,PURCHASE!$M$6:$M$446)</f>
        <v>0</v>
      </c>
      <c r="I168" s="36">
        <f>SUMIF(PURCHASE!$X$6:$X$446,$A$5:$A$200,PURCHASE!$N$6:$N$446)</f>
        <v>0</v>
      </c>
      <c r="J168" s="36">
        <f>SUMIF(PURCHASE!$X$6:$X$446,$A$5:$A$200,PURCHASE!$O$6:$O$446)</f>
        <v>0</v>
      </c>
    </row>
    <row r="169" spans="1:10" x14ac:dyDescent="0.3">
      <c r="A169" s="214">
        <v>48201090</v>
      </c>
      <c r="B169" s="214" t="s">
        <v>587</v>
      </c>
      <c r="C169" s="215" t="s">
        <v>246</v>
      </c>
      <c r="D169" s="36">
        <f>SUMIF(PURCHASE!$X$6:$X$446,$A$5:$A$200,PURCHASE!$AB$6:$AB$446)</f>
        <v>0</v>
      </c>
      <c r="E169" s="36">
        <f>SUMIF(PURCHASE!$X$6:$X$446,$A$5:$A$200,PURCHASE!$E$6:$E$446)</f>
        <v>0</v>
      </c>
      <c r="F169" s="36">
        <f>SUMIF(PURCHASE!$X$6:$X$446,$A$5:$A$200,PURCHASE!$K$6:$K$446)</f>
        <v>0</v>
      </c>
      <c r="G169" s="36">
        <f>SUMIF(PURCHASE!$X$6:$X$446,$A$5:$A$200,PURCHASE!$L$6:$L$446)</f>
        <v>0</v>
      </c>
      <c r="H169" s="36">
        <f>SUMIF(PURCHASE!$X$6:$X$446,$A$5:$A$200,PURCHASE!$M$6:$M$446)</f>
        <v>0</v>
      </c>
      <c r="I169" s="36">
        <f>SUMIF(PURCHASE!$X$6:$X$446,$A$5:$A$200,PURCHASE!$N$6:$N$446)</f>
        <v>0</v>
      </c>
      <c r="J169" s="36">
        <f>SUMIF(PURCHASE!$X$6:$X$446,$A$5:$A$200,PURCHASE!$O$6:$O$446)</f>
        <v>0</v>
      </c>
    </row>
    <row r="170" spans="1:10" x14ac:dyDescent="0.3">
      <c r="A170" s="214" t="s">
        <v>588</v>
      </c>
      <c r="B170" s="214" t="s">
        <v>471</v>
      </c>
      <c r="C170" s="215" t="s">
        <v>246</v>
      </c>
      <c r="D170" s="36">
        <f>SUMIF(PURCHASE!$X$6:$X$446,$A$5:$A$200,PURCHASE!$AB$6:$AB$446)</f>
        <v>0</v>
      </c>
      <c r="E170" s="36">
        <f>SUMIF(PURCHASE!$X$6:$X$446,$A$5:$A$200,PURCHASE!$E$6:$E$446)</f>
        <v>0</v>
      </c>
      <c r="F170" s="36">
        <f>SUMIF(PURCHASE!$X$6:$X$446,$A$5:$A$200,PURCHASE!$K$6:$K$446)</f>
        <v>0</v>
      </c>
      <c r="G170" s="36">
        <f>SUMIF(PURCHASE!$X$6:$X$446,$A$5:$A$200,PURCHASE!$L$6:$L$446)</f>
        <v>0</v>
      </c>
      <c r="H170" s="36">
        <f>SUMIF(PURCHASE!$X$6:$X$446,$A$5:$A$200,PURCHASE!$M$6:$M$446)</f>
        <v>0</v>
      </c>
      <c r="I170" s="36">
        <f>SUMIF(PURCHASE!$X$6:$X$446,$A$5:$A$200,PURCHASE!$N$6:$N$446)</f>
        <v>0</v>
      </c>
      <c r="J170" s="36">
        <f>SUMIF(PURCHASE!$X$6:$X$446,$A$5:$A$200,PURCHASE!$O$6:$O$446)</f>
        <v>0</v>
      </c>
    </row>
    <row r="171" spans="1:10" x14ac:dyDescent="0.3">
      <c r="A171" s="214">
        <v>32149090</v>
      </c>
      <c r="B171" s="214" t="s">
        <v>589</v>
      </c>
      <c r="C171" s="215" t="s">
        <v>246</v>
      </c>
      <c r="D171" s="36">
        <f>SUMIF(PURCHASE!$X$6:$X$446,$A$5:$A$200,PURCHASE!$AB$6:$AB$446)</f>
        <v>0</v>
      </c>
      <c r="E171" s="36">
        <f>SUMIF(PURCHASE!$X$6:$X$446,$A$5:$A$200,PURCHASE!$E$6:$E$446)</f>
        <v>0</v>
      </c>
      <c r="F171" s="36">
        <f>SUMIF(PURCHASE!$X$6:$X$446,$A$5:$A$200,PURCHASE!$K$6:$K$446)</f>
        <v>0</v>
      </c>
      <c r="G171" s="36">
        <f>SUMIF(PURCHASE!$X$6:$X$446,$A$5:$A$200,PURCHASE!$L$6:$L$446)</f>
        <v>0</v>
      </c>
      <c r="H171" s="36">
        <f>SUMIF(PURCHASE!$X$6:$X$446,$A$5:$A$200,PURCHASE!$M$6:$M$446)</f>
        <v>0</v>
      </c>
      <c r="I171" s="36">
        <f>SUMIF(PURCHASE!$X$6:$X$446,$A$5:$A$200,PURCHASE!$N$6:$N$446)</f>
        <v>0</v>
      </c>
      <c r="J171" s="36">
        <f>SUMIF(PURCHASE!$X$6:$X$446,$A$5:$A$200,PURCHASE!$O$6:$O$446)</f>
        <v>0</v>
      </c>
    </row>
    <row r="172" spans="1:10" x14ac:dyDescent="0.3">
      <c r="A172" s="214">
        <v>32129090</v>
      </c>
      <c r="B172" s="214" t="s">
        <v>590</v>
      </c>
      <c r="C172" s="215" t="s">
        <v>246</v>
      </c>
      <c r="D172" s="36">
        <f>SUMIF(PURCHASE!$X$6:$X$446,$A$5:$A$200,PURCHASE!$AB$6:$AB$446)</f>
        <v>0</v>
      </c>
      <c r="E172" s="36">
        <f>SUMIF(PURCHASE!$X$6:$X$446,$A$5:$A$200,PURCHASE!$E$6:$E$446)</f>
        <v>0</v>
      </c>
      <c r="F172" s="36">
        <f>SUMIF(PURCHASE!$X$6:$X$446,$A$5:$A$200,PURCHASE!$K$6:$K$446)</f>
        <v>0</v>
      </c>
      <c r="G172" s="36">
        <f>SUMIF(PURCHASE!$X$6:$X$446,$A$5:$A$200,PURCHASE!$L$6:$L$446)</f>
        <v>0</v>
      </c>
      <c r="H172" s="36">
        <f>SUMIF(PURCHASE!$X$6:$X$446,$A$5:$A$200,PURCHASE!$M$6:$M$446)</f>
        <v>0</v>
      </c>
      <c r="I172" s="36">
        <f>SUMIF(PURCHASE!$X$6:$X$446,$A$5:$A$200,PURCHASE!$N$6:$N$446)</f>
        <v>0</v>
      </c>
      <c r="J172" s="36">
        <f>SUMIF(PURCHASE!$X$6:$X$446,$A$5:$A$200,PURCHASE!$O$6:$O$446)</f>
        <v>0</v>
      </c>
    </row>
    <row r="173" spans="1:10" x14ac:dyDescent="0.3">
      <c r="A173" s="214">
        <v>39209999</v>
      </c>
      <c r="B173" s="214" t="s">
        <v>591</v>
      </c>
      <c r="C173" s="215" t="s">
        <v>246</v>
      </c>
      <c r="D173" s="36">
        <f>SUMIF(PURCHASE!$X$6:$X$446,$A$5:$A$200,PURCHASE!$AB$6:$AB$446)</f>
        <v>0</v>
      </c>
      <c r="E173" s="36">
        <f>SUMIF(PURCHASE!$X$6:$X$446,$A$5:$A$200,PURCHASE!$E$6:$E$446)</f>
        <v>0</v>
      </c>
      <c r="F173" s="36">
        <f>SUMIF(PURCHASE!$X$6:$X$446,$A$5:$A$200,PURCHASE!$K$6:$K$446)</f>
        <v>0</v>
      </c>
      <c r="G173" s="36">
        <f>SUMIF(PURCHASE!$X$6:$X$446,$A$5:$A$200,PURCHASE!$L$6:$L$446)</f>
        <v>0</v>
      </c>
      <c r="H173" s="36">
        <f>SUMIF(PURCHASE!$X$6:$X$446,$A$5:$A$200,PURCHASE!$M$6:$M$446)</f>
        <v>0</v>
      </c>
      <c r="I173" s="36">
        <f>SUMIF(PURCHASE!$X$6:$X$446,$A$5:$A$200,PURCHASE!$N$6:$N$446)</f>
        <v>0</v>
      </c>
      <c r="J173" s="36">
        <f>SUMIF(PURCHASE!$X$6:$X$446,$A$5:$A$200,PURCHASE!$O$6:$O$446)</f>
        <v>0</v>
      </c>
    </row>
    <row r="174" spans="1:10" x14ac:dyDescent="0.3">
      <c r="A174" s="214">
        <v>3001</v>
      </c>
      <c r="B174" s="214" t="s">
        <v>592</v>
      </c>
      <c r="C174" s="215" t="s">
        <v>246</v>
      </c>
      <c r="D174" s="36">
        <f>SUMIF(PURCHASE!$X$6:$X$446,$A$5:$A$200,PURCHASE!$AB$6:$AB$446)</f>
        <v>0</v>
      </c>
      <c r="E174" s="36">
        <f>SUMIF(PURCHASE!$X$6:$X$446,$A$5:$A$200,PURCHASE!$E$6:$E$446)</f>
        <v>0</v>
      </c>
      <c r="F174" s="36">
        <f>SUMIF(PURCHASE!$X$6:$X$446,$A$5:$A$200,PURCHASE!$K$6:$K$446)</f>
        <v>0</v>
      </c>
      <c r="G174" s="36">
        <f>SUMIF(PURCHASE!$X$6:$X$446,$A$5:$A$200,PURCHASE!$L$6:$L$446)</f>
        <v>0</v>
      </c>
      <c r="H174" s="36">
        <f>SUMIF(PURCHASE!$X$6:$X$446,$A$5:$A$200,PURCHASE!$M$6:$M$446)</f>
        <v>0</v>
      </c>
      <c r="I174" s="36">
        <f>SUMIF(PURCHASE!$X$6:$X$446,$A$5:$A$200,PURCHASE!$N$6:$N$446)</f>
        <v>0</v>
      </c>
      <c r="J174" s="36">
        <f>SUMIF(PURCHASE!$X$6:$X$446,$A$5:$A$200,PURCHASE!$O$6:$O$446)</f>
        <v>0</v>
      </c>
    </row>
    <row r="175" spans="1:10" x14ac:dyDescent="0.3">
      <c r="A175" s="214">
        <v>48211020</v>
      </c>
      <c r="B175" s="214" t="s">
        <v>593</v>
      </c>
      <c r="C175" s="215" t="s">
        <v>246</v>
      </c>
      <c r="D175" s="36">
        <f>SUMIF(PURCHASE!$X$6:$X$446,$A$5:$A$200,PURCHASE!$AB$6:$AB$446)</f>
        <v>5022</v>
      </c>
      <c r="E175" s="36">
        <f>SUMIF(PURCHASE!$X$6:$X$446,$A$5:$A$200,PURCHASE!$E$6:$E$446)</f>
        <v>1481.4899999999998</v>
      </c>
      <c r="F175" s="36">
        <f>SUMIF(PURCHASE!$X$6:$X$446,$A$5:$A$200,PURCHASE!$K$6:$K$446)</f>
        <v>1255.5</v>
      </c>
      <c r="G175" s="36">
        <f>SUMIF(PURCHASE!$X$6:$X$446,$A$5:$A$200,PURCHASE!$L$6:$L$446)</f>
        <v>0</v>
      </c>
      <c r="H175" s="36">
        <f>SUMIF(PURCHASE!$X$6:$X$446,$A$5:$A$200,PURCHASE!$M$6:$M$446)</f>
        <v>112.99499999999999</v>
      </c>
      <c r="I175" s="36">
        <f>SUMIF(PURCHASE!$X$6:$X$446,$A$5:$A$200,PURCHASE!$N$6:$N$446)</f>
        <v>112.99499999999999</v>
      </c>
      <c r="J175" s="36">
        <f>SUMIF(PURCHASE!$X$6:$X$446,$A$5:$A$200,PURCHASE!$O$6:$O$446)</f>
        <v>0</v>
      </c>
    </row>
    <row r="176" spans="1:10" x14ac:dyDescent="0.3">
      <c r="A176" s="214" t="s">
        <v>594</v>
      </c>
      <c r="B176" s="214" t="s">
        <v>472</v>
      </c>
      <c r="C176" s="215" t="s">
        <v>246</v>
      </c>
      <c r="D176" s="36">
        <f>SUMIF(PURCHASE!$X$6:$X$446,$A$5:$A$200,PURCHASE!$AB$6:$AB$446)</f>
        <v>0</v>
      </c>
      <c r="E176" s="36">
        <f>SUMIF(PURCHASE!$X$6:$X$446,$A$5:$A$200,PURCHASE!$E$6:$E$446)</f>
        <v>0</v>
      </c>
      <c r="F176" s="36">
        <f>SUMIF(PURCHASE!$X$6:$X$446,$A$5:$A$200,PURCHASE!$K$6:$K$446)</f>
        <v>0</v>
      </c>
      <c r="G176" s="36">
        <f>SUMIF(PURCHASE!$X$6:$X$446,$A$5:$A$200,PURCHASE!$L$6:$L$446)</f>
        <v>0</v>
      </c>
      <c r="H176" s="36">
        <f>SUMIF(PURCHASE!$X$6:$X$446,$A$5:$A$200,PURCHASE!$M$6:$M$446)</f>
        <v>0</v>
      </c>
      <c r="I176" s="36">
        <f>SUMIF(PURCHASE!$X$6:$X$446,$A$5:$A$200,PURCHASE!$N$6:$N$446)</f>
        <v>0</v>
      </c>
      <c r="J176" s="36">
        <f>SUMIF(PURCHASE!$X$6:$X$446,$A$5:$A$200,PURCHASE!$O$6:$O$446)</f>
        <v>0</v>
      </c>
    </row>
    <row r="177" spans="1:10" x14ac:dyDescent="0.3">
      <c r="A177" s="214" t="s">
        <v>595</v>
      </c>
      <c r="B177" s="214" t="s">
        <v>561</v>
      </c>
      <c r="C177" s="215" t="s">
        <v>258</v>
      </c>
      <c r="D177" s="36">
        <f>SUMIF(PURCHASE!$X$6:$X$446,$A$5:$A$200,PURCHASE!$AB$6:$AB$446)</f>
        <v>87</v>
      </c>
      <c r="E177" s="36">
        <f>SUMIF(PURCHASE!$X$6:$X$446,$A$5:$A$200,PURCHASE!$E$6:$E$446)</f>
        <v>50681.472000000002</v>
      </c>
      <c r="F177" s="36">
        <f>SUMIF(PURCHASE!$X$6:$X$446,$A$5:$A$200,PURCHASE!$K$6:$K$446)</f>
        <v>42950.400000000001</v>
      </c>
      <c r="G177" s="36">
        <f>SUMIF(PURCHASE!$X$6:$X$446,$A$5:$A$200,PURCHASE!$L$6:$L$446)</f>
        <v>0</v>
      </c>
      <c r="H177" s="36">
        <f>SUMIF(PURCHASE!$X$6:$X$446,$A$5:$A$200,PURCHASE!$M$6:$M$446)</f>
        <v>3865.5360000000001</v>
      </c>
      <c r="I177" s="36">
        <f>SUMIF(PURCHASE!$X$6:$X$446,$A$5:$A$200,PURCHASE!$N$6:$N$446)</f>
        <v>3865.5360000000001</v>
      </c>
      <c r="J177" s="36">
        <f>SUMIF(PURCHASE!$X$6:$X$446,$A$5:$A$200,PURCHASE!$O$6:$O$446)</f>
        <v>0</v>
      </c>
    </row>
    <row r="178" spans="1:10" x14ac:dyDescent="0.3">
      <c r="A178" s="214">
        <v>7007290</v>
      </c>
      <c r="B178" s="214" t="s">
        <v>596</v>
      </c>
      <c r="C178" s="215" t="s">
        <v>246</v>
      </c>
      <c r="D178" s="36">
        <f>SUMIF(PURCHASE!$X$6:$X$446,$A$5:$A$200,PURCHASE!$AB$6:$AB$446)</f>
        <v>0</v>
      </c>
      <c r="E178" s="36">
        <f>SUMIF(PURCHASE!$X$6:$X$446,$A$5:$A$200,PURCHASE!$E$6:$E$446)</f>
        <v>0</v>
      </c>
      <c r="F178" s="36">
        <f>SUMIF(PURCHASE!$X$6:$X$446,$A$5:$A$200,PURCHASE!$K$6:$K$446)</f>
        <v>0</v>
      </c>
      <c r="G178" s="36">
        <f>SUMIF(PURCHASE!$X$6:$X$446,$A$5:$A$200,PURCHASE!$L$6:$L$446)</f>
        <v>0</v>
      </c>
      <c r="H178" s="36">
        <f>SUMIF(PURCHASE!$X$6:$X$446,$A$5:$A$200,PURCHASE!$M$6:$M$446)</f>
        <v>0</v>
      </c>
      <c r="I178" s="36">
        <f>SUMIF(PURCHASE!$X$6:$X$446,$A$5:$A$200,PURCHASE!$N$6:$N$446)</f>
        <v>0</v>
      </c>
      <c r="J178" s="36">
        <f>SUMIF(PURCHASE!$X$6:$X$446,$A$5:$A$200,PURCHASE!$O$6:$O$446)</f>
        <v>0</v>
      </c>
    </row>
    <row r="179" spans="1:10" x14ac:dyDescent="0.3">
      <c r="A179" s="214">
        <v>8467</v>
      </c>
      <c r="B179" s="214" t="s">
        <v>597</v>
      </c>
      <c r="C179" s="215" t="s">
        <v>246</v>
      </c>
      <c r="D179" s="36">
        <f>SUMIF(PURCHASE!$X$6:$X$446,$A$5:$A$200,PURCHASE!$AB$6:$AB$446)</f>
        <v>0</v>
      </c>
      <c r="E179" s="36">
        <f>SUMIF(PURCHASE!$X$6:$X$446,$A$5:$A$200,PURCHASE!$E$6:$E$446)</f>
        <v>0</v>
      </c>
      <c r="F179" s="36">
        <f>SUMIF(PURCHASE!$X$6:$X$446,$A$5:$A$200,PURCHASE!$K$6:$K$446)</f>
        <v>0</v>
      </c>
      <c r="G179" s="36">
        <f>SUMIF(PURCHASE!$X$6:$X$446,$A$5:$A$200,PURCHASE!$L$6:$L$446)</f>
        <v>0</v>
      </c>
      <c r="H179" s="36">
        <f>SUMIF(PURCHASE!$X$6:$X$446,$A$5:$A$200,PURCHASE!$M$6:$M$446)</f>
        <v>0</v>
      </c>
      <c r="I179" s="36">
        <f>SUMIF(PURCHASE!$X$6:$X$446,$A$5:$A$200,PURCHASE!$N$6:$N$446)</f>
        <v>0</v>
      </c>
      <c r="J179" s="36">
        <f>SUMIF(PURCHASE!$X$6:$X$446,$A$5:$A$200,PURCHASE!$O$6:$O$446)</f>
        <v>0</v>
      </c>
    </row>
    <row r="180" spans="1:10" x14ac:dyDescent="0.3">
      <c r="A180" s="214">
        <v>3926</v>
      </c>
      <c r="B180" s="214" t="s">
        <v>598</v>
      </c>
      <c r="C180" s="215" t="s">
        <v>246</v>
      </c>
      <c r="D180" s="36">
        <f>SUMIF(PURCHASE!$X$6:$X$446,$A$5:$A$200,PURCHASE!$AB$6:$AB$446)</f>
        <v>0</v>
      </c>
      <c r="E180" s="36">
        <f>SUMIF(PURCHASE!$X$6:$X$446,$A$5:$A$200,PURCHASE!$E$6:$E$446)</f>
        <v>0</v>
      </c>
      <c r="F180" s="36">
        <f>SUMIF(PURCHASE!$X$6:$X$446,$A$5:$A$200,PURCHASE!$K$6:$K$446)</f>
        <v>0</v>
      </c>
      <c r="G180" s="36">
        <f>SUMIF(PURCHASE!$X$6:$X$446,$A$5:$A$200,PURCHASE!$L$6:$L$446)</f>
        <v>0</v>
      </c>
      <c r="H180" s="36">
        <f>SUMIF(PURCHASE!$X$6:$X$446,$A$5:$A$200,PURCHASE!$M$6:$M$446)</f>
        <v>0</v>
      </c>
      <c r="I180" s="36">
        <f>SUMIF(PURCHASE!$X$6:$X$446,$A$5:$A$200,PURCHASE!$N$6:$N$446)</f>
        <v>0</v>
      </c>
      <c r="J180" s="36">
        <f>SUMIF(PURCHASE!$X$6:$X$446,$A$5:$A$200,PURCHASE!$O$6:$O$446)</f>
        <v>0</v>
      </c>
    </row>
    <row r="181" spans="1:10" x14ac:dyDescent="0.3">
      <c r="A181" s="214">
        <v>8487</v>
      </c>
      <c r="B181" s="214" t="s">
        <v>599</v>
      </c>
      <c r="C181" s="215" t="s">
        <v>246</v>
      </c>
      <c r="D181" s="36">
        <f>SUMIF(PURCHASE!$X$6:$X$446,$A$5:$A$200,PURCHASE!$AB$6:$AB$446)</f>
        <v>0</v>
      </c>
      <c r="E181" s="36">
        <f>SUMIF(PURCHASE!$X$6:$X$446,$A$5:$A$200,PURCHASE!$E$6:$E$446)</f>
        <v>0</v>
      </c>
      <c r="F181" s="36">
        <f>SUMIF(PURCHASE!$X$6:$X$446,$A$5:$A$200,PURCHASE!$K$6:$K$446)</f>
        <v>0</v>
      </c>
      <c r="G181" s="36">
        <f>SUMIF(PURCHASE!$X$6:$X$446,$A$5:$A$200,PURCHASE!$L$6:$L$446)</f>
        <v>0</v>
      </c>
      <c r="H181" s="36">
        <f>SUMIF(PURCHASE!$X$6:$X$446,$A$5:$A$200,PURCHASE!$M$6:$M$446)</f>
        <v>0</v>
      </c>
      <c r="I181" s="36">
        <f>SUMIF(PURCHASE!$X$6:$X$446,$A$5:$A$200,PURCHASE!$N$6:$N$446)</f>
        <v>0</v>
      </c>
      <c r="J181" s="36">
        <f>SUMIF(PURCHASE!$X$6:$X$446,$A$5:$A$200,PURCHASE!$O$6:$O$446)</f>
        <v>0</v>
      </c>
    </row>
    <row r="182" spans="1:10" x14ac:dyDescent="0.3">
      <c r="A182" s="214">
        <v>76071994</v>
      </c>
      <c r="B182" s="214" t="s">
        <v>600</v>
      </c>
      <c r="C182" s="215" t="s">
        <v>246</v>
      </c>
      <c r="D182" s="36">
        <f>SUMIF(PURCHASE!$X$6:$X$446,$A$5:$A$200,PURCHASE!$AB$6:$AB$446)</f>
        <v>0</v>
      </c>
      <c r="E182" s="36">
        <f>SUMIF(PURCHASE!$X$6:$X$446,$A$5:$A$200,PURCHASE!$E$6:$E$446)</f>
        <v>0</v>
      </c>
      <c r="F182" s="36">
        <f>SUMIF(PURCHASE!$X$6:$X$446,$A$5:$A$200,PURCHASE!$K$6:$K$446)</f>
        <v>0</v>
      </c>
      <c r="G182" s="36">
        <f>SUMIF(PURCHASE!$X$6:$X$446,$A$5:$A$200,PURCHASE!$L$6:$L$446)</f>
        <v>0</v>
      </c>
      <c r="H182" s="36">
        <f>SUMIF(PURCHASE!$X$6:$X$446,$A$5:$A$200,PURCHASE!$M$6:$M$446)</f>
        <v>0</v>
      </c>
      <c r="I182" s="36">
        <f>SUMIF(PURCHASE!$X$6:$X$446,$A$5:$A$200,PURCHASE!$N$6:$N$446)</f>
        <v>0</v>
      </c>
      <c r="J182" s="36">
        <f>SUMIF(PURCHASE!$X$6:$X$446,$A$5:$A$200,PURCHASE!$O$6:$O$446)</f>
        <v>0</v>
      </c>
    </row>
    <row r="183" spans="1:10" x14ac:dyDescent="0.3">
      <c r="A183" s="214">
        <v>73182100</v>
      </c>
      <c r="B183" s="214" t="s">
        <v>601</v>
      </c>
      <c r="C183" s="215" t="s">
        <v>246</v>
      </c>
      <c r="D183" s="36">
        <f>SUMIF(PURCHASE!$X$6:$X$446,$A$5:$A$200,PURCHASE!$AB$6:$AB$446)</f>
        <v>0</v>
      </c>
      <c r="E183" s="36">
        <f>SUMIF(PURCHASE!$X$6:$X$446,$A$5:$A$200,PURCHASE!$E$6:$E$446)</f>
        <v>0</v>
      </c>
      <c r="F183" s="36">
        <f>SUMIF(PURCHASE!$X$6:$X$446,$A$5:$A$200,PURCHASE!$K$6:$K$446)</f>
        <v>0</v>
      </c>
      <c r="G183" s="36">
        <f>SUMIF(PURCHASE!$X$6:$X$446,$A$5:$A$200,PURCHASE!$L$6:$L$446)</f>
        <v>0</v>
      </c>
      <c r="H183" s="36">
        <f>SUMIF(PURCHASE!$X$6:$X$446,$A$5:$A$200,PURCHASE!$M$6:$M$446)</f>
        <v>0</v>
      </c>
      <c r="I183" s="36">
        <f>SUMIF(PURCHASE!$X$6:$X$446,$A$5:$A$200,PURCHASE!$N$6:$N$446)</f>
        <v>0</v>
      </c>
      <c r="J183" s="36">
        <f>SUMIF(PURCHASE!$X$6:$X$446,$A$5:$A$200,PURCHASE!$O$6:$O$446)</f>
        <v>0</v>
      </c>
    </row>
    <row r="184" spans="1:10" x14ac:dyDescent="0.3">
      <c r="A184" s="214" t="s">
        <v>602</v>
      </c>
      <c r="B184" s="214" t="s">
        <v>472</v>
      </c>
      <c r="C184" s="215" t="s">
        <v>246</v>
      </c>
      <c r="D184" s="36">
        <f>SUMIF(PURCHASE!$X$6:$X$446,$A$5:$A$200,PURCHASE!$AB$6:$AB$446)</f>
        <v>0</v>
      </c>
      <c r="E184" s="36">
        <f>SUMIF(PURCHASE!$X$6:$X$446,$A$5:$A$200,PURCHASE!$E$6:$E$446)</f>
        <v>0</v>
      </c>
      <c r="F184" s="36">
        <f>SUMIF(PURCHASE!$X$6:$X$446,$A$5:$A$200,PURCHASE!$K$6:$K$446)</f>
        <v>0</v>
      </c>
      <c r="G184" s="36">
        <f>SUMIF(PURCHASE!$X$6:$X$446,$A$5:$A$200,PURCHASE!$L$6:$L$446)</f>
        <v>0</v>
      </c>
      <c r="H184" s="36">
        <f>SUMIF(PURCHASE!$X$6:$X$446,$A$5:$A$200,PURCHASE!$M$6:$M$446)</f>
        <v>0</v>
      </c>
      <c r="I184" s="36">
        <f>SUMIF(PURCHASE!$X$6:$X$446,$A$5:$A$200,PURCHASE!$N$6:$N$446)</f>
        <v>0</v>
      </c>
      <c r="J184" s="36">
        <f>SUMIF(PURCHASE!$X$6:$X$446,$A$5:$A$200,PURCHASE!$O$6:$O$446)</f>
        <v>0</v>
      </c>
    </row>
    <row r="185" spans="1:10" x14ac:dyDescent="0.3">
      <c r="A185" s="214">
        <v>8301</v>
      </c>
      <c r="B185" s="214" t="s">
        <v>603</v>
      </c>
      <c r="C185" s="215" t="s">
        <v>246</v>
      </c>
      <c r="D185" s="36">
        <f>SUMIF(PURCHASE!$X$6:$X$446,$A$5:$A$200,PURCHASE!$AB$6:$AB$446)</f>
        <v>0</v>
      </c>
      <c r="E185" s="36">
        <f>SUMIF(PURCHASE!$X$6:$X$446,$A$5:$A$200,PURCHASE!$E$6:$E$446)</f>
        <v>0</v>
      </c>
      <c r="F185" s="36">
        <f>SUMIF(PURCHASE!$X$6:$X$446,$A$5:$A$200,PURCHASE!$K$6:$K$446)</f>
        <v>0</v>
      </c>
      <c r="G185" s="36">
        <f>SUMIF(PURCHASE!$X$6:$X$446,$A$5:$A$200,PURCHASE!$L$6:$L$446)</f>
        <v>0</v>
      </c>
      <c r="H185" s="36">
        <f>SUMIF(PURCHASE!$X$6:$X$446,$A$5:$A$200,PURCHASE!$M$6:$M$446)</f>
        <v>0</v>
      </c>
      <c r="I185" s="36">
        <f>SUMIF(PURCHASE!$X$6:$X$446,$A$5:$A$200,PURCHASE!$N$6:$N$446)</f>
        <v>0</v>
      </c>
      <c r="J185" s="36">
        <f>SUMIF(PURCHASE!$X$6:$X$446,$A$5:$A$200,PURCHASE!$O$6:$O$446)</f>
        <v>0</v>
      </c>
    </row>
    <row r="186" spans="1:10" x14ac:dyDescent="0.3">
      <c r="A186" s="214">
        <v>25232930</v>
      </c>
      <c r="B186" s="214" t="s">
        <v>604</v>
      </c>
      <c r="C186" s="215" t="s">
        <v>173</v>
      </c>
      <c r="D186" s="36">
        <f>SUMIF(PURCHASE!$X$6:$X$446,$A$5:$A$200,PURCHASE!$AB$6:$AB$446)</f>
        <v>0</v>
      </c>
      <c r="E186" s="36">
        <f>SUMIF(PURCHASE!$X$6:$X$446,$A$5:$A$200,PURCHASE!$E$6:$E$446)</f>
        <v>0</v>
      </c>
      <c r="F186" s="36">
        <f>SUMIF(PURCHASE!$X$6:$X$446,$A$5:$A$200,PURCHASE!$K$6:$K$446)</f>
        <v>0</v>
      </c>
      <c r="G186" s="36">
        <f>SUMIF(PURCHASE!$X$6:$X$446,$A$5:$A$200,PURCHASE!$L$6:$L$446)</f>
        <v>0</v>
      </c>
      <c r="H186" s="36">
        <f>SUMIF(PURCHASE!$X$6:$X$446,$A$5:$A$200,PURCHASE!$M$6:$M$446)</f>
        <v>0</v>
      </c>
      <c r="I186" s="36">
        <f>SUMIF(PURCHASE!$X$6:$X$446,$A$5:$A$200,PURCHASE!$N$6:$N$446)</f>
        <v>0</v>
      </c>
      <c r="J186" s="36">
        <f>SUMIF(PURCHASE!$X$6:$X$446,$A$5:$A$200,PURCHASE!$O$6:$O$446)</f>
        <v>0</v>
      </c>
    </row>
    <row r="187" spans="1:10" x14ac:dyDescent="0.3">
      <c r="A187" s="214">
        <v>320890</v>
      </c>
      <c r="B187" s="214" t="s">
        <v>86</v>
      </c>
      <c r="C187" s="215" t="s">
        <v>237</v>
      </c>
      <c r="D187" s="36">
        <f>SUMIF(PURCHASE!$X$6:$X$446,$A$5:$A$200,PURCHASE!$AB$6:$AB$446)</f>
        <v>0</v>
      </c>
      <c r="E187" s="36">
        <f>SUMIF(PURCHASE!$X$6:$X$446,$A$5:$A$200,PURCHASE!$E$6:$E$446)</f>
        <v>0</v>
      </c>
      <c r="F187" s="36">
        <f>SUMIF(PURCHASE!$X$6:$X$446,$A$5:$A$200,PURCHASE!$K$6:$K$446)</f>
        <v>0</v>
      </c>
      <c r="G187" s="36">
        <f>SUMIF(PURCHASE!$X$6:$X$446,$A$5:$A$200,PURCHASE!$L$6:$L$446)</f>
        <v>0</v>
      </c>
      <c r="H187" s="36">
        <f>SUMIF(PURCHASE!$X$6:$X$446,$A$5:$A$200,PURCHASE!$M$6:$M$446)</f>
        <v>0</v>
      </c>
      <c r="I187" s="36">
        <f>SUMIF(PURCHASE!$X$6:$X$446,$A$5:$A$200,PURCHASE!$N$6:$N$446)</f>
        <v>0</v>
      </c>
      <c r="J187" s="36">
        <f>SUMIF(PURCHASE!$X$6:$X$446,$A$5:$A$200,PURCHASE!$O$6:$O$446)</f>
        <v>0</v>
      </c>
    </row>
    <row r="188" spans="1:10" x14ac:dyDescent="0.3">
      <c r="A188" s="214">
        <v>998311</v>
      </c>
      <c r="B188" s="214" t="s">
        <v>605</v>
      </c>
      <c r="C188" s="215" t="s">
        <v>246</v>
      </c>
      <c r="D188" s="36">
        <f>SUMIF(PURCHASE!$X$6:$X$446,$A$5:$A$200,PURCHASE!$AB$6:$AB$446)</f>
        <v>0</v>
      </c>
      <c r="E188" s="36">
        <f>SUMIF(PURCHASE!$X$6:$X$446,$A$5:$A$200,PURCHASE!$E$6:$E$446)</f>
        <v>0</v>
      </c>
      <c r="F188" s="36">
        <f>SUMIF(PURCHASE!$X$6:$X$446,$A$5:$A$200,PURCHASE!$K$6:$K$446)</f>
        <v>0</v>
      </c>
      <c r="G188" s="36">
        <f>SUMIF(PURCHASE!$X$6:$X$446,$A$5:$A$200,PURCHASE!$L$6:$L$446)</f>
        <v>0</v>
      </c>
      <c r="H188" s="36">
        <f>SUMIF(PURCHASE!$X$6:$X$446,$A$5:$A$200,PURCHASE!$M$6:$M$446)</f>
        <v>0</v>
      </c>
      <c r="I188" s="36">
        <f>SUMIF(PURCHASE!$X$6:$X$446,$A$5:$A$200,PURCHASE!$N$6:$N$446)</f>
        <v>0</v>
      </c>
      <c r="J188" s="36">
        <f>SUMIF(PURCHASE!$X$6:$X$446,$A$5:$A$200,PURCHASE!$O$6:$O$446)</f>
        <v>0</v>
      </c>
    </row>
    <row r="189" spans="1:10" x14ac:dyDescent="0.3">
      <c r="A189" s="214" t="s">
        <v>606</v>
      </c>
      <c r="B189" s="214" t="s">
        <v>557</v>
      </c>
      <c r="C189" s="215" t="s">
        <v>246</v>
      </c>
      <c r="D189" s="36">
        <f>SUMIF(PURCHASE!$X$6:$X$446,$A$5:$A$200,PURCHASE!$AB$6:$AB$446)</f>
        <v>12</v>
      </c>
      <c r="E189" s="36">
        <f>SUMIF(PURCHASE!$X$6:$X$446,$A$5:$A$200,PURCHASE!$E$6:$E$446)</f>
        <v>2280.114</v>
      </c>
      <c r="F189" s="36">
        <f>SUMIF(PURCHASE!$X$6:$X$446,$A$5:$A$200,PURCHASE!$K$6:$K$446)</f>
        <v>1932.3</v>
      </c>
      <c r="G189" s="36">
        <f>SUMIF(PURCHASE!$X$6:$X$446,$A$5:$A$200,PURCHASE!$L$6:$L$446)</f>
        <v>0</v>
      </c>
      <c r="H189" s="36">
        <f>SUMIF(PURCHASE!$X$6:$X$446,$A$5:$A$200,PURCHASE!$M$6:$M$446)</f>
        <v>173.90699999999998</v>
      </c>
      <c r="I189" s="36">
        <f>SUMIF(PURCHASE!$X$6:$X$446,$A$5:$A$200,PURCHASE!$N$6:$N$446)</f>
        <v>173.90699999999998</v>
      </c>
      <c r="J189" s="36">
        <f>SUMIF(PURCHASE!$X$6:$X$446,$A$5:$A$200,PURCHASE!$O$6:$O$446)</f>
        <v>0</v>
      </c>
    </row>
    <row r="190" spans="1:10" x14ac:dyDescent="0.3">
      <c r="A190" s="216" t="s">
        <v>607</v>
      </c>
      <c r="B190" s="216" t="s">
        <v>608</v>
      </c>
      <c r="C190" s="215" t="s">
        <v>246</v>
      </c>
      <c r="D190" s="36">
        <f>SUMIF(PURCHASE!$X$6:$X$446,$A$5:$A$200,PURCHASE!$AB$6:$AB$446)</f>
        <v>0</v>
      </c>
      <c r="E190" s="36">
        <f>SUMIF(PURCHASE!$X$6:$X$446,$A$5:$A$200,PURCHASE!$E$6:$E$446)</f>
        <v>0</v>
      </c>
      <c r="F190" s="36">
        <f>SUMIF(PURCHASE!$X$6:$X$446,$A$5:$A$200,PURCHASE!$K$6:$K$446)</f>
        <v>0</v>
      </c>
      <c r="G190" s="36">
        <f>SUMIF(PURCHASE!$X$6:$X$446,$A$5:$A$200,PURCHASE!$L$6:$L$446)</f>
        <v>0</v>
      </c>
      <c r="H190" s="36">
        <f>SUMIF(PURCHASE!$X$6:$X$446,$A$5:$A$200,PURCHASE!$M$6:$M$446)</f>
        <v>0</v>
      </c>
      <c r="I190" s="36">
        <f>SUMIF(PURCHASE!$X$6:$X$446,$A$5:$A$200,PURCHASE!$N$6:$N$446)</f>
        <v>0</v>
      </c>
      <c r="J190" s="36">
        <f>SUMIF(PURCHASE!$X$6:$X$446,$A$5:$A$200,PURCHASE!$O$6:$O$446)</f>
        <v>0</v>
      </c>
    </row>
    <row r="191" spans="1:10" x14ac:dyDescent="0.3">
      <c r="A191" s="216" t="s">
        <v>609</v>
      </c>
      <c r="B191" s="216" t="s">
        <v>610</v>
      </c>
      <c r="C191" s="215" t="s">
        <v>246</v>
      </c>
      <c r="D191" s="36">
        <f>SUMIF(PURCHASE!$X$6:$X$446,$A$5:$A$200,PURCHASE!$AB$6:$AB$446)</f>
        <v>1</v>
      </c>
      <c r="E191" s="36">
        <f>SUMIF(PURCHASE!$X$6:$X$446,$A$5:$A$200,PURCHASE!$E$6:$E$446)</f>
        <v>5886.6188000000002</v>
      </c>
      <c r="F191" s="36">
        <f>SUMIF(PURCHASE!$X$6:$X$446,$A$5:$A$200,PURCHASE!$K$6:$K$446)</f>
        <v>4988.66</v>
      </c>
      <c r="G191" s="36">
        <f>SUMIF(PURCHASE!$X$6:$X$446,$A$5:$A$200,PURCHASE!$L$6:$L$446)</f>
        <v>0</v>
      </c>
      <c r="H191" s="36">
        <f>SUMIF(PURCHASE!$X$6:$X$446,$A$5:$A$200,PURCHASE!$M$6:$M$446)</f>
        <v>448.9794</v>
      </c>
      <c r="I191" s="36">
        <f>SUMIF(PURCHASE!$X$6:$X$446,$A$5:$A$200,PURCHASE!$N$6:$N$446)</f>
        <v>448.9794</v>
      </c>
      <c r="J191" s="36">
        <f>SUMIF(PURCHASE!$X$6:$X$446,$A$5:$A$200,PURCHASE!$O$6:$O$446)</f>
        <v>0</v>
      </c>
    </row>
    <row r="192" spans="1:10" x14ac:dyDescent="0.3">
      <c r="A192" s="214">
        <v>996511</v>
      </c>
      <c r="B192" s="214" t="s">
        <v>611</v>
      </c>
      <c r="C192" s="215" t="s">
        <v>246</v>
      </c>
      <c r="D192" s="36">
        <f>SUMIF(PURCHASE!$X$6:$X$446,$A$5:$A$200,PURCHASE!$AB$6:$AB$446)</f>
        <v>1</v>
      </c>
      <c r="E192" s="36">
        <f>SUMIF(PURCHASE!$X$6:$X$446,$A$5:$A$200,PURCHASE!$E$6:$E$446)</f>
        <v>3024</v>
      </c>
      <c r="F192" s="36">
        <f>SUMIF(PURCHASE!$X$6:$X$446,$A$5:$A$200,PURCHASE!$K$6:$K$446)</f>
        <v>2700</v>
      </c>
      <c r="G192" s="36">
        <f>SUMIF(PURCHASE!$X$6:$X$446,$A$5:$A$200,PURCHASE!$L$6:$L$446)</f>
        <v>0</v>
      </c>
      <c r="H192" s="36">
        <f>SUMIF(PURCHASE!$X$6:$X$446,$A$5:$A$200,PURCHASE!$M$6:$M$446)</f>
        <v>162</v>
      </c>
      <c r="I192" s="36">
        <f>SUMIF(PURCHASE!$X$6:$X$446,$A$5:$A$200,PURCHASE!$N$6:$N$446)</f>
        <v>162</v>
      </c>
      <c r="J192" s="36">
        <f>SUMIF(PURCHASE!$X$6:$X$446,$A$5:$A$200,PURCHASE!$O$6:$O$446)</f>
        <v>0</v>
      </c>
    </row>
    <row r="193" spans="1:10" x14ac:dyDescent="0.3">
      <c r="A193" s="219" t="s">
        <v>612</v>
      </c>
      <c r="B193" s="219" t="s">
        <v>613</v>
      </c>
      <c r="C193" s="220" t="s">
        <v>246</v>
      </c>
      <c r="D193" s="221">
        <f>SUMIF(PURCHASE!$X$6:$X$446,$A$5:$A$200,PURCHASE!$AB$6:$AB$446)</f>
        <v>660</v>
      </c>
      <c r="E193" s="221">
        <f>SUMIF(PURCHASE!$X$6:$X$446,$A$5:$A$200,PURCHASE!$E$6:$E$446)</f>
        <v>33719.856999999996</v>
      </c>
      <c r="F193" s="221">
        <f>SUMIF(PURCHASE!$X$6:$X$446,$A$5:$A$200,PURCHASE!$K$6:$K$446)</f>
        <v>28576.15</v>
      </c>
      <c r="G193" s="221">
        <f>SUMIF(PURCHASE!$X$6:$X$446,$A$5:$A$200,PURCHASE!$L$6:$L$446)</f>
        <v>0</v>
      </c>
      <c r="H193" s="221">
        <f>SUMIF(PURCHASE!$X$6:$X$446,$A$5:$A$200,PURCHASE!$M$6:$M$446)</f>
        <v>2571.8535000000002</v>
      </c>
      <c r="I193" s="221">
        <f>SUMIF(PURCHASE!$X$6:$X$446,$A$5:$A$200,PURCHASE!$N$6:$N$446)</f>
        <v>2571.8535000000002</v>
      </c>
      <c r="J193" s="221">
        <f>SUMIF(PURCHASE!$X$6:$X$446,$A$5:$A$200,PURCHASE!$O$6:$O$446)</f>
        <v>0</v>
      </c>
    </row>
  </sheetData>
  <conditionalFormatting sqref="A193">
    <cfRule type="duplicateValues" dxfId="4" priority="4"/>
  </conditionalFormatting>
  <conditionalFormatting sqref="A190">
    <cfRule type="duplicateValues" dxfId="3" priority="3"/>
  </conditionalFormatting>
  <conditionalFormatting sqref="A191">
    <cfRule type="duplicateValues" dxfId="2" priority="2"/>
  </conditionalFormatting>
  <conditionalFormatting sqref="A5:A193">
    <cfRule type="duplicateValues" dxfId="1" priority="1"/>
  </conditionalFormatting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T24"/>
  <sheetViews>
    <sheetView topLeftCell="B9" workbookViewId="0">
      <selection activeCell="P20" sqref="P20"/>
    </sheetView>
  </sheetViews>
  <sheetFormatPr defaultRowHeight="14.4" x14ac:dyDescent="0.3"/>
  <cols>
    <col min="1" max="1" width="18.33203125" customWidth="1"/>
    <col min="2" max="2" width="17.44140625" customWidth="1"/>
    <col min="3" max="3" width="12.6640625" customWidth="1"/>
    <col min="4" max="4" width="16.33203125" customWidth="1"/>
    <col min="5" max="5" width="13" customWidth="1"/>
    <col min="6" max="6" width="11.33203125" customWidth="1"/>
    <col min="7" max="8" width="9.109375" bestFit="1" customWidth="1"/>
    <col min="17" max="20" width="8.88671875" style="128"/>
  </cols>
  <sheetData>
    <row r="4" spans="1:20" ht="49.2" customHeight="1" x14ac:dyDescent="0.3">
      <c r="A4" s="57" t="s">
        <v>75</v>
      </c>
      <c r="B4" s="212" t="s">
        <v>148</v>
      </c>
      <c r="C4" s="58" t="s">
        <v>115</v>
      </c>
      <c r="D4" s="59" t="s">
        <v>149</v>
      </c>
      <c r="E4" s="60" t="s">
        <v>150</v>
      </c>
    </row>
    <row r="5" spans="1:20" x14ac:dyDescent="0.3">
      <c r="A5" s="115" t="s">
        <v>624</v>
      </c>
      <c r="B5">
        <f>+E11+G11</f>
        <v>0</v>
      </c>
      <c r="C5">
        <f>+I11+K11</f>
        <v>0</v>
      </c>
      <c r="D5">
        <f>+M11+O11</f>
        <v>0</v>
      </c>
      <c r="E5">
        <f>+Q11+S11</f>
        <v>0</v>
      </c>
    </row>
    <row r="6" spans="1:20" x14ac:dyDescent="0.3">
      <c r="A6" s="115" t="s">
        <v>625</v>
      </c>
      <c r="B6">
        <f>+F11+H11</f>
        <v>0</v>
      </c>
      <c r="C6">
        <f>+J11+L11</f>
        <v>0</v>
      </c>
      <c r="D6">
        <f>+N11+P11</f>
        <v>725502.9</v>
      </c>
      <c r="E6">
        <f>+R11+T11</f>
        <v>0</v>
      </c>
    </row>
    <row r="11" spans="1:20" x14ac:dyDescent="0.3">
      <c r="A11" s="211"/>
      <c r="B11" s="211"/>
      <c r="C11" s="211"/>
      <c r="D11" s="211" t="s">
        <v>622</v>
      </c>
      <c r="E11" s="211">
        <f>SUM(E15:E228)</f>
        <v>0</v>
      </c>
      <c r="F11" s="211">
        <f t="shared" ref="F11:T11" si="0">SUM(F15:F228)</f>
        <v>0</v>
      </c>
      <c r="G11" s="211">
        <f t="shared" si="0"/>
        <v>0</v>
      </c>
      <c r="H11" s="211">
        <f t="shared" si="0"/>
        <v>0</v>
      </c>
      <c r="I11" s="211">
        <f t="shared" si="0"/>
        <v>0</v>
      </c>
      <c r="J11" s="211">
        <f t="shared" si="0"/>
        <v>0</v>
      </c>
      <c r="K11" s="211">
        <f t="shared" si="0"/>
        <v>0</v>
      </c>
      <c r="L11" s="211">
        <f t="shared" si="0"/>
        <v>0</v>
      </c>
      <c r="M11" s="211">
        <f t="shared" si="0"/>
        <v>0</v>
      </c>
      <c r="N11" s="211">
        <f t="shared" si="0"/>
        <v>0</v>
      </c>
      <c r="O11" s="211">
        <f t="shared" si="0"/>
        <v>0</v>
      </c>
      <c r="P11" s="211">
        <f t="shared" si="0"/>
        <v>725502.9</v>
      </c>
      <c r="Q11" s="211">
        <f t="shared" si="0"/>
        <v>0</v>
      </c>
      <c r="R11" s="211">
        <f t="shared" si="0"/>
        <v>0</v>
      </c>
      <c r="S11" s="211">
        <f t="shared" si="0"/>
        <v>0</v>
      </c>
      <c r="T11" s="211">
        <f t="shared" si="0"/>
        <v>0</v>
      </c>
    </row>
    <row r="12" spans="1:20" x14ac:dyDescent="0.3">
      <c r="A12" s="129"/>
      <c r="B12" s="130"/>
      <c r="C12" s="130"/>
      <c r="D12" s="131"/>
      <c r="E12" s="538" t="s">
        <v>148</v>
      </c>
      <c r="F12" s="539"/>
      <c r="G12" s="539"/>
      <c r="H12" s="540"/>
      <c r="I12" s="538" t="s">
        <v>115</v>
      </c>
      <c r="J12" s="539"/>
      <c r="K12" s="539"/>
      <c r="L12" s="540"/>
      <c r="M12" s="538" t="s">
        <v>149</v>
      </c>
      <c r="N12" s="539"/>
      <c r="O12" s="539"/>
      <c r="P12" s="540"/>
      <c r="Q12" s="538" t="s">
        <v>150</v>
      </c>
      <c r="R12" s="539"/>
      <c r="S12" s="539"/>
      <c r="T12" s="540"/>
    </row>
    <row r="13" spans="1:20" x14ac:dyDescent="0.3">
      <c r="A13" s="7" t="s">
        <v>4</v>
      </c>
      <c r="B13" s="7" t="s">
        <v>6</v>
      </c>
      <c r="C13" s="7" t="s">
        <v>8</v>
      </c>
      <c r="D13" s="7" t="s">
        <v>8</v>
      </c>
      <c r="E13" s="541" t="s">
        <v>799</v>
      </c>
      <c r="F13" s="541"/>
      <c r="G13" s="541" t="s">
        <v>798</v>
      </c>
      <c r="H13" s="541"/>
      <c r="I13" s="541" t="s">
        <v>799</v>
      </c>
      <c r="J13" s="541"/>
      <c r="K13" s="541" t="s">
        <v>798</v>
      </c>
      <c r="L13" s="541"/>
      <c r="M13" s="541" t="s">
        <v>799</v>
      </c>
      <c r="N13" s="541"/>
      <c r="O13" s="541" t="s">
        <v>798</v>
      </c>
      <c r="P13" s="541"/>
      <c r="Q13" s="541" t="s">
        <v>799</v>
      </c>
      <c r="R13" s="541"/>
      <c r="S13" s="541" t="s">
        <v>798</v>
      </c>
      <c r="T13" s="541"/>
    </row>
    <row r="14" spans="1:20" x14ac:dyDescent="0.3">
      <c r="A14" s="4" t="s">
        <v>3</v>
      </c>
      <c r="B14" s="4" t="s">
        <v>5</v>
      </c>
      <c r="C14" s="4" t="s">
        <v>7</v>
      </c>
      <c r="D14" s="4" t="s">
        <v>9</v>
      </c>
      <c r="E14" s="7" t="s">
        <v>796</v>
      </c>
      <c r="F14" s="7" t="s">
        <v>797</v>
      </c>
      <c r="G14" s="7" t="s">
        <v>796</v>
      </c>
      <c r="H14" s="7" t="s">
        <v>797</v>
      </c>
      <c r="I14" s="7" t="s">
        <v>796</v>
      </c>
      <c r="J14" s="7" t="s">
        <v>797</v>
      </c>
      <c r="K14" s="7" t="s">
        <v>796</v>
      </c>
      <c r="L14" s="7" t="s">
        <v>797</v>
      </c>
      <c r="M14" s="7" t="s">
        <v>796</v>
      </c>
      <c r="N14" s="7" t="s">
        <v>797</v>
      </c>
      <c r="O14" s="7" t="s">
        <v>796</v>
      </c>
      <c r="P14" s="7" t="s">
        <v>797</v>
      </c>
      <c r="Q14" s="7" t="s">
        <v>796</v>
      </c>
      <c r="R14" s="7" t="s">
        <v>797</v>
      </c>
      <c r="S14" s="7" t="s">
        <v>796</v>
      </c>
      <c r="T14" s="7" t="s">
        <v>797</v>
      </c>
    </row>
    <row r="15" spans="1:20" x14ac:dyDescent="0.3">
      <c r="A15" s="132"/>
      <c r="B15" s="126" t="s">
        <v>455</v>
      </c>
      <c r="C15" s="126"/>
      <c r="D15" s="126"/>
      <c r="E15" s="126">
        <v>0</v>
      </c>
      <c r="F15" s="126">
        <v>0</v>
      </c>
      <c r="G15" s="126">
        <v>0</v>
      </c>
      <c r="H15" s="126">
        <v>0</v>
      </c>
      <c r="I15" s="126">
        <v>0</v>
      </c>
      <c r="J15" s="126">
        <v>0</v>
      </c>
      <c r="K15" s="126">
        <v>0</v>
      </c>
      <c r="L15" s="126">
        <v>0</v>
      </c>
      <c r="M15" s="126">
        <v>0</v>
      </c>
      <c r="N15" s="126">
        <v>0</v>
      </c>
      <c r="O15" s="126">
        <v>0</v>
      </c>
      <c r="P15" s="126">
        <v>200399</v>
      </c>
      <c r="Q15" s="126">
        <v>0</v>
      </c>
      <c r="R15" s="126">
        <v>0</v>
      </c>
      <c r="S15" s="126">
        <v>0</v>
      </c>
      <c r="T15" s="126">
        <v>0</v>
      </c>
    </row>
    <row r="16" spans="1:20" x14ac:dyDescent="0.3">
      <c r="A16" s="132"/>
      <c r="B16" s="441" t="s">
        <v>1459</v>
      </c>
      <c r="C16" s="442" t="s">
        <v>1462</v>
      </c>
      <c r="D16" s="443">
        <v>43143</v>
      </c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444">
        <v>816</v>
      </c>
      <c r="Q16" s="132"/>
      <c r="R16" s="132"/>
      <c r="S16" s="132"/>
      <c r="T16" s="132"/>
    </row>
    <row r="17" spans="1:20" x14ac:dyDescent="0.3">
      <c r="A17" s="132"/>
      <c r="B17" s="441" t="s">
        <v>1460</v>
      </c>
      <c r="C17" s="442" t="s">
        <v>1463</v>
      </c>
      <c r="D17" s="443">
        <v>43145</v>
      </c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444">
        <v>47081.9</v>
      </c>
      <c r="Q17" s="132"/>
      <c r="R17" s="132"/>
      <c r="S17" s="132"/>
      <c r="T17" s="132"/>
    </row>
    <row r="18" spans="1:20" x14ac:dyDescent="0.3">
      <c r="A18" s="132"/>
      <c r="B18" s="441" t="s">
        <v>1461</v>
      </c>
      <c r="C18" s="442" t="s">
        <v>1464</v>
      </c>
      <c r="D18" s="443">
        <v>43145</v>
      </c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444">
        <v>173430</v>
      </c>
      <c r="Q18" s="132"/>
      <c r="R18" s="132"/>
      <c r="S18" s="132"/>
      <c r="T18" s="132"/>
    </row>
    <row r="19" spans="1:20" x14ac:dyDescent="0.3">
      <c r="A19" s="132"/>
      <c r="B19" s="441" t="s">
        <v>1461</v>
      </c>
      <c r="C19" s="442" t="s">
        <v>1471</v>
      </c>
      <c r="D19" s="443">
        <v>43145</v>
      </c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444">
        <v>4080</v>
      </c>
      <c r="Q19" s="132"/>
      <c r="R19" s="132"/>
      <c r="S19" s="132"/>
      <c r="T19" s="132"/>
    </row>
    <row r="20" spans="1:20" x14ac:dyDescent="0.3">
      <c r="B20" s="445" t="s">
        <v>1465</v>
      </c>
      <c r="C20">
        <v>21</v>
      </c>
      <c r="D20" s="443">
        <v>43153</v>
      </c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444">
        <v>221000</v>
      </c>
      <c r="Q20" s="132"/>
      <c r="R20" s="132"/>
      <c r="S20" s="132"/>
      <c r="T20" s="132"/>
    </row>
    <row r="21" spans="1:20" x14ac:dyDescent="0.3">
      <c r="B21" s="445" t="s">
        <v>1466</v>
      </c>
      <c r="C21" s="128">
        <v>37</v>
      </c>
      <c r="D21" s="443">
        <v>43159</v>
      </c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444">
        <v>31586</v>
      </c>
      <c r="Q21" s="132"/>
      <c r="R21" s="132"/>
      <c r="S21" s="132"/>
      <c r="T21" s="132"/>
    </row>
    <row r="22" spans="1:20" x14ac:dyDescent="0.3">
      <c r="B22" s="445" t="s">
        <v>1467</v>
      </c>
      <c r="C22" s="128">
        <v>379</v>
      </c>
      <c r="D22" s="443">
        <v>43146</v>
      </c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444">
        <v>1460</v>
      </c>
      <c r="Q22" s="132"/>
      <c r="R22" s="132"/>
      <c r="S22" s="132"/>
      <c r="T22" s="132"/>
    </row>
    <row r="23" spans="1:20" x14ac:dyDescent="0.3">
      <c r="B23" s="128" t="s">
        <v>1468</v>
      </c>
      <c r="C23" s="128" t="s">
        <v>1469</v>
      </c>
      <c r="D23" s="443">
        <v>43133</v>
      </c>
      <c r="E23" s="132"/>
      <c r="F23" s="132"/>
      <c r="G23" s="132"/>
      <c r="H23" s="132"/>
      <c r="I23" s="132"/>
      <c r="J23" s="132"/>
      <c r="K23" s="132"/>
      <c r="L23" s="132"/>
      <c r="M23" s="132"/>
      <c r="N23" s="132"/>
      <c r="O23" s="132"/>
      <c r="P23" s="444">
        <v>9650</v>
      </c>
      <c r="Q23" s="132"/>
      <c r="R23" s="132"/>
      <c r="S23" s="132"/>
      <c r="T23" s="132"/>
    </row>
    <row r="24" spans="1:20" x14ac:dyDescent="0.3">
      <c r="B24" s="446" t="s">
        <v>1470</v>
      </c>
      <c r="C24" s="128">
        <v>3</v>
      </c>
      <c r="D24" s="443">
        <v>43133</v>
      </c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444">
        <v>36000</v>
      </c>
      <c r="Q24" s="132"/>
      <c r="R24" s="132"/>
      <c r="S24" s="132"/>
      <c r="T24" s="132"/>
    </row>
  </sheetData>
  <mergeCells count="12">
    <mergeCell ref="Q12:T12"/>
    <mergeCell ref="Q13:R13"/>
    <mergeCell ref="S13:T13"/>
    <mergeCell ref="E12:H12"/>
    <mergeCell ref="I12:L12"/>
    <mergeCell ref="M12:P12"/>
    <mergeCell ref="E13:F13"/>
    <mergeCell ref="G13:H13"/>
    <mergeCell ref="I13:J13"/>
    <mergeCell ref="K13:L13"/>
    <mergeCell ref="M13:N13"/>
    <mergeCell ref="O13:P13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'PUR-PARTY MASTER'!$B$6:$B$77</xm:f>
          </x14:formula1>
          <xm:sqref>A15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34"/>
  <sheetViews>
    <sheetView workbookViewId="0">
      <selection sqref="A1:XFD1048576"/>
    </sheetView>
  </sheetViews>
  <sheetFormatPr defaultColWidth="8.88671875" defaultRowHeight="13.8" x14ac:dyDescent="0.25"/>
  <cols>
    <col min="1" max="1" width="31.44140625" style="5" bestFit="1" customWidth="1"/>
    <col min="2" max="2" width="20" style="5" customWidth="1"/>
    <col min="3" max="3" width="8.109375" style="5" bestFit="1" customWidth="1"/>
    <col min="4" max="4" width="6.88671875" style="5" bestFit="1" customWidth="1"/>
    <col min="5" max="5" width="7.6640625" style="5" bestFit="1" customWidth="1"/>
    <col min="6" max="6" width="5.6640625" style="5" bestFit="1" customWidth="1"/>
    <col min="7" max="7" width="7.6640625" style="5" customWidth="1"/>
    <col min="8" max="8" width="8.88671875" style="5"/>
    <col min="9" max="9" width="5.5546875" style="5" bestFit="1" customWidth="1"/>
    <col min="10" max="10" width="6.33203125" style="5" bestFit="1" customWidth="1"/>
    <col min="11" max="11" width="6" style="5" bestFit="1" customWidth="1"/>
    <col min="12" max="12" width="5.6640625" style="5" bestFit="1" customWidth="1"/>
    <col min="13" max="13" width="10" style="5" customWidth="1"/>
    <col min="14" max="14" width="8.88671875" style="5"/>
    <col min="15" max="15" width="5.5546875" style="5" bestFit="1" customWidth="1"/>
    <col min="16" max="16" width="6.33203125" style="5" bestFit="1" customWidth="1"/>
    <col min="17" max="17" width="6" style="5" bestFit="1" customWidth="1"/>
    <col min="18" max="18" width="5.6640625" style="5" bestFit="1" customWidth="1"/>
    <col min="19" max="16384" width="8.88671875" style="5"/>
  </cols>
  <sheetData>
    <row r="4" spans="1:18" ht="42" customHeight="1" x14ac:dyDescent="0.25">
      <c r="A4" s="37" t="s">
        <v>152</v>
      </c>
      <c r="B4" s="213" t="s">
        <v>151</v>
      </c>
      <c r="C4" s="251" t="s">
        <v>88</v>
      </c>
      <c r="D4" s="251" t="s">
        <v>89</v>
      </c>
      <c r="E4" s="251" t="s">
        <v>90</v>
      </c>
      <c r="F4" s="251" t="s">
        <v>98</v>
      </c>
      <c r="G4" s="253"/>
      <c r="M4" s="7" t="s">
        <v>622</v>
      </c>
      <c r="N4" s="7">
        <f>+N13</f>
        <v>0</v>
      </c>
      <c r="O4" s="7">
        <f>+O13</f>
        <v>0</v>
      </c>
      <c r="P4" s="7">
        <f>+P13</f>
        <v>0</v>
      </c>
      <c r="Q4" s="7">
        <f>+Q13</f>
        <v>0</v>
      </c>
      <c r="R4" s="7">
        <f>+R13</f>
        <v>0</v>
      </c>
    </row>
    <row r="5" spans="1:18" x14ac:dyDescent="0.25">
      <c r="A5" s="43" t="s">
        <v>153</v>
      </c>
      <c r="B5" s="43" t="s">
        <v>154</v>
      </c>
    </row>
    <row r="6" spans="1:18" x14ac:dyDescent="0.25">
      <c r="A6" s="43" t="s">
        <v>155</v>
      </c>
      <c r="B6" s="43" t="s">
        <v>154</v>
      </c>
    </row>
    <row r="7" spans="1:18" x14ac:dyDescent="0.25">
      <c r="A7" s="43" t="s">
        <v>156</v>
      </c>
      <c r="B7" s="43" t="s">
        <v>154</v>
      </c>
    </row>
    <row r="8" spans="1:18" x14ac:dyDescent="0.25">
      <c r="A8" s="43" t="s">
        <v>157</v>
      </c>
      <c r="B8" s="43" t="s">
        <v>154</v>
      </c>
    </row>
    <row r="9" spans="1:18" x14ac:dyDescent="0.25">
      <c r="A9" s="43" t="s">
        <v>158</v>
      </c>
      <c r="B9" s="43" t="s">
        <v>159</v>
      </c>
    </row>
    <row r="10" spans="1:18" ht="25.95" customHeight="1" x14ac:dyDescent="0.25">
      <c r="A10" s="342" t="s">
        <v>160</v>
      </c>
      <c r="B10" s="43" t="s">
        <v>159</v>
      </c>
    </row>
    <row r="11" spans="1:18" x14ac:dyDescent="0.25">
      <c r="A11" s="43" t="s">
        <v>161</v>
      </c>
      <c r="B11" s="43"/>
    </row>
    <row r="12" spans="1:18" ht="14.4" thickBot="1" x14ac:dyDescent="0.3"/>
    <row r="13" spans="1:18" ht="14.4" thickBot="1" x14ac:dyDescent="0.3">
      <c r="A13" s="343"/>
      <c r="B13" s="344" t="s">
        <v>622</v>
      </c>
      <c r="C13" s="345"/>
      <c r="D13" s="345"/>
      <c r="E13" s="345">
        <f>SUM(E17:E208)</f>
        <v>0</v>
      </c>
      <c r="F13" s="345">
        <f t="shared" ref="F13:R13" si="0">SUM(F17:F208)</f>
        <v>10</v>
      </c>
      <c r="G13" s="345">
        <f t="shared" si="0"/>
        <v>0</v>
      </c>
      <c r="H13" s="345">
        <f t="shared" si="0"/>
        <v>0</v>
      </c>
      <c r="I13" s="345">
        <f t="shared" si="0"/>
        <v>0</v>
      </c>
      <c r="J13" s="345">
        <f t="shared" si="0"/>
        <v>0</v>
      </c>
      <c r="K13" s="345">
        <f t="shared" si="0"/>
        <v>0</v>
      </c>
      <c r="L13" s="345">
        <f t="shared" si="0"/>
        <v>0</v>
      </c>
      <c r="M13" s="345">
        <f t="shared" si="0"/>
        <v>5</v>
      </c>
      <c r="N13" s="345">
        <f t="shared" si="0"/>
        <v>0</v>
      </c>
      <c r="O13" s="345">
        <f t="shared" si="0"/>
        <v>0</v>
      </c>
      <c r="P13" s="345">
        <f t="shared" si="0"/>
        <v>0</v>
      </c>
      <c r="Q13" s="345">
        <f t="shared" si="0"/>
        <v>0</v>
      </c>
      <c r="R13" s="345">
        <f t="shared" si="0"/>
        <v>0</v>
      </c>
    </row>
    <row r="14" spans="1:18" ht="14.4" thickBot="1" x14ac:dyDescent="0.3">
      <c r="A14" s="346"/>
      <c r="B14" s="347"/>
      <c r="C14" s="347"/>
      <c r="D14" s="347"/>
      <c r="E14" s="347"/>
      <c r="F14" s="347"/>
      <c r="G14" s="542" t="s">
        <v>853</v>
      </c>
      <c r="H14" s="542"/>
      <c r="I14" s="542"/>
      <c r="J14" s="542"/>
      <c r="K14" s="542"/>
      <c r="L14" s="542"/>
      <c r="M14" s="347" t="s">
        <v>800</v>
      </c>
      <c r="N14" s="542" t="s">
        <v>801</v>
      </c>
      <c r="O14" s="542"/>
      <c r="P14" s="542"/>
      <c r="Q14" s="542"/>
      <c r="R14" s="542"/>
    </row>
    <row r="15" spans="1:18" x14ac:dyDescent="0.25">
      <c r="A15" s="7" t="s">
        <v>4</v>
      </c>
      <c r="B15" s="12" t="s">
        <v>6</v>
      </c>
      <c r="C15" s="12" t="s">
        <v>8</v>
      </c>
      <c r="D15" s="12" t="s">
        <v>8</v>
      </c>
      <c r="E15" s="12" t="s">
        <v>8</v>
      </c>
      <c r="F15" s="12" t="s">
        <v>0</v>
      </c>
      <c r="G15" s="12" t="s">
        <v>19</v>
      </c>
      <c r="H15" s="250" t="s">
        <v>93</v>
      </c>
      <c r="I15" s="251" t="s">
        <v>88</v>
      </c>
      <c r="J15" s="251" t="s">
        <v>89</v>
      </c>
      <c r="K15" s="251" t="s">
        <v>90</v>
      </c>
      <c r="L15" s="251" t="s">
        <v>98</v>
      </c>
      <c r="M15" s="251" t="s">
        <v>0</v>
      </c>
      <c r="N15" s="12" t="s">
        <v>19</v>
      </c>
      <c r="O15" s="251" t="s">
        <v>88</v>
      </c>
      <c r="P15" s="251" t="s">
        <v>89</v>
      </c>
      <c r="Q15" s="251" t="s">
        <v>90</v>
      </c>
      <c r="R15" s="251" t="s">
        <v>98</v>
      </c>
    </row>
    <row r="16" spans="1:18" x14ac:dyDescent="0.25">
      <c r="A16" s="4" t="s">
        <v>3</v>
      </c>
      <c r="B16" s="4" t="s">
        <v>5</v>
      </c>
      <c r="C16" s="4" t="s">
        <v>7</v>
      </c>
      <c r="D16" s="4" t="s">
        <v>9</v>
      </c>
      <c r="E16" s="4" t="s">
        <v>91</v>
      </c>
      <c r="F16" s="4"/>
      <c r="G16" s="4" t="s">
        <v>91</v>
      </c>
      <c r="H16" s="4" t="s">
        <v>91</v>
      </c>
      <c r="I16" s="7"/>
      <c r="J16" s="7"/>
      <c r="K16" s="7"/>
      <c r="L16" s="7"/>
      <c r="M16" s="7"/>
      <c r="N16" s="4" t="s">
        <v>91</v>
      </c>
      <c r="O16" s="7"/>
      <c r="P16" s="7"/>
      <c r="Q16" s="7"/>
      <c r="R16" s="7"/>
    </row>
    <row r="17" spans="1:18" x14ac:dyDescent="0.25">
      <c r="A17" s="8" t="s">
        <v>27</v>
      </c>
      <c r="B17" s="199" t="str">
        <f>VLOOKUP(A17,'PUR-PARTY MASTER'!$B$6:$J$77,2,FALSE)</f>
        <v>Rinder India Pvt Ltd.</v>
      </c>
      <c r="C17" s="8"/>
      <c r="D17" s="8"/>
      <c r="E17" s="329">
        <v>0</v>
      </c>
      <c r="F17" s="6">
        <v>10</v>
      </c>
      <c r="G17" s="6">
        <v>0</v>
      </c>
      <c r="H17" s="6">
        <f>+F17*G17</f>
        <v>0</v>
      </c>
      <c r="I17" s="6">
        <v>0</v>
      </c>
      <c r="J17" s="6">
        <f>+H17/100*F17</f>
        <v>0</v>
      </c>
      <c r="K17" s="6">
        <f>+H17/100*F17</f>
        <v>0</v>
      </c>
      <c r="L17" s="6">
        <v>0</v>
      </c>
      <c r="M17" s="6">
        <v>5</v>
      </c>
      <c r="N17" s="6">
        <f>+H17/100*M17</f>
        <v>0</v>
      </c>
      <c r="O17" s="6">
        <f>+I17/100*M17</f>
        <v>0</v>
      </c>
      <c r="P17" s="6">
        <f>+J17/100*M17</f>
        <v>0</v>
      </c>
      <c r="Q17" s="6">
        <f>+K17/100*M17</f>
        <v>0</v>
      </c>
      <c r="R17" s="6">
        <f>+L17/100*M17</f>
        <v>0</v>
      </c>
    </row>
    <row r="18" spans="1:18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  <row r="22" spans="1:18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spans="1:18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</row>
    <row r="24" spans="1:18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</row>
    <row r="25" spans="1:18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</row>
    <row r="26" spans="1:18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8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8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8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8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8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8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</sheetData>
  <mergeCells count="2">
    <mergeCell ref="G14:L14"/>
    <mergeCell ref="N14:R14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'PUR-PARTY MASTER'!$B$6:$B$77</xm:f>
          </x14:formula1>
          <xm:sqref>A17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28"/>
  <sheetViews>
    <sheetView topLeftCell="F1" workbookViewId="0">
      <selection activeCell="N9" sqref="N9"/>
    </sheetView>
  </sheetViews>
  <sheetFormatPr defaultColWidth="8.88671875" defaultRowHeight="13.8" x14ac:dyDescent="0.25"/>
  <cols>
    <col min="1" max="1" width="10.5546875" style="5" bestFit="1" customWidth="1"/>
    <col min="2" max="2" width="8.33203125" style="5" bestFit="1" customWidth="1"/>
    <col min="3" max="3" width="16.33203125" style="5" customWidth="1"/>
    <col min="4" max="4" width="7.33203125" style="5" bestFit="1" customWidth="1"/>
    <col min="5" max="9" width="8.88671875" style="5"/>
    <col min="10" max="10" width="46" style="5" customWidth="1"/>
    <col min="11" max="11" width="7.109375" style="5" customWidth="1"/>
    <col min="12" max="12" width="12.33203125" style="5" bestFit="1" customWidth="1"/>
    <col min="13" max="16384" width="8.88671875" style="5"/>
  </cols>
  <sheetData>
    <row r="4" spans="1:17" x14ac:dyDescent="0.25">
      <c r="A4" s="186"/>
      <c r="B4" s="186"/>
      <c r="C4" s="186"/>
      <c r="D4" s="186"/>
      <c r="E4" s="186"/>
      <c r="F4" s="186"/>
      <c r="G4" s="186"/>
      <c r="H4" s="186"/>
      <c r="I4" s="186"/>
      <c r="J4" s="186" t="s">
        <v>622</v>
      </c>
      <c r="K4" s="186"/>
      <c r="L4" s="186"/>
      <c r="M4" s="256">
        <f>SUM(M7:M310)</f>
        <v>0</v>
      </c>
      <c r="N4" s="256"/>
      <c r="O4" s="256">
        <f t="shared" ref="O4:Q4" si="0">SUM(O7:O310)</f>
        <v>0</v>
      </c>
      <c r="P4" s="256">
        <f t="shared" si="0"/>
        <v>0</v>
      </c>
      <c r="Q4" s="256">
        <f t="shared" si="0"/>
        <v>0</v>
      </c>
    </row>
    <row r="5" spans="1:17" x14ac:dyDescent="0.25">
      <c r="A5" s="20" t="s">
        <v>614</v>
      </c>
      <c r="B5" s="20" t="s">
        <v>852</v>
      </c>
      <c r="C5" s="20" t="s">
        <v>615</v>
      </c>
      <c r="D5" s="20" t="s">
        <v>851</v>
      </c>
      <c r="E5" s="20" t="s">
        <v>617</v>
      </c>
      <c r="F5" s="20" t="s">
        <v>8</v>
      </c>
      <c r="G5" s="20" t="s">
        <v>618</v>
      </c>
      <c r="H5" s="20" t="s">
        <v>13</v>
      </c>
      <c r="I5" s="20" t="s">
        <v>8</v>
      </c>
      <c r="J5" s="348" t="s">
        <v>795</v>
      </c>
      <c r="K5" s="6" t="s">
        <v>78</v>
      </c>
      <c r="L5" s="6" t="s">
        <v>910</v>
      </c>
      <c r="M5" s="349" t="s">
        <v>97</v>
      </c>
      <c r="N5" s="261" t="s">
        <v>88</v>
      </c>
      <c r="O5" s="261" t="s">
        <v>89</v>
      </c>
      <c r="P5" s="261" t="s">
        <v>90</v>
      </c>
      <c r="Q5" s="261" t="s">
        <v>98</v>
      </c>
    </row>
    <row r="6" spans="1:17" x14ac:dyDescent="0.25">
      <c r="A6" s="350"/>
      <c r="B6" s="350" t="s">
        <v>68</v>
      </c>
      <c r="C6" s="350"/>
      <c r="D6" s="350" t="s">
        <v>850</v>
      </c>
      <c r="E6" s="350"/>
      <c r="F6" s="350" t="s">
        <v>91</v>
      </c>
      <c r="G6" s="350" t="s">
        <v>11</v>
      </c>
      <c r="H6" s="350" t="s">
        <v>620</v>
      </c>
      <c r="I6" s="350" t="s">
        <v>68</v>
      </c>
      <c r="J6" s="12" t="s">
        <v>794</v>
      </c>
      <c r="K6" s="351" t="s">
        <v>0</v>
      </c>
      <c r="L6" s="351" t="s">
        <v>912</v>
      </c>
      <c r="M6" s="352" t="s">
        <v>91</v>
      </c>
      <c r="N6" s="350" t="s">
        <v>91</v>
      </c>
      <c r="O6" s="350" t="s">
        <v>91</v>
      </c>
      <c r="P6" s="350" t="s">
        <v>91</v>
      </c>
      <c r="Q6" s="350" t="s">
        <v>91</v>
      </c>
    </row>
    <row r="7" spans="1:17" x14ac:dyDescent="0.25">
      <c r="A7" s="199" t="str">
        <f>VLOOKUP(C7,'PUR-PARTY MASTER'!$B$6:$J$77,2,FALSE)</f>
        <v>Rinder India Pvt Ltd.</v>
      </c>
      <c r="B7" s="5" t="s">
        <v>847</v>
      </c>
      <c r="C7" s="8" t="s">
        <v>27</v>
      </c>
      <c r="D7" s="8">
        <v>1</v>
      </c>
      <c r="E7" s="8">
        <v>5</v>
      </c>
      <c r="F7" s="8">
        <v>100</v>
      </c>
      <c r="G7" s="8"/>
      <c r="H7" s="8" t="s">
        <v>848</v>
      </c>
      <c r="I7" s="8" t="s">
        <v>849</v>
      </c>
      <c r="J7" s="8" t="s">
        <v>744</v>
      </c>
      <c r="K7" s="329">
        <f>VLOOKUP(J7,'PUR-RMC MASTER'!$B$3:$F$86,2,FALSE)</f>
        <v>18</v>
      </c>
      <c r="L7" s="386" t="s">
        <v>901</v>
      </c>
      <c r="M7" s="8">
        <v>0</v>
      </c>
      <c r="N7" s="8">
        <v>0</v>
      </c>
      <c r="O7" s="329">
        <f>+M7/100*K7</f>
        <v>0</v>
      </c>
      <c r="P7" s="329">
        <f>+M7/100*K7</f>
        <v>0</v>
      </c>
      <c r="Q7" s="8">
        <v>0</v>
      </c>
    </row>
    <row r="8" spans="1:17" x14ac:dyDescent="0.25">
      <c r="A8" s="8"/>
      <c r="B8" s="8"/>
      <c r="C8" s="8"/>
      <c r="D8" s="8"/>
      <c r="E8" s="8"/>
      <c r="F8" s="8"/>
      <c r="G8" s="8"/>
      <c r="H8" s="8"/>
      <c r="I8" s="8"/>
      <c r="J8" s="8" t="s">
        <v>761</v>
      </c>
      <c r="K8" s="329">
        <f>VLOOKUP(J8,'PUR-RMC MASTER'!$B$3:$F$86,2,FALSE)</f>
        <v>18</v>
      </c>
      <c r="L8" s="386" t="s">
        <v>900</v>
      </c>
      <c r="M8" s="8">
        <v>0</v>
      </c>
      <c r="N8" s="8">
        <v>0</v>
      </c>
      <c r="O8" s="329">
        <f t="shared" ref="O8:O28" si="1">+M8/100*K8</f>
        <v>0</v>
      </c>
      <c r="P8" s="329">
        <f t="shared" ref="P8:P28" si="2">+M8/100*K8</f>
        <v>0</v>
      </c>
      <c r="Q8" s="8">
        <v>0</v>
      </c>
    </row>
    <row r="9" spans="1:17" x14ac:dyDescent="0.25">
      <c r="A9" s="8"/>
      <c r="B9" s="8"/>
      <c r="C9" s="8"/>
      <c r="D9" s="8"/>
      <c r="E9" s="8"/>
      <c r="F9" s="8"/>
      <c r="G9" s="8"/>
      <c r="H9" s="8"/>
      <c r="I9" s="8"/>
      <c r="J9" s="8" t="s">
        <v>761</v>
      </c>
      <c r="K9" s="329">
        <f>VLOOKUP(J9,'PUR-RMC MASTER'!$B$3:$F$86,2,FALSE)</f>
        <v>18</v>
      </c>
      <c r="L9" s="386" t="s">
        <v>898</v>
      </c>
      <c r="M9" s="8">
        <v>0</v>
      </c>
      <c r="N9" s="8">
        <v>0</v>
      </c>
      <c r="O9" s="329">
        <f t="shared" si="1"/>
        <v>0</v>
      </c>
      <c r="P9" s="329">
        <f t="shared" si="2"/>
        <v>0</v>
      </c>
      <c r="Q9" s="8">
        <v>0</v>
      </c>
    </row>
    <row r="10" spans="1:17" x14ac:dyDescent="0.25">
      <c r="A10" s="8"/>
      <c r="B10" s="8"/>
      <c r="C10" s="8"/>
      <c r="D10" s="8"/>
      <c r="E10" s="8"/>
      <c r="F10" s="8"/>
      <c r="G10" s="8"/>
      <c r="H10" s="8"/>
      <c r="I10" s="8"/>
      <c r="J10" s="8" t="s">
        <v>704</v>
      </c>
      <c r="K10" s="329">
        <f>VLOOKUP(J10,'PUR-RMC MASTER'!$B$3:$F$86,2,FALSE)</f>
        <v>0</v>
      </c>
      <c r="L10" s="386" t="s">
        <v>902</v>
      </c>
      <c r="M10" s="8"/>
      <c r="N10" s="8">
        <v>0</v>
      </c>
      <c r="O10" s="329">
        <f t="shared" si="1"/>
        <v>0</v>
      </c>
      <c r="P10" s="329">
        <f t="shared" si="2"/>
        <v>0</v>
      </c>
      <c r="Q10" s="8">
        <v>0</v>
      </c>
    </row>
    <row r="11" spans="1:17" x14ac:dyDescent="0.25">
      <c r="A11" s="8"/>
      <c r="B11" s="8"/>
      <c r="C11" s="8"/>
      <c r="D11" s="8"/>
      <c r="E11" s="8"/>
      <c r="F11" s="8"/>
      <c r="G11" s="8"/>
      <c r="H11" s="8"/>
      <c r="I11" s="8"/>
      <c r="J11" s="8" t="s">
        <v>704</v>
      </c>
      <c r="K11" s="329">
        <f>VLOOKUP(J11,'PUR-RMC MASTER'!$B$3:$F$86,2,FALSE)</f>
        <v>0</v>
      </c>
      <c r="L11" s="386" t="s">
        <v>894</v>
      </c>
      <c r="M11" s="8"/>
      <c r="N11" s="8">
        <v>0</v>
      </c>
      <c r="O11" s="329">
        <f t="shared" si="1"/>
        <v>0</v>
      </c>
      <c r="P11" s="329">
        <f t="shared" si="2"/>
        <v>0</v>
      </c>
      <c r="Q11" s="8">
        <v>0</v>
      </c>
    </row>
    <row r="12" spans="1:17" x14ac:dyDescent="0.25">
      <c r="A12" s="8"/>
      <c r="B12" s="8"/>
      <c r="C12" s="8"/>
      <c r="D12" s="8"/>
      <c r="E12" s="8"/>
      <c r="F12" s="8"/>
      <c r="G12" s="8"/>
      <c r="H12" s="8"/>
      <c r="I12" s="8"/>
      <c r="J12" s="8" t="s">
        <v>704</v>
      </c>
      <c r="K12" s="329">
        <f>VLOOKUP(J12,'PUR-RMC MASTER'!$B$3:$F$86,2,FALSE)</f>
        <v>0</v>
      </c>
      <c r="L12" s="386" t="s">
        <v>897</v>
      </c>
      <c r="M12" s="8"/>
      <c r="N12" s="8">
        <v>0</v>
      </c>
      <c r="O12" s="329">
        <f t="shared" si="1"/>
        <v>0</v>
      </c>
      <c r="P12" s="329">
        <f t="shared" si="2"/>
        <v>0</v>
      </c>
      <c r="Q12" s="8">
        <v>0</v>
      </c>
    </row>
    <row r="13" spans="1:17" x14ac:dyDescent="0.25">
      <c r="A13" s="8"/>
      <c r="B13" s="8"/>
      <c r="C13" s="8"/>
      <c r="D13" s="8"/>
      <c r="E13" s="8"/>
      <c r="F13" s="8"/>
      <c r="G13" s="8"/>
      <c r="H13" s="8"/>
      <c r="I13" s="8"/>
      <c r="J13" s="8" t="s">
        <v>704</v>
      </c>
      <c r="K13" s="329">
        <f>VLOOKUP(J13,'PUR-RMC MASTER'!$B$3:$F$86,2,FALSE)</f>
        <v>0</v>
      </c>
      <c r="L13" s="329"/>
      <c r="M13" s="8"/>
      <c r="N13" s="8">
        <v>0</v>
      </c>
      <c r="O13" s="329">
        <f t="shared" si="1"/>
        <v>0</v>
      </c>
      <c r="P13" s="329">
        <f t="shared" si="2"/>
        <v>0</v>
      </c>
      <c r="Q13" s="8">
        <v>0</v>
      </c>
    </row>
    <row r="14" spans="1:17" x14ac:dyDescent="0.25">
      <c r="A14" s="8"/>
      <c r="B14" s="8"/>
      <c r="C14" s="8"/>
      <c r="D14" s="8"/>
      <c r="E14" s="8"/>
      <c r="F14" s="8"/>
      <c r="G14" s="8"/>
      <c r="H14" s="8"/>
      <c r="I14" s="8"/>
      <c r="J14" s="8" t="s">
        <v>704</v>
      </c>
      <c r="K14" s="329">
        <f>VLOOKUP(J14,'PUR-RMC MASTER'!$B$3:$F$86,2,FALSE)</f>
        <v>0</v>
      </c>
      <c r="L14" s="329"/>
      <c r="M14" s="8"/>
      <c r="N14" s="8">
        <v>0</v>
      </c>
      <c r="O14" s="329">
        <f t="shared" si="1"/>
        <v>0</v>
      </c>
      <c r="P14" s="329">
        <f t="shared" si="2"/>
        <v>0</v>
      </c>
      <c r="Q14" s="8">
        <v>0</v>
      </c>
    </row>
    <row r="15" spans="1:17" x14ac:dyDescent="0.25">
      <c r="A15" s="8"/>
      <c r="B15" s="8"/>
      <c r="C15" s="8"/>
      <c r="D15" s="8"/>
      <c r="E15" s="8"/>
      <c r="F15" s="8"/>
      <c r="G15" s="8"/>
      <c r="H15" s="8"/>
      <c r="I15" s="8"/>
      <c r="J15" s="8" t="s">
        <v>704</v>
      </c>
      <c r="K15" s="329">
        <f>VLOOKUP(J15,'PUR-RMC MASTER'!$B$3:$F$86,2,FALSE)</f>
        <v>0</v>
      </c>
      <c r="L15" s="329"/>
      <c r="M15" s="8"/>
      <c r="N15" s="8">
        <v>0</v>
      </c>
      <c r="O15" s="329">
        <f t="shared" si="1"/>
        <v>0</v>
      </c>
      <c r="P15" s="329">
        <f t="shared" si="2"/>
        <v>0</v>
      </c>
      <c r="Q15" s="8">
        <v>0</v>
      </c>
    </row>
    <row r="16" spans="1:17" x14ac:dyDescent="0.25">
      <c r="A16" s="8"/>
      <c r="B16" s="8"/>
      <c r="C16" s="8"/>
      <c r="D16" s="8"/>
      <c r="E16" s="8"/>
      <c r="F16" s="8"/>
      <c r="G16" s="8"/>
      <c r="H16" s="8"/>
      <c r="I16" s="8"/>
      <c r="J16" s="8" t="s">
        <v>704</v>
      </c>
      <c r="K16" s="329">
        <f>VLOOKUP(J16,'PUR-RMC MASTER'!$B$3:$F$86,2,FALSE)</f>
        <v>0</v>
      </c>
      <c r="L16" s="329"/>
      <c r="M16" s="8"/>
      <c r="N16" s="8">
        <v>0</v>
      </c>
      <c r="O16" s="329">
        <f t="shared" si="1"/>
        <v>0</v>
      </c>
      <c r="P16" s="329">
        <f t="shared" si="2"/>
        <v>0</v>
      </c>
      <c r="Q16" s="8">
        <v>0</v>
      </c>
    </row>
    <row r="17" spans="1:17" x14ac:dyDescent="0.25">
      <c r="A17" s="8"/>
      <c r="B17" s="8"/>
      <c r="C17" s="8"/>
      <c r="D17" s="8"/>
      <c r="E17" s="8"/>
      <c r="F17" s="8"/>
      <c r="G17" s="8"/>
      <c r="H17" s="8"/>
      <c r="I17" s="8"/>
      <c r="J17" s="8" t="s">
        <v>704</v>
      </c>
      <c r="K17" s="329">
        <f>VLOOKUP(J17,'PUR-RMC MASTER'!$B$3:$F$86,2,FALSE)</f>
        <v>0</v>
      </c>
      <c r="L17" s="329"/>
      <c r="M17" s="8"/>
      <c r="N17" s="8">
        <v>0</v>
      </c>
      <c r="O17" s="329">
        <f t="shared" si="1"/>
        <v>0</v>
      </c>
      <c r="P17" s="329">
        <f t="shared" si="2"/>
        <v>0</v>
      </c>
      <c r="Q17" s="8">
        <v>0</v>
      </c>
    </row>
    <row r="18" spans="1:17" x14ac:dyDescent="0.25">
      <c r="A18" s="8"/>
      <c r="B18" s="8"/>
      <c r="C18" s="8"/>
      <c r="D18" s="8"/>
      <c r="E18" s="8"/>
      <c r="F18" s="8"/>
      <c r="G18" s="8"/>
      <c r="H18" s="8"/>
      <c r="I18" s="8"/>
      <c r="J18" s="8" t="s">
        <v>704</v>
      </c>
      <c r="K18" s="329">
        <f>VLOOKUP(J18,'PUR-RMC MASTER'!$B$3:$F$86,2,FALSE)</f>
        <v>0</v>
      </c>
      <c r="L18" s="329"/>
      <c r="M18" s="8"/>
      <c r="N18" s="8">
        <v>0</v>
      </c>
      <c r="O18" s="329">
        <f t="shared" si="1"/>
        <v>0</v>
      </c>
      <c r="P18" s="329">
        <f t="shared" si="2"/>
        <v>0</v>
      </c>
      <c r="Q18" s="8">
        <v>0</v>
      </c>
    </row>
    <row r="19" spans="1:17" x14ac:dyDescent="0.25">
      <c r="A19" s="8"/>
      <c r="B19" s="8"/>
      <c r="C19" s="8"/>
      <c r="D19" s="8"/>
      <c r="E19" s="8"/>
      <c r="F19" s="8"/>
      <c r="G19" s="8"/>
      <c r="H19" s="8"/>
      <c r="I19" s="8"/>
      <c r="J19" s="8" t="s">
        <v>704</v>
      </c>
      <c r="K19" s="329">
        <f>VLOOKUP(J19,'PUR-RMC MASTER'!$B$3:$F$86,2,FALSE)</f>
        <v>0</v>
      </c>
      <c r="L19" s="329"/>
      <c r="M19" s="8"/>
      <c r="N19" s="8">
        <v>0</v>
      </c>
      <c r="O19" s="329">
        <f t="shared" si="1"/>
        <v>0</v>
      </c>
      <c r="P19" s="329">
        <f t="shared" si="2"/>
        <v>0</v>
      </c>
      <c r="Q19" s="8">
        <v>0</v>
      </c>
    </row>
    <row r="20" spans="1:17" x14ac:dyDescent="0.25">
      <c r="A20" s="8"/>
      <c r="B20" s="8"/>
      <c r="C20" s="8"/>
      <c r="D20" s="8"/>
      <c r="E20" s="8"/>
      <c r="F20" s="8"/>
      <c r="G20" s="8"/>
      <c r="H20" s="8"/>
      <c r="I20" s="8"/>
      <c r="J20" s="8" t="s">
        <v>730</v>
      </c>
      <c r="K20" s="329">
        <f>VLOOKUP(J20,'PUR-RMC MASTER'!$B$3:$F$86,2,FALSE)</f>
        <v>5</v>
      </c>
      <c r="L20" s="329"/>
      <c r="M20" s="8">
        <v>0</v>
      </c>
      <c r="N20" s="8">
        <v>0</v>
      </c>
      <c r="O20" s="329">
        <f t="shared" si="1"/>
        <v>0</v>
      </c>
      <c r="P20" s="329">
        <f t="shared" si="2"/>
        <v>0</v>
      </c>
      <c r="Q20" s="8">
        <v>0</v>
      </c>
    </row>
    <row r="21" spans="1:17" x14ac:dyDescent="0.25">
      <c r="A21" s="8"/>
      <c r="B21" s="8"/>
      <c r="C21" s="8"/>
      <c r="D21" s="8"/>
      <c r="E21" s="8"/>
      <c r="F21" s="8"/>
      <c r="G21" s="8"/>
      <c r="H21" s="8"/>
      <c r="I21" s="8"/>
      <c r="J21" s="8" t="s">
        <v>704</v>
      </c>
      <c r="K21" s="329">
        <f>VLOOKUP(J21,'PUR-RMC MASTER'!$B$3:$F$86,2,FALSE)</f>
        <v>0</v>
      </c>
      <c r="L21" s="329"/>
      <c r="M21" s="8"/>
      <c r="N21" s="8">
        <v>0</v>
      </c>
      <c r="O21" s="329">
        <f t="shared" si="1"/>
        <v>0</v>
      </c>
      <c r="P21" s="329">
        <f t="shared" si="2"/>
        <v>0</v>
      </c>
      <c r="Q21" s="8">
        <v>0</v>
      </c>
    </row>
    <row r="22" spans="1:17" x14ac:dyDescent="0.25">
      <c r="A22" s="8"/>
      <c r="B22" s="8"/>
      <c r="C22" s="8"/>
      <c r="D22" s="8"/>
      <c r="E22" s="8"/>
      <c r="F22" s="8"/>
      <c r="G22" s="8"/>
      <c r="H22" s="8"/>
      <c r="I22" s="8"/>
      <c r="J22" s="8" t="s">
        <v>749</v>
      </c>
      <c r="K22" s="329">
        <f>VLOOKUP(J22,'PUR-RMC MASTER'!$B$3:$F$86,2,FALSE)</f>
        <v>18</v>
      </c>
      <c r="L22" s="329"/>
      <c r="M22" s="8">
        <v>0</v>
      </c>
      <c r="N22" s="8">
        <v>0</v>
      </c>
      <c r="O22" s="329">
        <f t="shared" si="1"/>
        <v>0</v>
      </c>
      <c r="P22" s="329">
        <f t="shared" si="2"/>
        <v>0</v>
      </c>
      <c r="Q22" s="8">
        <v>0</v>
      </c>
    </row>
    <row r="23" spans="1:17" x14ac:dyDescent="0.25">
      <c r="A23" s="8"/>
      <c r="B23" s="8"/>
      <c r="C23" s="8"/>
      <c r="D23" s="8"/>
      <c r="E23" s="8"/>
      <c r="F23" s="8"/>
      <c r="G23" s="8"/>
      <c r="H23" s="8"/>
      <c r="I23" s="8"/>
      <c r="J23" s="8" t="s">
        <v>704</v>
      </c>
      <c r="K23" s="329">
        <f>VLOOKUP(J23,'PUR-RMC MASTER'!$B$3:$F$86,2,FALSE)</f>
        <v>0</v>
      </c>
      <c r="L23" s="329"/>
      <c r="M23" s="8"/>
      <c r="N23" s="8">
        <v>0</v>
      </c>
      <c r="O23" s="329">
        <f t="shared" si="1"/>
        <v>0</v>
      </c>
      <c r="P23" s="329">
        <f t="shared" si="2"/>
        <v>0</v>
      </c>
      <c r="Q23" s="8">
        <v>0</v>
      </c>
    </row>
    <row r="24" spans="1:17" x14ac:dyDescent="0.25">
      <c r="A24" s="8"/>
      <c r="B24" s="8"/>
      <c r="C24" s="8"/>
      <c r="D24" s="8"/>
      <c r="E24" s="8"/>
      <c r="F24" s="8"/>
      <c r="G24" s="8"/>
      <c r="H24" s="8"/>
      <c r="I24" s="8"/>
      <c r="J24" s="8" t="s">
        <v>704</v>
      </c>
      <c r="K24" s="329">
        <f>VLOOKUP(J24,'PUR-RMC MASTER'!$B$3:$F$86,2,FALSE)</f>
        <v>0</v>
      </c>
      <c r="L24" s="329"/>
      <c r="M24" s="8"/>
      <c r="N24" s="8">
        <v>0</v>
      </c>
      <c r="O24" s="329">
        <f t="shared" si="1"/>
        <v>0</v>
      </c>
      <c r="P24" s="329">
        <f t="shared" si="2"/>
        <v>0</v>
      </c>
      <c r="Q24" s="8">
        <v>0</v>
      </c>
    </row>
    <row r="25" spans="1:17" x14ac:dyDescent="0.25">
      <c r="A25" s="8"/>
      <c r="B25" s="8"/>
      <c r="C25" s="8"/>
      <c r="D25" s="8"/>
      <c r="E25" s="8"/>
      <c r="F25" s="8"/>
      <c r="G25" s="8"/>
      <c r="H25" s="8"/>
      <c r="I25" s="8"/>
      <c r="J25" s="8" t="s">
        <v>704</v>
      </c>
      <c r="K25" s="329">
        <f>VLOOKUP(J25,'PUR-RMC MASTER'!$B$3:$F$86,2,FALSE)</f>
        <v>0</v>
      </c>
      <c r="L25" s="329"/>
      <c r="M25" s="8"/>
      <c r="N25" s="8">
        <v>0</v>
      </c>
      <c r="O25" s="329">
        <f t="shared" si="1"/>
        <v>0</v>
      </c>
      <c r="P25" s="329">
        <f t="shared" si="2"/>
        <v>0</v>
      </c>
      <c r="Q25" s="8">
        <v>0</v>
      </c>
    </row>
    <row r="26" spans="1:17" x14ac:dyDescent="0.25">
      <c r="A26" s="8"/>
      <c r="B26" s="8"/>
      <c r="C26" s="8"/>
      <c r="D26" s="8"/>
      <c r="E26" s="8"/>
      <c r="F26" s="8"/>
      <c r="G26" s="8"/>
      <c r="H26" s="8"/>
      <c r="I26" s="8"/>
      <c r="J26" s="8" t="s">
        <v>704</v>
      </c>
      <c r="K26" s="329">
        <f>VLOOKUP(J26,'PUR-RMC MASTER'!$B$3:$F$86,2,FALSE)</f>
        <v>0</v>
      </c>
      <c r="L26" s="329"/>
      <c r="M26" s="8"/>
      <c r="N26" s="8">
        <v>0</v>
      </c>
      <c r="O26" s="329">
        <f t="shared" si="1"/>
        <v>0</v>
      </c>
      <c r="P26" s="329">
        <f t="shared" si="2"/>
        <v>0</v>
      </c>
      <c r="Q26" s="8">
        <v>0</v>
      </c>
    </row>
    <row r="27" spans="1:17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329"/>
      <c r="L27" s="329"/>
      <c r="M27" s="8"/>
      <c r="N27" s="8">
        <v>0</v>
      </c>
      <c r="O27" s="329">
        <f t="shared" si="1"/>
        <v>0</v>
      </c>
      <c r="P27" s="329">
        <f t="shared" si="2"/>
        <v>0</v>
      </c>
      <c r="Q27" s="8">
        <v>0</v>
      </c>
    </row>
    <row r="28" spans="1:17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329"/>
      <c r="L28" s="329"/>
      <c r="M28" s="8"/>
      <c r="N28" s="8">
        <v>0</v>
      </c>
      <c r="O28" s="329">
        <f t="shared" si="1"/>
        <v>0</v>
      </c>
      <c r="P28" s="329">
        <f t="shared" si="2"/>
        <v>0</v>
      </c>
      <c r="Q28" s="8">
        <v>0</v>
      </c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'PUR-RMC MASTER'!$B$3:$B$86</xm:f>
          </x14:formula1>
          <xm:sqref>J7:J26</xm:sqref>
        </x14:dataValidation>
        <x14:dataValidation type="list" allowBlank="1" showInputMessage="1" showErrorMessage="1">
          <x14:formula1>
            <xm:f>'PUR-PARTY MASTER'!$B$6:$B$77</xm:f>
          </x14:formula1>
          <xm:sqref>C7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18"/>
  <sheetViews>
    <sheetView topLeftCell="G1" workbookViewId="0">
      <selection activeCell="L10" sqref="L10"/>
    </sheetView>
  </sheetViews>
  <sheetFormatPr defaultRowHeight="14.4" x14ac:dyDescent="0.3"/>
  <cols>
    <col min="1" max="1" width="17.109375" customWidth="1"/>
    <col min="3" max="3" width="15.33203125" bestFit="1" customWidth="1"/>
    <col min="4" max="4" width="15.109375" bestFit="1" customWidth="1"/>
    <col min="5" max="5" width="15.5546875" bestFit="1" customWidth="1"/>
    <col min="6" max="6" width="12.6640625" bestFit="1" customWidth="1"/>
    <col min="7" max="7" width="9.88671875" bestFit="1" customWidth="1"/>
    <col min="8" max="8" width="15.109375" bestFit="1" customWidth="1"/>
    <col min="9" max="9" width="14.33203125" bestFit="1" customWidth="1"/>
    <col min="10" max="10" width="12.88671875" bestFit="1" customWidth="1"/>
    <col min="11" max="11" width="6.6640625" customWidth="1"/>
    <col min="12" max="12" width="7.33203125" bestFit="1" customWidth="1"/>
    <col min="13" max="13" width="8" bestFit="1" customWidth="1"/>
    <col min="14" max="14" width="8.33203125" bestFit="1" customWidth="1"/>
    <col min="15" max="15" width="9.44140625" bestFit="1" customWidth="1"/>
    <col min="16" max="17" width="10" customWidth="1"/>
    <col min="20" max="20" width="10.109375" style="128" customWidth="1"/>
  </cols>
  <sheetData>
    <row r="3" spans="1:25" s="257" customFormat="1" x14ac:dyDescent="0.3">
      <c r="A3" s="254"/>
      <c r="B3" s="255"/>
      <c r="C3" s="255"/>
      <c r="D3" s="255"/>
      <c r="E3" s="255"/>
      <c r="F3" s="255"/>
      <c r="G3" s="255"/>
      <c r="H3" s="255"/>
      <c r="I3" s="256" t="s">
        <v>844</v>
      </c>
      <c r="J3" s="211"/>
      <c r="K3" s="211"/>
      <c r="L3" s="211">
        <f>SUM(L9:L503)</f>
        <v>0</v>
      </c>
      <c r="M3" s="211">
        <f t="shared" ref="M3:Y3" si="0">SUM(M9:M503)</f>
        <v>0</v>
      </c>
      <c r="N3" s="211"/>
      <c r="O3" s="211">
        <f t="shared" si="0"/>
        <v>0</v>
      </c>
      <c r="P3" s="211">
        <f t="shared" si="0"/>
        <v>0</v>
      </c>
      <c r="Q3" s="211">
        <f t="shared" si="0"/>
        <v>0</v>
      </c>
      <c r="R3" s="211"/>
      <c r="S3" s="211"/>
      <c r="T3" s="211"/>
      <c r="U3" s="211"/>
      <c r="V3" s="211"/>
      <c r="W3" s="211"/>
      <c r="X3" s="211"/>
      <c r="Y3" s="211">
        <f t="shared" si="0"/>
        <v>2</v>
      </c>
    </row>
    <row r="4" spans="1:25" s="257" customFormat="1" x14ac:dyDescent="0.3">
      <c r="A4" s="254"/>
      <c r="B4" s="255"/>
      <c r="C4" s="255"/>
      <c r="D4" s="255"/>
      <c r="E4" s="255"/>
      <c r="F4" s="255"/>
      <c r="G4" s="255"/>
      <c r="H4" s="255"/>
      <c r="I4" s="256" t="s">
        <v>845</v>
      </c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</row>
    <row r="5" spans="1:25" s="257" customFormat="1" x14ac:dyDescent="0.3">
      <c r="A5" s="254"/>
      <c r="B5" s="255"/>
      <c r="C5" s="255"/>
      <c r="D5" s="255"/>
      <c r="E5" s="255"/>
      <c r="F5" s="255"/>
      <c r="G5" s="255"/>
      <c r="H5" s="255"/>
      <c r="I5" s="256" t="s">
        <v>846</v>
      </c>
      <c r="J5" s="211"/>
      <c r="K5" s="211"/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</row>
    <row r="6" spans="1:25" s="128" customFormat="1" x14ac:dyDescent="0.3"/>
    <row r="7" spans="1:25" x14ac:dyDescent="0.3">
      <c r="A7" s="6" t="s">
        <v>4</v>
      </c>
      <c r="B7" s="6" t="s">
        <v>6</v>
      </c>
      <c r="C7" s="193" t="s">
        <v>817</v>
      </c>
      <c r="D7" s="193" t="s">
        <v>815</v>
      </c>
      <c r="E7" s="205" t="s">
        <v>99</v>
      </c>
      <c r="F7" s="205" t="s">
        <v>99</v>
      </c>
      <c r="G7" s="205" t="s">
        <v>102</v>
      </c>
      <c r="H7" s="193" t="s">
        <v>103</v>
      </c>
      <c r="I7" s="259" t="s">
        <v>105</v>
      </c>
      <c r="J7" s="206" t="s">
        <v>819</v>
      </c>
      <c r="K7" s="206" t="s">
        <v>0</v>
      </c>
      <c r="L7" s="6" t="s">
        <v>19</v>
      </c>
      <c r="M7" s="6" t="s">
        <v>21</v>
      </c>
      <c r="N7" s="205" t="s">
        <v>107</v>
      </c>
      <c r="O7" s="260" t="s">
        <v>88</v>
      </c>
      <c r="P7" s="261" t="s">
        <v>89</v>
      </c>
      <c r="Q7" s="261" t="s">
        <v>90</v>
      </c>
      <c r="R7" s="195" t="s">
        <v>66</v>
      </c>
      <c r="S7" s="196" t="s">
        <v>67</v>
      </c>
      <c r="T7" s="247" t="s">
        <v>78</v>
      </c>
      <c r="U7" s="197" t="s">
        <v>74</v>
      </c>
      <c r="V7" s="6" t="s">
        <v>75</v>
      </c>
      <c r="W7" s="6" t="s">
        <v>92</v>
      </c>
      <c r="X7" s="23" t="s">
        <v>77</v>
      </c>
      <c r="Y7" s="198" t="s">
        <v>93</v>
      </c>
    </row>
    <row r="8" spans="1:25" x14ac:dyDescent="0.3">
      <c r="A8" s="4" t="s">
        <v>3</v>
      </c>
      <c r="B8" s="190" t="s">
        <v>5</v>
      </c>
      <c r="C8" s="190" t="s">
        <v>818</v>
      </c>
      <c r="D8" s="190" t="s">
        <v>816</v>
      </c>
      <c r="E8" s="190" t="s">
        <v>100</v>
      </c>
      <c r="F8" s="190" t="s">
        <v>101</v>
      </c>
      <c r="G8" s="190" t="s">
        <v>15</v>
      </c>
      <c r="H8" s="190" t="s">
        <v>104</v>
      </c>
      <c r="I8" s="190" t="s">
        <v>106</v>
      </c>
      <c r="J8" s="190" t="s">
        <v>820</v>
      </c>
      <c r="K8" s="190"/>
      <c r="L8" s="190" t="s">
        <v>18</v>
      </c>
      <c r="M8" s="190" t="s">
        <v>20</v>
      </c>
      <c r="N8" s="73"/>
      <c r="O8" s="249" t="s">
        <v>91</v>
      </c>
      <c r="P8" s="249" t="s">
        <v>91</v>
      </c>
      <c r="Q8" s="249" t="s">
        <v>91</v>
      </c>
      <c r="R8" s="7" t="s">
        <v>68</v>
      </c>
      <c r="S8" s="76" t="s">
        <v>69</v>
      </c>
      <c r="T8" s="76" t="s">
        <v>0</v>
      </c>
      <c r="U8" s="186" t="s">
        <v>94</v>
      </c>
      <c r="V8" s="7" t="s">
        <v>80</v>
      </c>
      <c r="W8" s="7"/>
      <c r="X8" s="25" t="s">
        <v>11</v>
      </c>
      <c r="Y8" s="186" t="s">
        <v>95</v>
      </c>
    </row>
    <row r="9" spans="1:25" x14ac:dyDescent="0.3">
      <c r="A9" s="5" t="s">
        <v>24</v>
      </c>
      <c r="B9" s="199" t="str">
        <f>VLOOKUP(A9,'SALE PARTY MASTR '!$B$5:$G$280,2,FALSE)</f>
        <v>Tata Autocomp Systems LTD.(X1)</v>
      </c>
      <c r="C9" s="128" t="s">
        <v>891</v>
      </c>
      <c r="D9" s="298">
        <v>43112</v>
      </c>
      <c r="E9" s="128">
        <v>2200102344</v>
      </c>
      <c r="F9" s="298">
        <v>43116</v>
      </c>
      <c r="G9" s="128" t="s">
        <v>72</v>
      </c>
      <c r="H9" s="128" t="s">
        <v>176</v>
      </c>
      <c r="I9" s="128" t="s">
        <v>249</v>
      </c>
      <c r="J9" s="128">
        <v>1537.64</v>
      </c>
      <c r="K9" s="262">
        <f>VLOOKUP(U9,'SALE HSN MASTER '!$A$6:$E$20,5,FALSE)</f>
        <v>28</v>
      </c>
      <c r="L9" s="49">
        <v>0</v>
      </c>
      <c r="M9" s="132"/>
      <c r="N9" s="132"/>
      <c r="O9" s="202">
        <f>+IF(R9=1,0,IF(P9=0,L9*K9/100,0))</f>
        <v>0</v>
      </c>
      <c r="P9" s="202">
        <f>+IF(R9=1,0,IF(S9="Local Sale",IF(K9=18,L9*0.09,IF(K9=12,K9*0.06,IF(K9=5,L9*0.025,IF(K9=28,L9*0.14,IF(K9=3,L9*0.015,0))))),0))</f>
        <v>0</v>
      </c>
      <c r="Q9" s="202">
        <f>+IF(R9=1,0,IF(S9="Local Sale",IF(K9=18,L9*0.09,IF(K9=12,L9*0.06,IF(K9=5,L9*0.025,IF(K9=28,L9*0.14,IF(K9=3,L9*0.015,0))))),0))</f>
        <v>0</v>
      </c>
      <c r="R9" s="199">
        <f>VLOOKUP(A9,'SALE PARTY MASTR '!$B$5:$I$105,7,FALSE)</f>
        <v>2</v>
      </c>
      <c r="S9" s="199" t="str">
        <f>VLOOKUP(A9,'SALE PARTY MASTR '!$B$5:$I$105,8,FALSE)</f>
        <v>Local Sale</v>
      </c>
      <c r="T9" s="386" t="s">
        <v>901</v>
      </c>
      <c r="U9" s="49">
        <v>87089900</v>
      </c>
      <c r="V9" s="201" t="str">
        <f>VLOOKUP(U9,'SALE HSN MASTER '!$A$6:$D$20,2,FALSE)</f>
        <v>Parts &amp; Accessories Of Motor Vehicles Other</v>
      </c>
      <c r="W9" s="201" t="str">
        <f>VLOOKUP(U9,'SALE HSN MASTER '!$A$6:$D$20,3,FALSE)</f>
        <v>NOS-NUMBERS</v>
      </c>
      <c r="X9" s="201" t="str">
        <f>VLOOKUP(U9,'SALE HSN MASTER '!$A$6:$D$20,4,FALSE)</f>
        <v>Goods</v>
      </c>
      <c r="Y9" s="49">
        <v>2</v>
      </c>
    </row>
    <row r="10" spans="1:25" x14ac:dyDescent="0.3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386" t="s">
        <v>900</v>
      </c>
      <c r="U10" s="132"/>
      <c r="V10" s="132"/>
      <c r="W10" s="132"/>
      <c r="X10" s="132"/>
      <c r="Y10" s="132"/>
    </row>
    <row r="11" spans="1:25" x14ac:dyDescent="0.3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386" t="s">
        <v>898</v>
      </c>
      <c r="U11" s="132"/>
      <c r="V11" s="132"/>
      <c r="W11" s="132"/>
      <c r="X11" s="132"/>
      <c r="Y11" s="132"/>
    </row>
    <row r="12" spans="1:25" x14ac:dyDescent="0.3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386" t="s">
        <v>902</v>
      </c>
      <c r="U12" s="132"/>
      <c r="V12" s="132"/>
      <c r="W12" s="132"/>
      <c r="X12" s="132"/>
      <c r="Y12" s="132"/>
    </row>
    <row r="13" spans="1:25" x14ac:dyDescent="0.3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386" t="s">
        <v>894</v>
      </c>
      <c r="U13" s="132"/>
      <c r="V13" s="132"/>
      <c r="W13" s="132"/>
      <c r="X13" s="132"/>
      <c r="Y13" s="132"/>
    </row>
    <row r="14" spans="1:25" x14ac:dyDescent="0.3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386" t="s">
        <v>897</v>
      </c>
      <c r="U14" s="132"/>
      <c r="V14" s="132"/>
      <c r="W14" s="132"/>
      <c r="X14" s="132"/>
      <c r="Y14" s="132"/>
    </row>
    <row r="15" spans="1:25" x14ac:dyDescent="0.3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</row>
    <row r="16" spans="1:25" x14ac:dyDescent="0.3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</row>
    <row r="17" spans="1:25" x14ac:dyDescent="0.3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</row>
    <row r="18" spans="1:25" x14ac:dyDescent="0.3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'[1]SALE MASTR PARTY'!#REF!</xm:f>
          </x14:formula1>
          <xm:sqref>A9</xm:sqref>
        </x14:dataValidation>
        <x14:dataValidation type="list" allowBlank="1" showInputMessage="1" showErrorMessage="1">
          <x14:formula1>
            <xm:f>'[1]SALE MASTER'!#REF!</xm:f>
          </x14:formula1>
          <xm:sqref>G9:I9</xm:sqref>
        </x14:dataValidation>
        <x14:dataValidation type="list" allowBlank="1" showInputMessage="1" showErrorMessage="1">
          <x14:formula1>
            <xm:f>'[1]SALE MASTER HSN'!#REF!</xm:f>
          </x14:formula1>
          <xm:sqref>U9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9"/>
  <sheetViews>
    <sheetView workbookViewId="0">
      <selection sqref="A1:XFD1048576"/>
    </sheetView>
  </sheetViews>
  <sheetFormatPr defaultColWidth="8.88671875" defaultRowHeight="13.8" x14ac:dyDescent="0.25"/>
  <cols>
    <col min="1" max="1" width="4.5546875" style="5" customWidth="1"/>
    <col min="2" max="2" width="20.33203125" style="5" customWidth="1"/>
    <col min="3" max="3" width="34.44140625" style="5" customWidth="1"/>
    <col min="4" max="4" width="8.44140625" style="5" customWidth="1"/>
    <col min="5" max="5" width="15" style="5" customWidth="1"/>
    <col min="6" max="8" width="11.44140625" style="5" bestFit="1" customWidth="1"/>
    <col min="9" max="9" width="9" style="5" bestFit="1" customWidth="1"/>
    <col min="10" max="10" width="13.6640625" style="5" customWidth="1"/>
    <col min="11" max="16384" width="8.88671875" style="5"/>
  </cols>
  <sheetData>
    <row r="1" spans="1:11" x14ac:dyDescent="0.25">
      <c r="A1" s="293"/>
      <c r="B1" s="294"/>
      <c r="C1" s="294"/>
      <c r="D1" s="294"/>
      <c r="E1" s="294"/>
      <c r="F1" s="294"/>
      <c r="G1" s="294"/>
      <c r="H1" s="294"/>
      <c r="I1" s="294"/>
      <c r="J1" s="295"/>
      <c r="K1" s="6"/>
    </row>
    <row r="2" spans="1:11" ht="17.399999999999999" x14ac:dyDescent="0.3">
      <c r="A2" s="516" t="s">
        <v>857</v>
      </c>
      <c r="B2" s="517"/>
      <c r="C2" s="517"/>
      <c r="D2" s="517"/>
      <c r="E2" s="517"/>
      <c r="F2" s="517"/>
      <c r="G2" s="517"/>
      <c r="H2" s="517"/>
      <c r="I2" s="517"/>
      <c r="J2" s="518"/>
      <c r="K2" s="8"/>
    </row>
    <row r="3" spans="1:11" ht="15.6" x14ac:dyDescent="0.3">
      <c r="A3" s="296" t="s">
        <v>640</v>
      </c>
      <c r="B3" s="283"/>
      <c r="C3" s="284"/>
      <c r="D3" s="286"/>
      <c r="E3" s="285" t="s">
        <v>650</v>
      </c>
      <c r="F3" s="33"/>
      <c r="G3" s="286"/>
      <c r="H3" s="33"/>
      <c r="I3" s="280" t="s">
        <v>637</v>
      </c>
      <c r="J3" s="291" t="s">
        <v>288</v>
      </c>
      <c r="K3" s="8"/>
    </row>
    <row r="4" spans="1:11" ht="15.6" x14ac:dyDescent="0.3">
      <c r="A4" s="287" t="s">
        <v>638</v>
      </c>
      <c r="B4" s="288"/>
      <c r="C4" s="288"/>
      <c r="D4" s="288"/>
      <c r="E4" s="289" t="s">
        <v>639</v>
      </c>
      <c r="F4" s="258"/>
      <c r="G4" s="288"/>
      <c r="H4" s="290"/>
      <c r="I4" s="280" t="s">
        <v>281</v>
      </c>
      <c r="J4" s="292" t="s">
        <v>293</v>
      </c>
      <c r="K4" s="8"/>
    </row>
    <row r="5" spans="1:11" x14ac:dyDescent="0.25">
      <c r="A5" s="277"/>
      <c r="B5" s="278"/>
      <c r="C5" s="279" t="s">
        <v>844</v>
      </c>
      <c r="D5" s="279"/>
      <c r="E5" s="353">
        <f t="shared" ref="E5:K5" si="0">SUM(E10:E254)</f>
        <v>10588006.859999999</v>
      </c>
      <c r="F5" s="353">
        <f t="shared" si="0"/>
        <v>10923.0576</v>
      </c>
      <c r="G5" s="353">
        <f t="shared" si="0"/>
        <v>1146691.6666000001</v>
      </c>
      <c r="H5" s="353">
        <f t="shared" si="0"/>
        <v>1146691.6666000001</v>
      </c>
      <c r="I5" s="353">
        <f t="shared" si="0"/>
        <v>0</v>
      </c>
      <c r="J5" s="353">
        <f t="shared" si="0"/>
        <v>12892313.250800001</v>
      </c>
      <c r="K5" s="353">
        <f t="shared" si="0"/>
        <v>0</v>
      </c>
    </row>
    <row r="6" spans="1:11" x14ac:dyDescent="0.25">
      <c r="A6" s="273"/>
      <c r="B6" s="274"/>
      <c r="C6" s="276" t="s">
        <v>845</v>
      </c>
      <c r="D6" s="338"/>
      <c r="E6" s="275"/>
      <c r="F6" s="275"/>
      <c r="G6" s="275"/>
      <c r="H6" s="275"/>
      <c r="I6" s="275"/>
      <c r="J6" s="275"/>
      <c r="K6" s="8"/>
    </row>
    <row r="7" spans="1:11" x14ac:dyDescent="0.25">
      <c r="A7" s="186"/>
      <c r="B7" s="186"/>
      <c r="C7" s="276" t="s">
        <v>846</v>
      </c>
      <c r="D7" s="276"/>
      <c r="E7" s="187">
        <f>+E5-E6</f>
        <v>10588006.859999999</v>
      </c>
      <c r="F7" s="187">
        <f t="shared" ref="F7:K7" si="1">+F5-F6</f>
        <v>10923.0576</v>
      </c>
      <c r="G7" s="187">
        <f t="shared" si="1"/>
        <v>1146691.6666000001</v>
      </c>
      <c r="H7" s="187">
        <f t="shared" si="1"/>
        <v>1146691.6666000001</v>
      </c>
      <c r="I7" s="187">
        <f t="shared" si="1"/>
        <v>0</v>
      </c>
      <c r="J7" s="187">
        <f t="shared" si="1"/>
        <v>12892313.250800001</v>
      </c>
      <c r="K7" s="187">
        <f t="shared" si="1"/>
        <v>0</v>
      </c>
    </row>
    <row r="8" spans="1:11" x14ac:dyDescent="0.25">
      <c r="A8" s="7" t="s">
        <v>64</v>
      </c>
      <c r="B8" s="7" t="s">
        <v>4</v>
      </c>
      <c r="C8" s="7" t="s">
        <v>6</v>
      </c>
      <c r="D8" s="7" t="s">
        <v>93</v>
      </c>
      <c r="E8" s="35" t="s">
        <v>97</v>
      </c>
      <c r="F8" s="80" t="s">
        <v>88</v>
      </c>
      <c r="G8" s="80" t="s">
        <v>89</v>
      </c>
      <c r="H8" s="80" t="s">
        <v>90</v>
      </c>
      <c r="I8" s="80" t="s">
        <v>98</v>
      </c>
      <c r="J8" s="7" t="s">
        <v>8</v>
      </c>
      <c r="K8" s="7" t="s">
        <v>457</v>
      </c>
    </row>
    <row r="9" spans="1:11" ht="14.4" thickBot="1" x14ac:dyDescent="0.3">
      <c r="A9" s="7" t="s">
        <v>65</v>
      </c>
      <c r="B9" s="281" t="s">
        <v>3</v>
      </c>
      <c r="C9" s="281" t="s">
        <v>5</v>
      </c>
      <c r="D9" s="281" t="s">
        <v>8</v>
      </c>
      <c r="E9" s="35" t="s">
        <v>91</v>
      </c>
      <c r="F9" s="7" t="s">
        <v>91</v>
      </c>
      <c r="G9" s="7" t="s">
        <v>91</v>
      </c>
      <c r="H9" s="7" t="s">
        <v>91</v>
      </c>
      <c r="I9" s="7" t="s">
        <v>91</v>
      </c>
      <c r="J9" s="7" t="s">
        <v>91</v>
      </c>
      <c r="K9" s="7" t="s">
        <v>91</v>
      </c>
    </row>
    <row r="10" spans="1:11" ht="14.4" x14ac:dyDescent="0.3">
      <c r="A10" s="5">
        <v>1</v>
      </c>
      <c r="B10" s="416" t="s">
        <v>27</v>
      </c>
      <c r="C10" s="416" t="s">
        <v>48</v>
      </c>
      <c r="D10" s="440">
        <f>COUNTIF(PURCHASE!$A$6:$A$446,$B$10:$B$494)</f>
        <v>11</v>
      </c>
      <c r="E10" s="335">
        <f>SUMIF(PURCHASE!$A$6:$A$446,$B$10:$B$494,PURCHASE!$K$6:$K$446)</f>
        <v>331800.00000000006</v>
      </c>
      <c r="F10" s="310">
        <f>SUMIF(PURCHASE!$A$6:$A$446,$B$10:$B$494,PURCHASE!$L$6:$L$446)</f>
        <v>0</v>
      </c>
      <c r="G10" s="310">
        <f>SUMIF(PURCHASE!$A$6:$A$446,$B$10:$B$494,PURCHASE!$M$6:$M$446)</f>
        <v>29862</v>
      </c>
      <c r="H10" s="310">
        <f>SUMIF(PURCHASE!$A$6:$A$446,$B$10:$B$494,PURCHASE!$N$6:$N$446)</f>
        <v>29862</v>
      </c>
      <c r="I10" s="310">
        <f>SUMIF(PURCHASE!$A$6:$A$446,$B$10:$B$494,PURCHASE!$O$6:$O$446)</f>
        <v>0</v>
      </c>
      <c r="J10" s="310">
        <f>SUMIF(PURCHASE!$A$6:$A$446,$B$10:$B$494,PURCHASE!$E$6:$E$446)</f>
        <v>391523.99999999994</v>
      </c>
      <c r="K10" s="310"/>
    </row>
    <row r="11" spans="1:11" ht="14.4" x14ac:dyDescent="0.3">
      <c r="A11" s="5">
        <v>2</v>
      </c>
      <c r="B11" s="417" t="s">
        <v>333</v>
      </c>
      <c r="C11" s="417" t="s">
        <v>393</v>
      </c>
      <c r="D11" s="440">
        <f>COUNTIF(PURCHASE!$A$6:$A$446,$B$10:$B$494)</f>
        <v>11</v>
      </c>
      <c r="E11" s="335">
        <f>SUMIF(PURCHASE!$A$6:$A$446,$B$10:$B$494,PURCHASE!$K$6:$K$446)</f>
        <v>215527.27</v>
      </c>
      <c r="F11" s="310">
        <f>SUMIF(PURCHASE!$A$6:$A$446,$B$10:$B$494,PURCHASE!$L$6:$L$446)</f>
        <v>0</v>
      </c>
      <c r="G11" s="310">
        <f>SUMIF(PURCHASE!$A$6:$A$446,$B$10:$B$494,PURCHASE!$M$6:$M$446)</f>
        <v>19397.454300000001</v>
      </c>
      <c r="H11" s="310">
        <f>SUMIF(PURCHASE!$A$6:$A$446,$B$10:$B$494,PURCHASE!$N$6:$N$446)</f>
        <v>19397.454300000001</v>
      </c>
      <c r="I11" s="310">
        <f>SUMIF(PURCHASE!$A$6:$A$446,$B$10:$B$494,PURCHASE!$O$6:$O$446)</f>
        <v>0</v>
      </c>
      <c r="J11" s="310">
        <f>SUMIF(PURCHASE!$A$6:$A$446,$B$10:$B$494,PURCHASE!$E$6:$E$446)</f>
        <v>254322.17860000001</v>
      </c>
      <c r="K11" s="310"/>
    </row>
    <row r="12" spans="1:11" ht="14.4" x14ac:dyDescent="0.3">
      <c r="A12" s="5">
        <v>3</v>
      </c>
      <c r="B12" s="417" t="s">
        <v>37</v>
      </c>
      <c r="C12" s="417" t="s">
        <v>58</v>
      </c>
      <c r="D12" s="440">
        <f>COUNTIF(PURCHASE!$A$6:$A$446,$B$10:$B$494)</f>
        <v>3</v>
      </c>
      <c r="E12" s="335">
        <f>SUMIF(PURCHASE!$A$6:$A$446,$B$10:$B$494,PURCHASE!$K$6:$K$446)</f>
        <v>39010.92</v>
      </c>
      <c r="F12" s="310">
        <f>SUMIF(PURCHASE!$A$6:$A$446,$B$10:$B$494,PURCHASE!$L$6:$L$446)</f>
        <v>10923.0576</v>
      </c>
      <c r="G12" s="310">
        <f>SUMIF(PURCHASE!$A$6:$A$446,$B$10:$B$494,PURCHASE!$M$6:$M$446)</f>
        <v>0</v>
      </c>
      <c r="H12" s="310">
        <f>SUMIF(PURCHASE!$A$6:$A$446,$B$10:$B$494,PURCHASE!$N$6:$N$446)</f>
        <v>0</v>
      </c>
      <c r="I12" s="310">
        <f>SUMIF(PURCHASE!$A$6:$A$446,$B$10:$B$494,PURCHASE!$O$6:$O$446)</f>
        <v>0</v>
      </c>
      <c r="J12" s="310">
        <f>SUMIF(PURCHASE!$A$6:$A$446,$B$10:$B$494,PURCHASE!$E$6:$E$446)</f>
        <v>49933.977599999998</v>
      </c>
      <c r="K12" s="310"/>
    </row>
    <row r="13" spans="1:11" ht="14.4" x14ac:dyDescent="0.3">
      <c r="A13" s="5">
        <v>4</v>
      </c>
      <c r="B13" s="417" t="s">
        <v>334</v>
      </c>
      <c r="C13" s="417" t="s">
        <v>394</v>
      </c>
      <c r="D13" s="440">
        <f>COUNTIF(PURCHASE!$A$6:$A$446,$B$10:$B$494)</f>
        <v>3</v>
      </c>
      <c r="E13" s="335">
        <f>SUMIF(PURCHASE!$A$6:$A$446,$B$10:$B$494,PURCHASE!$K$6:$K$446)</f>
        <v>48250</v>
      </c>
      <c r="F13" s="310">
        <f>SUMIF(PURCHASE!$A$6:$A$446,$B$10:$B$494,PURCHASE!$L$6:$L$446)</f>
        <v>0</v>
      </c>
      <c r="G13" s="310">
        <f>SUMIF(PURCHASE!$A$6:$A$446,$B$10:$B$494,PURCHASE!$M$6:$M$446)</f>
        <v>6755.0000000000009</v>
      </c>
      <c r="H13" s="310">
        <f>SUMIF(PURCHASE!$A$6:$A$446,$B$10:$B$494,PURCHASE!$N$6:$N$446)</f>
        <v>6755.0000000000009</v>
      </c>
      <c r="I13" s="310">
        <f>SUMIF(PURCHASE!$A$6:$A$446,$B$10:$B$494,PURCHASE!$O$6:$O$446)</f>
        <v>0</v>
      </c>
      <c r="J13" s="310">
        <f>SUMIF(PURCHASE!$A$6:$A$446,$B$10:$B$494,PURCHASE!$E$6:$E$446)</f>
        <v>61760</v>
      </c>
      <c r="K13" s="310"/>
    </row>
    <row r="14" spans="1:11" ht="14.4" x14ac:dyDescent="0.3">
      <c r="A14" s="5">
        <v>5</v>
      </c>
      <c r="B14" s="417" t="s">
        <v>335</v>
      </c>
      <c r="C14" s="417" t="s">
        <v>395</v>
      </c>
      <c r="D14" s="440">
        <f>COUNTIF(PURCHASE!$A$6:$A$446,$B$10:$B$494)</f>
        <v>35</v>
      </c>
      <c r="E14" s="335">
        <f>SUMIF(PURCHASE!$A$6:$A$446,$B$10:$B$494,PURCHASE!$K$6:$K$446)</f>
        <v>1498298.94</v>
      </c>
      <c r="F14" s="310">
        <f>SUMIF(PURCHASE!$A$6:$A$446,$B$10:$B$494,PURCHASE!$L$6:$L$446)</f>
        <v>0</v>
      </c>
      <c r="G14" s="310">
        <f>SUMIF(PURCHASE!$A$6:$A$446,$B$10:$B$494,PURCHASE!$M$6:$M$446)</f>
        <v>209761.85160000005</v>
      </c>
      <c r="H14" s="310">
        <f>SUMIF(PURCHASE!$A$6:$A$446,$B$10:$B$494,PURCHASE!$N$6:$N$446)</f>
        <v>209761.85160000005</v>
      </c>
      <c r="I14" s="310">
        <f>SUMIF(PURCHASE!$A$6:$A$446,$B$10:$B$494,PURCHASE!$O$6:$O$446)</f>
        <v>0</v>
      </c>
      <c r="J14" s="310">
        <f>SUMIF(PURCHASE!$A$6:$A$446,$B$10:$B$494,PURCHASE!$E$6:$E$446)</f>
        <v>1917822.6431999994</v>
      </c>
      <c r="K14" s="310"/>
    </row>
    <row r="15" spans="1:11" ht="14.4" x14ac:dyDescent="0.3">
      <c r="A15" s="5">
        <v>6</v>
      </c>
      <c r="B15" s="3" t="s">
        <v>336</v>
      </c>
      <c r="C15" s="3" t="s">
        <v>396</v>
      </c>
      <c r="D15" s="335">
        <f>COUNTIF(PURCHASE!$A$6:$A$446,$B$10:$B$494)</f>
        <v>0</v>
      </c>
      <c r="E15" s="335">
        <f>SUMIF(PURCHASE!$A$6:$A$446,$B$10:$B$494,PURCHASE!$K$6:$K$446)</f>
        <v>0</v>
      </c>
      <c r="F15" s="310">
        <f>SUMIF(PURCHASE!$A$6:$A$446,$B$10:$B$494,PURCHASE!$L$6:$L$446)</f>
        <v>0</v>
      </c>
      <c r="G15" s="310">
        <f>SUMIF(PURCHASE!$A$6:$A$446,$B$10:$B$494,PURCHASE!$M$6:$M$446)</f>
        <v>0</v>
      </c>
      <c r="H15" s="310">
        <f>SUMIF(PURCHASE!$A$6:$A$446,$B$10:$B$494,PURCHASE!$N$6:$N$446)</f>
        <v>0</v>
      </c>
      <c r="I15" s="310">
        <f>SUMIF(PURCHASE!$A$6:$A$446,$B$10:$B$494,PURCHASE!$O$6:$O$446)</f>
        <v>0</v>
      </c>
      <c r="J15" s="310">
        <f>SUMIF(PURCHASE!$A$6:$A$446,$B$10:$B$494,PURCHASE!$E$6:$E$446)</f>
        <v>0</v>
      </c>
      <c r="K15" s="310"/>
    </row>
    <row r="16" spans="1:11" ht="14.4" x14ac:dyDescent="0.3">
      <c r="A16" s="5">
        <v>7</v>
      </c>
      <c r="B16" s="417" t="s">
        <v>337</v>
      </c>
      <c r="C16" s="417" t="s">
        <v>397</v>
      </c>
      <c r="D16" s="335">
        <f>COUNTIF(PURCHASE!$A$6:$A$446,$B$10:$B$494)</f>
        <v>0</v>
      </c>
      <c r="E16" s="335">
        <f>SUMIF(PURCHASE!$A$6:$A$446,$B$10:$B$494,PURCHASE!$K$6:$K$446)</f>
        <v>0</v>
      </c>
      <c r="F16" s="310">
        <f>SUMIF(PURCHASE!$A$6:$A$446,$B$10:$B$494,PURCHASE!$L$6:$L$446)</f>
        <v>0</v>
      </c>
      <c r="G16" s="310">
        <f>SUMIF(PURCHASE!$A$6:$A$446,$B$10:$B$494,PURCHASE!$M$6:$M$446)</f>
        <v>0</v>
      </c>
      <c r="H16" s="310">
        <f>SUMIF(PURCHASE!$A$6:$A$446,$B$10:$B$494,PURCHASE!$N$6:$N$446)</f>
        <v>0</v>
      </c>
      <c r="I16" s="310">
        <f>SUMIF(PURCHASE!$A$6:$A$446,$B$10:$B$494,PURCHASE!$O$6:$O$446)</f>
        <v>0</v>
      </c>
      <c r="J16" s="310">
        <f>SUMIF(PURCHASE!$A$6:$A$446,$B$10:$B$494,PURCHASE!$E$6:$E$446)</f>
        <v>0</v>
      </c>
      <c r="K16" s="310"/>
    </row>
    <row r="17" spans="1:11" ht="14.4" x14ac:dyDescent="0.3">
      <c r="A17" s="5">
        <v>8</v>
      </c>
      <c r="B17" s="417" t="s">
        <v>338</v>
      </c>
      <c r="C17" s="417" t="s">
        <v>398</v>
      </c>
      <c r="D17" s="335">
        <f>COUNTIF(PURCHASE!$A$6:$A$446,$B$10:$B$494)</f>
        <v>0</v>
      </c>
      <c r="E17" s="335">
        <f>SUMIF(PURCHASE!$A$6:$A$446,$B$10:$B$494,PURCHASE!$K$6:$K$446)</f>
        <v>0</v>
      </c>
      <c r="F17" s="310">
        <f>SUMIF(PURCHASE!$A$6:$A$446,$B$10:$B$494,PURCHASE!$L$6:$L$446)</f>
        <v>0</v>
      </c>
      <c r="G17" s="310">
        <f>SUMIF(PURCHASE!$A$6:$A$446,$B$10:$B$494,PURCHASE!$M$6:$M$446)</f>
        <v>0</v>
      </c>
      <c r="H17" s="310">
        <f>SUMIF(PURCHASE!$A$6:$A$446,$B$10:$B$494,PURCHASE!$N$6:$N$446)</f>
        <v>0</v>
      </c>
      <c r="I17" s="310">
        <f>SUMIF(PURCHASE!$A$6:$A$446,$B$10:$B$494,PURCHASE!$O$6:$O$446)</f>
        <v>0</v>
      </c>
      <c r="J17" s="310">
        <f>SUMIF(PURCHASE!$A$6:$A$446,$B$10:$B$494,PURCHASE!$E$6:$E$446)</f>
        <v>0</v>
      </c>
      <c r="K17" s="310"/>
    </row>
    <row r="18" spans="1:11" ht="14.4" x14ac:dyDescent="0.3">
      <c r="A18" s="5">
        <v>9</v>
      </c>
      <c r="B18" s="417" t="s">
        <v>339</v>
      </c>
      <c r="C18" s="417" t="s">
        <v>399</v>
      </c>
      <c r="D18" s="440">
        <f>COUNTIF(PURCHASE!$A$6:$A$446,$B$10:$B$494)</f>
        <v>12</v>
      </c>
      <c r="E18" s="335">
        <f>SUMIF(PURCHASE!$A$6:$A$446,$B$10:$B$494,PURCHASE!$K$6:$K$446)</f>
        <v>131046</v>
      </c>
      <c r="F18" s="310">
        <f>SUMIF(PURCHASE!$A$6:$A$446,$B$10:$B$494,PURCHASE!$L$6:$L$446)</f>
        <v>0</v>
      </c>
      <c r="G18" s="310">
        <f>SUMIF(PURCHASE!$A$6:$A$446,$B$10:$B$494,PURCHASE!$M$6:$M$446)</f>
        <v>16599.04</v>
      </c>
      <c r="H18" s="310">
        <f>SUMIF(PURCHASE!$A$6:$A$446,$B$10:$B$494,PURCHASE!$N$6:$N$446)</f>
        <v>16599.04</v>
      </c>
      <c r="I18" s="310">
        <f>SUMIF(PURCHASE!$A$6:$A$446,$B$10:$B$494,PURCHASE!$O$6:$O$446)</f>
        <v>0</v>
      </c>
      <c r="J18" s="310">
        <f>SUMIF(PURCHASE!$A$6:$A$446,$B$10:$B$494,PURCHASE!$E$6:$E$446)</f>
        <v>164244.07999999996</v>
      </c>
      <c r="K18" s="310"/>
    </row>
    <row r="19" spans="1:11" ht="14.4" x14ac:dyDescent="0.3">
      <c r="A19" s="5">
        <v>10</v>
      </c>
      <c r="B19" s="418" t="s">
        <v>340</v>
      </c>
      <c r="C19" s="418" t="s">
        <v>400</v>
      </c>
      <c r="D19" s="335">
        <f>COUNTIF(PURCHASE!$A$6:$A$446,$B$10:$B$494)</f>
        <v>0</v>
      </c>
      <c r="E19" s="335">
        <f>SUMIF(PURCHASE!$A$6:$A$446,$B$10:$B$494,PURCHASE!$K$6:$K$446)</f>
        <v>0</v>
      </c>
      <c r="F19" s="310">
        <f>SUMIF(PURCHASE!$A$6:$A$446,$B$10:$B$494,PURCHASE!$L$6:$L$446)</f>
        <v>0</v>
      </c>
      <c r="G19" s="310">
        <f>SUMIF(PURCHASE!$A$6:$A$446,$B$10:$B$494,PURCHASE!$M$6:$M$446)</f>
        <v>0</v>
      </c>
      <c r="H19" s="310">
        <f>SUMIF(PURCHASE!$A$6:$A$446,$B$10:$B$494,PURCHASE!$N$6:$N$446)</f>
        <v>0</v>
      </c>
      <c r="I19" s="310">
        <f>SUMIF(PURCHASE!$A$6:$A$446,$B$10:$B$494,PURCHASE!$O$6:$O$446)</f>
        <v>0</v>
      </c>
      <c r="J19" s="310">
        <f>SUMIF(PURCHASE!$A$6:$A$446,$B$10:$B$494,PURCHASE!$E$6:$E$446)</f>
        <v>0</v>
      </c>
      <c r="K19" s="310"/>
    </row>
    <row r="20" spans="1:11" ht="14.4" x14ac:dyDescent="0.3">
      <c r="A20" s="5">
        <v>11</v>
      </c>
      <c r="B20" s="417" t="s">
        <v>341</v>
      </c>
      <c r="C20" s="417" t="s">
        <v>401</v>
      </c>
      <c r="D20" s="440">
        <f>COUNTIF(PURCHASE!$A$6:$A$446,$B$10:$B$494)</f>
        <v>5</v>
      </c>
      <c r="E20" s="335">
        <f>SUMIF(PURCHASE!$A$6:$A$446,$B$10:$B$494,PURCHASE!$K$6:$K$446)</f>
        <v>259060</v>
      </c>
      <c r="F20" s="310">
        <f>SUMIF(PURCHASE!$A$6:$A$446,$B$10:$B$494,PURCHASE!$L$6:$L$446)</f>
        <v>0</v>
      </c>
      <c r="G20" s="310">
        <f>SUMIF(PURCHASE!$A$6:$A$446,$B$10:$B$494,PURCHASE!$M$6:$M$446)</f>
        <v>35215.4</v>
      </c>
      <c r="H20" s="310">
        <f>SUMIF(PURCHASE!$A$6:$A$446,$B$10:$B$494,PURCHASE!$N$6:$N$446)</f>
        <v>35215.4</v>
      </c>
      <c r="I20" s="310">
        <f>SUMIF(PURCHASE!$A$6:$A$446,$B$10:$B$494,PURCHASE!$O$6:$O$446)</f>
        <v>0</v>
      </c>
      <c r="J20" s="310">
        <f>SUMIF(PURCHASE!$A$6:$A$446,$B$10:$B$494,PURCHASE!$E$6:$E$446)</f>
        <v>329490.8</v>
      </c>
      <c r="K20" s="310"/>
    </row>
    <row r="21" spans="1:11" ht="14.4" x14ac:dyDescent="0.3">
      <c r="A21" s="5">
        <v>12</v>
      </c>
      <c r="B21" s="417" t="s">
        <v>24</v>
      </c>
      <c r="C21" s="417" t="s">
        <v>45</v>
      </c>
      <c r="D21" s="440">
        <f>COUNTIF(PURCHASE!$A$6:$A$446,$B$10:$B$494)</f>
        <v>23</v>
      </c>
      <c r="E21" s="335">
        <f>SUMIF(PURCHASE!$A$6:$A$446,$B$10:$B$494,PURCHASE!$K$6:$K$446)</f>
        <v>220389.19999999995</v>
      </c>
      <c r="F21" s="310">
        <f>SUMIF(PURCHASE!$A$6:$A$446,$B$10:$B$494,PURCHASE!$L$6:$L$446)</f>
        <v>0</v>
      </c>
      <c r="G21" s="310">
        <f>SUMIF(PURCHASE!$A$6:$A$446,$B$10:$B$494,PURCHASE!$M$6:$M$446)</f>
        <v>30854.488000000001</v>
      </c>
      <c r="H21" s="310">
        <f>SUMIF(PURCHASE!$A$6:$A$446,$B$10:$B$494,PURCHASE!$N$6:$N$446)</f>
        <v>30854.488000000001</v>
      </c>
      <c r="I21" s="310">
        <f>SUMIF(PURCHASE!$A$6:$A$446,$B$10:$B$494,PURCHASE!$O$6:$O$446)</f>
        <v>0</v>
      </c>
      <c r="J21" s="310">
        <f>SUMIF(PURCHASE!$A$6:$A$446,$B$10:$B$494,PURCHASE!$E$6:$E$446)</f>
        <v>282098.17599999998</v>
      </c>
      <c r="K21" s="310"/>
    </row>
    <row r="22" spans="1:11" ht="14.4" x14ac:dyDescent="0.3">
      <c r="A22" s="5">
        <v>13</v>
      </c>
      <c r="B22" s="417" t="s">
        <v>342</v>
      </c>
      <c r="C22" s="417" t="s">
        <v>402</v>
      </c>
      <c r="D22" s="440">
        <f>COUNTIF(PURCHASE!$A$6:$A$446,$B$10:$B$494)</f>
        <v>1</v>
      </c>
      <c r="E22" s="335">
        <f>SUMIF(PURCHASE!$A$6:$A$446,$B$10:$B$494,PURCHASE!$K$6:$K$446)</f>
        <v>10100</v>
      </c>
      <c r="F22" s="310">
        <f>SUMIF(PURCHASE!$A$6:$A$446,$B$10:$B$494,PURCHASE!$L$6:$L$446)</f>
        <v>0</v>
      </c>
      <c r="G22" s="310">
        <f>SUMIF(PURCHASE!$A$6:$A$446,$B$10:$B$494,PURCHASE!$M$6:$M$446)</f>
        <v>909</v>
      </c>
      <c r="H22" s="310">
        <f>SUMIF(PURCHASE!$A$6:$A$446,$B$10:$B$494,PURCHASE!$N$6:$N$446)</f>
        <v>909</v>
      </c>
      <c r="I22" s="310">
        <f>SUMIF(PURCHASE!$A$6:$A$446,$B$10:$B$494,PURCHASE!$O$6:$O$446)</f>
        <v>0</v>
      </c>
      <c r="J22" s="310">
        <f>SUMIF(PURCHASE!$A$6:$A$446,$B$10:$B$494,PURCHASE!$E$6:$E$446)</f>
        <v>11918</v>
      </c>
      <c r="K22" s="310"/>
    </row>
    <row r="23" spans="1:11" ht="14.4" x14ac:dyDescent="0.3">
      <c r="A23" s="5">
        <v>14</v>
      </c>
      <c r="B23" s="417" t="s">
        <v>343</v>
      </c>
      <c r="C23" s="417" t="s">
        <v>403</v>
      </c>
      <c r="D23" s="440">
        <f>COUNTIF(PURCHASE!$A$6:$A$446,$B$10:$B$494)</f>
        <v>1</v>
      </c>
      <c r="E23" s="335">
        <f>SUMIF(PURCHASE!$A$6:$A$446,$B$10:$B$494,PURCHASE!$K$6:$K$446)</f>
        <v>68420</v>
      </c>
      <c r="F23" s="310">
        <f>SUMIF(PURCHASE!$A$6:$A$446,$B$10:$B$494,PURCHASE!$L$6:$L$446)</f>
        <v>0</v>
      </c>
      <c r="G23" s="310">
        <f>SUMIF(PURCHASE!$A$6:$A$446,$B$10:$B$494,PURCHASE!$M$6:$M$446)</f>
        <v>6157.8</v>
      </c>
      <c r="H23" s="310">
        <f>SUMIF(PURCHASE!$A$6:$A$446,$B$10:$B$494,PURCHASE!$N$6:$N$446)</f>
        <v>6157.8</v>
      </c>
      <c r="I23" s="310">
        <f>SUMIF(PURCHASE!$A$6:$A$446,$B$10:$B$494,PURCHASE!$O$6:$O$446)</f>
        <v>0</v>
      </c>
      <c r="J23" s="310">
        <f>SUMIF(PURCHASE!$A$6:$A$446,$B$10:$B$494,PURCHASE!$E$6:$E$446)</f>
        <v>80735.600000000006</v>
      </c>
      <c r="K23" s="310"/>
    </row>
    <row r="24" spans="1:11" ht="14.4" x14ac:dyDescent="0.3">
      <c r="A24" s="5">
        <v>15</v>
      </c>
      <c r="B24" s="417" t="s">
        <v>344</v>
      </c>
      <c r="C24" s="417" t="s">
        <v>404</v>
      </c>
      <c r="D24" s="440">
        <f>COUNTIF(PURCHASE!$A$6:$A$446,$B$10:$B$494)</f>
        <v>5</v>
      </c>
      <c r="E24" s="335">
        <f>SUMIF(PURCHASE!$A$6:$A$446,$B$10:$B$494,PURCHASE!$K$6:$K$446)</f>
        <v>31500</v>
      </c>
      <c r="F24" s="310">
        <f>SUMIF(PURCHASE!$A$6:$A$446,$B$10:$B$494,PURCHASE!$L$6:$L$446)</f>
        <v>0</v>
      </c>
      <c r="G24" s="310">
        <f>SUMIF(PURCHASE!$A$6:$A$446,$B$10:$B$494,PURCHASE!$M$6:$M$446)</f>
        <v>2835</v>
      </c>
      <c r="H24" s="310">
        <f>SUMIF(PURCHASE!$A$6:$A$446,$B$10:$B$494,PURCHASE!$N$6:$N$446)</f>
        <v>2835</v>
      </c>
      <c r="I24" s="310">
        <f>SUMIF(PURCHASE!$A$6:$A$446,$B$10:$B$494,PURCHASE!$O$6:$O$446)</f>
        <v>0</v>
      </c>
      <c r="J24" s="310">
        <f>SUMIF(PURCHASE!$A$6:$A$446,$B$10:$B$494,PURCHASE!$E$6:$E$446)</f>
        <v>37170</v>
      </c>
      <c r="K24" s="310"/>
    </row>
    <row r="25" spans="1:11" ht="14.4" x14ac:dyDescent="0.3">
      <c r="A25" s="5">
        <v>16</v>
      </c>
      <c r="B25" s="417" t="s">
        <v>23</v>
      </c>
      <c r="C25" s="417" t="s">
        <v>405</v>
      </c>
      <c r="D25" s="440">
        <f>COUNTIF(PURCHASE!$A$6:$A$446,$B$10:$B$494)</f>
        <v>46</v>
      </c>
      <c r="E25" s="335">
        <f>SUMIF(PURCHASE!$A$6:$A$446,$B$10:$B$494,PURCHASE!$K$6:$K$446)</f>
        <v>484795.53999999986</v>
      </c>
      <c r="F25" s="310">
        <f>SUMIF(PURCHASE!$A$6:$A$446,$B$10:$B$494,PURCHASE!$L$6:$L$446)</f>
        <v>0</v>
      </c>
      <c r="G25" s="310">
        <f>SUMIF(PURCHASE!$A$6:$A$446,$B$10:$B$494,PURCHASE!$M$6:$M$446)</f>
        <v>66661.375599999999</v>
      </c>
      <c r="H25" s="310">
        <f>SUMIF(PURCHASE!$A$6:$A$446,$B$10:$B$494,PURCHASE!$N$6:$N$446)</f>
        <v>66661.375599999999</v>
      </c>
      <c r="I25" s="310">
        <f>SUMIF(PURCHASE!$A$6:$A$446,$B$10:$B$494,PURCHASE!$O$6:$O$446)</f>
        <v>0</v>
      </c>
      <c r="J25" s="310">
        <f>SUMIF(PURCHASE!$A$6:$A$446,$B$10:$B$494,PURCHASE!$E$6:$E$446)</f>
        <v>618118.29120000021</v>
      </c>
      <c r="K25" s="310"/>
    </row>
    <row r="26" spans="1:11" ht="14.4" x14ac:dyDescent="0.3">
      <c r="A26" s="5">
        <v>17</v>
      </c>
      <c r="B26" s="417" t="s">
        <v>345</v>
      </c>
      <c r="C26" s="417" t="s">
        <v>406</v>
      </c>
      <c r="D26" s="440">
        <f>COUNTIF(PURCHASE!$A$6:$A$446,$B$10:$B$494)</f>
        <v>25</v>
      </c>
      <c r="E26" s="335">
        <f>SUMIF(PURCHASE!$A$6:$A$446,$B$10:$B$494,PURCHASE!$K$6:$K$446)</f>
        <v>61072.5</v>
      </c>
      <c r="F26" s="310">
        <f>SUMIF(PURCHASE!$A$6:$A$446,$B$10:$B$494,PURCHASE!$L$6:$L$446)</f>
        <v>0</v>
      </c>
      <c r="G26" s="310">
        <f>SUMIF(PURCHASE!$A$6:$A$446,$B$10:$B$494,PURCHASE!$M$6:$M$446)</f>
        <v>2471.6750000000002</v>
      </c>
      <c r="H26" s="310">
        <f>SUMIF(PURCHASE!$A$6:$A$446,$B$10:$B$494,PURCHASE!$N$6:$N$446)</f>
        <v>2471.6750000000002</v>
      </c>
      <c r="I26" s="310">
        <f>SUMIF(PURCHASE!$A$6:$A$446,$B$10:$B$494,PURCHASE!$O$6:$O$446)</f>
        <v>0</v>
      </c>
      <c r="J26" s="310">
        <f>SUMIF(PURCHASE!$A$6:$A$446,$B$10:$B$494,PURCHASE!$E$6:$E$446)</f>
        <v>66015.849999999991</v>
      </c>
      <c r="K26" s="310"/>
    </row>
    <row r="27" spans="1:11" ht="14.4" x14ac:dyDescent="0.3">
      <c r="A27" s="5">
        <v>18</v>
      </c>
      <c r="B27" s="417" t="s">
        <v>346</v>
      </c>
      <c r="C27" s="417" t="s">
        <v>407</v>
      </c>
      <c r="D27" s="440">
        <f>COUNTIF(PURCHASE!$A$6:$A$446,$B$10:$B$494)</f>
        <v>2</v>
      </c>
      <c r="E27" s="335">
        <f>SUMIF(PURCHASE!$A$6:$A$446,$B$10:$B$494,PURCHASE!$K$6:$K$446)</f>
        <v>2431</v>
      </c>
      <c r="F27" s="310">
        <f>SUMIF(PURCHASE!$A$6:$A$446,$B$10:$B$494,PURCHASE!$L$6:$L$446)</f>
        <v>0</v>
      </c>
      <c r="G27" s="310">
        <f>SUMIF(PURCHASE!$A$6:$A$446,$B$10:$B$494,PURCHASE!$M$6:$M$446)</f>
        <v>218.79</v>
      </c>
      <c r="H27" s="310">
        <f>SUMIF(PURCHASE!$A$6:$A$446,$B$10:$B$494,PURCHASE!$N$6:$N$446)</f>
        <v>218.79</v>
      </c>
      <c r="I27" s="310">
        <f>SUMIF(PURCHASE!$A$6:$A$446,$B$10:$B$494,PURCHASE!$O$6:$O$446)</f>
        <v>0</v>
      </c>
      <c r="J27" s="310">
        <f>SUMIF(PURCHASE!$A$6:$A$446,$B$10:$B$494,PURCHASE!$E$6:$E$446)</f>
        <v>2868.58</v>
      </c>
      <c r="K27" s="310"/>
    </row>
    <row r="28" spans="1:11" ht="14.4" x14ac:dyDescent="0.3">
      <c r="A28" s="5">
        <v>19</v>
      </c>
      <c r="B28" s="417" t="s">
        <v>347</v>
      </c>
      <c r="C28" s="417" t="s">
        <v>408</v>
      </c>
      <c r="D28" s="335">
        <f>COUNTIF(PURCHASE!$A$6:$A$446,$B$10:$B$494)</f>
        <v>0</v>
      </c>
      <c r="E28" s="335">
        <f>SUMIF(PURCHASE!$A$6:$A$446,$B$10:$B$494,PURCHASE!$K$6:$K$446)</f>
        <v>0</v>
      </c>
      <c r="F28" s="310">
        <f>SUMIF(PURCHASE!$A$6:$A$446,$B$10:$B$494,PURCHASE!$L$6:$L$446)</f>
        <v>0</v>
      </c>
      <c r="G28" s="310">
        <f>SUMIF(PURCHASE!$A$6:$A$446,$B$10:$B$494,PURCHASE!$M$6:$M$446)</f>
        <v>0</v>
      </c>
      <c r="H28" s="310">
        <f>SUMIF(PURCHASE!$A$6:$A$446,$B$10:$B$494,PURCHASE!$N$6:$N$446)</f>
        <v>0</v>
      </c>
      <c r="I28" s="310">
        <f>SUMIF(PURCHASE!$A$6:$A$446,$B$10:$B$494,PURCHASE!$O$6:$O$446)</f>
        <v>0</v>
      </c>
      <c r="J28" s="310">
        <f>SUMIF(PURCHASE!$A$6:$A$446,$B$10:$B$494,PURCHASE!$E$6:$E$446)</f>
        <v>0</v>
      </c>
      <c r="K28" s="310"/>
    </row>
    <row r="29" spans="1:11" ht="14.4" x14ac:dyDescent="0.3">
      <c r="A29" s="5">
        <v>20</v>
      </c>
      <c r="B29" s="417" t="s">
        <v>348</v>
      </c>
      <c r="C29" s="417" t="s">
        <v>409</v>
      </c>
      <c r="D29" s="440">
        <f>COUNTIF(PURCHASE!$A$6:$A$446,$B$10:$B$494)</f>
        <v>6</v>
      </c>
      <c r="E29" s="335">
        <f>SUMIF(PURCHASE!$A$6:$A$446,$B$10:$B$494,PURCHASE!$K$6:$K$446)</f>
        <v>71508.08</v>
      </c>
      <c r="F29" s="310">
        <f>SUMIF(PURCHASE!$A$6:$A$446,$B$10:$B$494,PURCHASE!$L$6:$L$446)</f>
        <v>0</v>
      </c>
      <c r="G29" s="310">
        <f>SUMIF(PURCHASE!$A$6:$A$446,$B$10:$B$494,PURCHASE!$M$6:$M$446)</f>
        <v>6435.7271999999994</v>
      </c>
      <c r="H29" s="310">
        <f>SUMIF(PURCHASE!$A$6:$A$446,$B$10:$B$494,PURCHASE!$N$6:$N$446)</f>
        <v>6435.7271999999994</v>
      </c>
      <c r="I29" s="310">
        <f>SUMIF(PURCHASE!$A$6:$A$446,$B$10:$B$494,PURCHASE!$O$6:$O$446)</f>
        <v>0</v>
      </c>
      <c r="J29" s="310">
        <f>SUMIF(PURCHASE!$A$6:$A$446,$B$10:$B$494,PURCHASE!$E$6:$E$446)</f>
        <v>84379.534400000004</v>
      </c>
      <c r="K29" s="310"/>
    </row>
    <row r="30" spans="1:11" ht="14.4" x14ac:dyDescent="0.3">
      <c r="A30" s="5">
        <v>21</v>
      </c>
      <c r="B30" s="417" t="s">
        <v>349</v>
      </c>
      <c r="C30" s="417" t="s">
        <v>410</v>
      </c>
      <c r="D30" s="335">
        <f>COUNTIF(PURCHASE!$A$6:$A$446,$B$10:$B$494)</f>
        <v>0</v>
      </c>
      <c r="E30" s="335">
        <f>SUMIF(PURCHASE!$A$6:$A$446,$B$10:$B$494,PURCHASE!$K$6:$K$446)</f>
        <v>0</v>
      </c>
      <c r="F30" s="310">
        <f>SUMIF(PURCHASE!$A$6:$A$446,$B$10:$B$494,PURCHASE!$L$6:$L$446)</f>
        <v>0</v>
      </c>
      <c r="G30" s="310">
        <f>SUMIF(PURCHASE!$A$6:$A$446,$B$10:$B$494,PURCHASE!$M$6:$M$446)</f>
        <v>0</v>
      </c>
      <c r="H30" s="310">
        <f>SUMIF(PURCHASE!$A$6:$A$446,$B$10:$B$494,PURCHASE!$N$6:$N$446)</f>
        <v>0</v>
      </c>
      <c r="I30" s="310">
        <f>SUMIF(PURCHASE!$A$6:$A$446,$B$10:$B$494,PURCHASE!$O$6:$O$446)</f>
        <v>0</v>
      </c>
      <c r="J30" s="310">
        <f>SUMIF(PURCHASE!$A$6:$A$446,$B$10:$B$494,PURCHASE!$E$6:$E$446)</f>
        <v>0</v>
      </c>
      <c r="K30" s="310"/>
    </row>
    <row r="31" spans="1:11" ht="14.4" x14ac:dyDescent="0.3">
      <c r="A31" s="5">
        <v>22</v>
      </c>
      <c r="B31" s="417" t="s">
        <v>350</v>
      </c>
      <c r="C31" s="417" t="s">
        <v>411</v>
      </c>
      <c r="D31" s="440">
        <f>COUNTIF(PURCHASE!$A$6:$A$446,$B$10:$B$494)</f>
        <v>4</v>
      </c>
      <c r="E31" s="335">
        <f>SUMIF(PURCHASE!$A$6:$A$446,$B$10:$B$494,PURCHASE!$K$6:$K$446)</f>
        <v>142183.79999999999</v>
      </c>
      <c r="F31" s="310">
        <f>SUMIF(PURCHASE!$A$6:$A$446,$B$10:$B$494,PURCHASE!$L$6:$L$446)</f>
        <v>0</v>
      </c>
      <c r="G31" s="310">
        <f>SUMIF(PURCHASE!$A$6:$A$446,$B$10:$B$494,PURCHASE!$M$6:$M$446)</f>
        <v>19905.732000000004</v>
      </c>
      <c r="H31" s="310">
        <f>SUMIF(PURCHASE!$A$6:$A$446,$B$10:$B$494,PURCHASE!$N$6:$N$446)</f>
        <v>19905.732000000004</v>
      </c>
      <c r="I31" s="310">
        <f>SUMIF(PURCHASE!$A$6:$A$446,$B$10:$B$494,PURCHASE!$O$6:$O$446)</f>
        <v>0</v>
      </c>
      <c r="J31" s="310">
        <f>SUMIF(PURCHASE!$A$6:$A$446,$B$10:$B$494,PURCHASE!$E$6:$E$446)</f>
        <v>181995.26400000002</v>
      </c>
      <c r="K31" s="310"/>
    </row>
    <row r="32" spans="1:11" ht="14.4" x14ac:dyDescent="0.3">
      <c r="A32" s="5">
        <v>23</v>
      </c>
      <c r="B32" s="417" t="s">
        <v>351</v>
      </c>
      <c r="C32" s="417" t="s">
        <v>412</v>
      </c>
      <c r="D32" s="440">
        <f>COUNTIF(PURCHASE!$A$6:$A$446,$B$10:$B$494)</f>
        <v>1</v>
      </c>
      <c r="E32" s="335">
        <f>SUMIF(PURCHASE!$A$6:$A$446,$B$10:$B$494,PURCHASE!$K$6:$K$446)</f>
        <v>11596.64</v>
      </c>
      <c r="F32" s="310">
        <f>SUMIF(PURCHASE!$A$6:$A$446,$B$10:$B$494,PURCHASE!$L$6:$L$446)</f>
        <v>0</v>
      </c>
      <c r="G32" s="310">
        <f>SUMIF(PURCHASE!$A$6:$A$446,$B$10:$B$494,PURCHASE!$M$6:$M$446)</f>
        <v>1623.5296000000001</v>
      </c>
      <c r="H32" s="310">
        <f>SUMIF(PURCHASE!$A$6:$A$446,$B$10:$B$494,PURCHASE!$N$6:$N$446)</f>
        <v>1623.5296000000001</v>
      </c>
      <c r="I32" s="310">
        <f>SUMIF(PURCHASE!$A$6:$A$446,$B$10:$B$494,PURCHASE!$O$6:$O$446)</f>
        <v>0</v>
      </c>
      <c r="J32" s="310">
        <f>SUMIF(PURCHASE!$A$6:$A$446,$B$10:$B$494,PURCHASE!$E$6:$E$446)</f>
        <v>14843.699199999999</v>
      </c>
      <c r="K32" s="310"/>
    </row>
    <row r="33" spans="1:11" ht="14.4" x14ac:dyDescent="0.3">
      <c r="A33" s="5">
        <v>24</v>
      </c>
      <c r="B33" s="417" t="s">
        <v>352</v>
      </c>
      <c r="C33" s="417" t="s">
        <v>413</v>
      </c>
      <c r="D33" s="335">
        <f>COUNTIF(PURCHASE!$A$6:$A$446,$B$10:$B$494)</f>
        <v>0</v>
      </c>
      <c r="E33" s="335">
        <f>SUMIF(PURCHASE!$A$6:$A$446,$B$10:$B$494,PURCHASE!$K$6:$K$446)</f>
        <v>0</v>
      </c>
      <c r="F33" s="310">
        <f>SUMIF(PURCHASE!$A$6:$A$446,$B$10:$B$494,PURCHASE!$L$6:$L$446)</f>
        <v>0</v>
      </c>
      <c r="G33" s="310">
        <f>SUMIF(PURCHASE!$A$6:$A$446,$B$10:$B$494,PURCHASE!$M$6:$M$446)</f>
        <v>0</v>
      </c>
      <c r="H33" s="310">
        <f>SUMIF(PURCHASE!$A$6:$A$446,$B$10:$B$494,PURCHASE!$N$6:$N$446)</f>
        <v>0</v>
      </c>
      <c r="I33" s="310">
        <f>SUMIF(PURCHASE!$A$6:$A$446,$B$10:$B$494,PURCHASE!$O$6:$O$446)</f>
        <v>0</v>
      </c>
      <c r="J33" s="310">
        <f>SUMIF(PURCHASE!$A$6:$A$446,$B$10:$B$494,PURCHASE!$E$6:$E$446)</f>
        <v>0</v>
      </c>
      <c r="K33" s="310"/>
    </row>
    <row r="34" spans="1:11" ht="14.4" x14ac:dyDescent="0.3">
      <c r="A34" s="5">
        <v>25</v>
      </c>
      <c r="B34" s="417" t="s">
        <v>353</v>
      </c>
      <c r="C34" s="417" t="s">
        <v>414</v>
      </c>
      <c r="D34" s="440">
        <f>COUNTIF(PURCHASE!$A$6:$A$446,$B$10:$B$494)</f>
        <v>2</v>
      </c>
      <c r="E34" s="335">
        <f>SUMIF(PURCHASE!$A$6:$A$446,$B$10:$B$494,PURCHASE!$K$6:$K$446)</f>
        <v>650</v>
      </c>
      <c r="F34" s="310">
        <f>SUMIF(PURCHASE!$A$6:$A$446,$B$10:$B$494,PURCHASE!$L$6:$L$446)</f>
        <v>0</v>
      </c>
      <c r="G34" s="310">
        <f>SUMIF(PURCHASE!$A$6:$A$446,$B$10:$B$494,PURCHASE!$M$6:$M$446)</f>
        <v>58.5</v>
      </c>
      <c r="H34" s="310">
        <f>SUMIF(PURCHASE!$A$6:$A$446,$B$10:$B$494,PURCHASE!$N$6:$N$446)</f>
        <v>58.5</v>
      </c>
      <c r="I34" s="310">
        <f>SUMIF(PURCHASE!$A$6:$A$446,$B$10:$B$494,PURCHASE!$O$6:$O$446)</f>
        <v>0</v>
      </c>
      <c r="J34" s="310">
        <f>SUMIF(PURCHASE!$A$6:$A$446,$B$10:$B$494,PURCHASE!$E$6:$E$446)</f>
        <v>767</v>
      </c>
      <c r="K34" s="310"/>
    </row>
    <row r="35" spans="1:11" ht="14.4" x14ac:dyDescent="0.3">
      <c r="A35" s="5">
        <v>26</v>
      </c>
      <c r="B35" s="417" t="s">
        <v>865</v>
      </c>
      <c r="C35" s="417" t="s">
        <v>415</v>
      </c>
      <c r="D35" s="440">
        <f>COUNTIF(PURCHASE!$A$6:$A$446,$B$10:$B$494)</f>
        <v>7</v>
      </c>
      <c r="E35" s="335">
        <f>SUMIF(PURCHASE!$A$6:$A$446,$B$10:$B$494,PURCHASE!$K$6:$K$446)</f>
        <v>226195.8</v>
      </c>
      <c r="F35" s="310">
        <f>SUMIF(PURCHASE!$A$6:$A$446,$B$10:$B$494,PURCHASE!$L$6:$L$446)</f>
        <v>0</v>
      </c>
      <c r="G35" s="310">
        <f>SUMIF(PURCHASE!$A$6:$A$446,$B$10:$B$494,PURCHASE!$M$6:$M$446)</f>
        <v>30818.531999999999</v>
      </c>
      <c r="H35" s="310">
        <f>SUMIF(PURCHASE!$A$6:$A$446,$B$10:$B$494,PURCHASE!$N$6:$N$446)</f>
        <v>30818.531999999999</v>
      </c>
      <c r="I35" s="310">
        <f>SUMIF(PURCHASE!$A$6:$A$446,$B$10:$B$494,PURCHASE!$O$6:$O$446)</f>
        <v>0</v>
      </c>
      <c r="J35" s="310">
        <f>SUMIF(PURCHASE!$A$6:$A$446,$B$10:$B$494,PURCHASE!$E$6:$E$446)</f>
        <v>287832.864</v>
      </c>
      <c r="K35" s="310"/>
    </row>
    <row r="36" spans="1:11" ht="14.4" x14ac:dyDescent="0.3">
      <c r="A36" s="5">
        <v>27</v>
      </c>
      <c r="B36" s="417" t="s">
        <v>29</v>
      </c>
      <c r="C36" s="417" t="s">
        <v>50</v>
      </c>
      <c r="D36" s="335">
        <f>COUNTIF(PURCHASE!$A$6:$A$446,$B$10:$B$494)</f>
        <v>0</v>
      </c>
      <c r="E36" s="335">
        <f>SUMIF(PURCHASE!$A$6:$A$446,$B$10:$B$494,PURCHASE!$K$6:$K$446)</f>
        <v>0</v>
      </c>
      <c r="F36" s="310">
        <f>SUMIF(PURCHASE!$A$6:$A$446,$B$10:$B$494,PURCHASE!$L$6:$L$446)</f>
        <v>0</v>
      </c>
      <c r="G36" s="310">
        <f>SUMIF(PURCHASE!$A$6:$A$446,$B$10:$B$494,PURCHASE!$M$6:$M$446)</f>
        <v>0</v>
      </c>
      <c r="H36" s="310">
        <f>SUMIF(PURCHASE!$A$6:$A$446,$B$10:$B$494,PURCHASE!$N$6:$N$446)</f>
        <v>0</v>
      </c>
      <c r="I36" s="310">
        <f>SUMIF(PURCHASE!$A$6:$A$446,$B$10:$B$494,PURCHASE!$O$6:$O$446)</f>
        <v>0</v>
      </c>
      <c r="J36" s="310">
        <f>SUMIF(PURCHASE!$A$6:$A$446,$B$10:$B$494,PURCHASE!$E$6:$E$446)</f>
        <v>0</v>
      </c>
      <c r="K36" s="310"/>
    </row>
    <row r="37" spans="1:11" ht="14.4" x14ac:dyDescent="0.3">
      <c r="A37" s="5">
        <v>28</v>
      </c>
      <c r="B37" s="419" t="s">
        <v>354</v>
      </c>
      <c r="C37" s="417" t="s">
        <v>416</v>
      </c>
      <c r="D37" s="335">
        <f>COUNTIF(PURCHASE!$A$6:$A$446,$B$10:$B$494)</f>
        <v>0</v>
      </c>
      <c r="E37" s="335">
        <f>SUMIF(PURCHASE!$A$6:$A$446,$B$10:$B$494,PURCHASE!$K$6:$K$446)</f>
        <v>0</v>
      </c>
      <c r="F37" s="310">
        <f>SUMIF(PURCHASE!$A$6:$A$446,$B$10:$B$494,PURCHASE!$L$6:$L$446)</f>
        <v>0</v>
      </c>
      <c r="G37" s="310">
        <f>SUMIF(PURCHASE!$A$6:$A$446,$B$10:$B$494,PURCHASE!$M$6:$M$446)</f>
        <v>0</v>
      </c>
      <c r="H37" s="310">
        <f>SUMIF(PURCHASE!$A$6:$A$446,$B$10:$B$494,PURCHASE!$N$6:$N$446)</f>
        <v>0</v>
      </c>
      <c r="I37" s="310">
        <f>SUMIF(PURCHASE!$A$6:$A$446,$B$10:$B$494,PURCHASE!$O$6:$O$446)</f>
        <v>0</v>
      </c>
      <c r="J37" s="310">
        <f>SUMIF(PURCHASE!$A$6:$A$446,$B$10:$B$494,PURCHASE!$E$6:$E$446)</f>
        <v>0</v>
      </c>
      <c r="K37" s="310"/>
    </row>
    <row r="38" spans="1:11" ht="14.4" x14ac:dyDescent="0.3">
      <c r="A38" s="5">
        <v>29</v>
      </c>
      <c r="B38" s="417" t="s">
        <v>866</v>
      </c>
      <c r="C38" s="417" t="s">
        <v>867</v>
      </c>
      <c r="D38" s="440">
        <f>COUNTIF(PURCHASE!$A$6:$A$446,$B$10:$B$494)</f>
        <v>1</v>
      </c>
      <c r="E38" s="335">
        <f>SUMIF(PURCHASE!$A$6:$A$446,$B$10:$B$494,PURCHASE!$K$6:$K$446)</f>
        <v>376945</v>
      </c>
      <c r="F38" s="310">
        <f>SUMIF(PURCHASE!$A$6:$A$446,$B$10:$B$494,PURCHASE!$L$6:$L$446)</f>
        <v>0</v>
      </c>
      <c r="G38" s="310">
        <f>SUMIF(PURCHASE!$A$6:$A$446,$B$10:$B$494,PURCHASE!$M$6:$M$446)</f>
        <v>52772.3</v>
      </c>
      <c r="H38" s="310">
        <f>SUMIF(PURCHASE!$A$6:$A$446,$B$10:$B$494,PURCHASE!$N$6:$N$446)</f>
        <v>52772.3</v>
      </c>
      <c r="I38" s="310">
        <f>SUMIF(PURCHASE!$A$6:$A$446,$B$10:$B$494,PURCHASE!$O$6:$O$446)</f>
        <v>0</v>
      </c>
      <c r="J38" s="310">
        <f>SUMIF(PURCHASE!$A$6:$A$446,$B$10:$B$494,PURCHASE!$E$6:$E$446)</f>
        <v>482489.59999999998</v>
      </c>
      <c r="K38" s="310"/>
    </row>
    <row r="39" spans="1:11" ht="14.4" x14ac:dyDescent="0.3">
      <c r="A39" s="5">
        <v>30</v>
      </c>
      <c r="B39" s="417" t="s">
        <v>355</v>
      </c>
      <c r="C39" s="417" t="s">
        <v>417</v>
      </c>
      <c r="D39" s="440">
        <f>COUNTIF(PURCHASE!$A$6:$A$446,$B$10:$B$494)</f>
        <v>2</v>
      </c>
      <c r="E39" s="335">
        <f>SUMIF(PURCHASE!$A$6:$A$446,$B$10:$B$494,PURCHASE!$K$6:$K$446)</f>
        <v>4575.5</v>
      </c>
      <c r="F39" s="310">
        <f>SUMIF(PURCHASE!$A$6:$A$446,$B$10:$B$494,PURCHASE!$L$6:$L$446)</f>
        <v>0</v>
      </c>
      <c r="G39" s="310">
        <f>SUMIF(PURCHASE!$A$6:$A$446,$B$10:$B$494,PURCHASE!$M$6:$M$446)</f>
        <v>411.79500000000002</v>
      </c>
      <c r="H39" s="310">
        <f>SUMIF(PURCHASE!$A$6:$A$446,$B$10:$B$494,PURCHASE!$N$6:$N$446)</f>
        <v>411.79500000000002</v>
      </c>
      <c r="I39" s="310">
        <f>SUMIF(PURCHASE!$A$6:$A$446,$B$10:$B$494,PURCHASE!$O$6:$O$446)</f>
        <v>0</v>
      </c>
      <c r="J39" s="310">
        <f>SUMIF(PURCHASE!$A$6:$A$446,$B$10:$B$494,PURCHASE!$E$6:$E$446)</f>
        <v>5399.09</v>
      </c>
      <c r="K39" s="310"/>
    </row>
    <row r="40" spans="1:11" ht="14.4" x14ac:dyDescent="0.3">
      <c r="A40" s="5">
        <v>31</v>
      </c>
      <c r="B40" s="417" t="s">
        <v>356</v>
      </c>
      <c r="C40" s="417" t="s">
        <v>418</v>
      </c>
      <c r="D40" s="440">
        <f>COUNTIF(PURCHASE!$A$6:$A$446,$B$10:$B$494)</f>
        <v>11</v>
      </c>
      <c r="E40" s="335">
        <f>SUMIF(PURCHASE!$A$6:$A$446,$B$10:$B$494,PURCHASE!$K$6:$K$446)</f>
        <v>12511.14</v>
      </c>
      <c r="F40" s="310">
        <f>SUMIF(PURCHASE!$A$6:$A$446,$B$10:$B$494,PURCHASE!$L$6:$L$446)</f>
        <v>0</v>
      </c>
      <c r="G40" s="310">
        <f>SUMIF(PURCHASE!$A$6:$A$446,$B$10:$B$494,PURCHASE!$M$6:$M$446)</f>
        <v>1305.1476</v>
      </c>
      <c r="H40" s="310">
        <f>SUMIF(PURCHASE!$A$6:$A$446,$B$10:$B$494,PURCHASE!$N$6:$N$446)</f>
        <v>1305.1476</v>
      </c>
      <c r="I40" s="310">
        <f>SUMIF(PURCHASE!$A$6:$A$446,$B$10:$B$494,PURCHASE!$O$6:$O$446)</f>
        <v>0</v>
      </c>
      <c r="J40" s="310">
        <f>SUMIF(PURCHASE!$A$6:$A$446,$B$10:$B$494,PURCHASE!$E$6:$E$446)</f>
        <v>15121.435199999998</v>
      </c>
      <c r="K40" s="310"/>
    </row>
    <row r="41" spans="1:11" ht="14.4" x14ac:dyDescent="0.3">
      <c r="A41" s="5">
        <v>32</v>
      </c>
      <c r="B41" s="417" t="s">
        <v>357</v>
      </c>
      <c r="C41" s="417" t="s">
        <v>419</v>
      </c>
      <c r="D41" s="440">
        <f>COUNTIF(PURCHASE!$A$6:$A$446,$B$10:$B$494)</f>
        <v>2</v>
      </c>
      <c r="E41" s="335">
        <f>SUMIF(PURCHASE!$A$6:$A$446,$B$10:$B$494,PURCHASE!$K$6:$K$446)</f>
        <v>979227</v>
      </c>
      <c r="F41" s="310">
        <f>SUMIF(PURCHASE!$A$6:$A$446,$B$10:$B$494,PURCHASE!$L$6:$L$446)</f>
        <v>0</v>
      </c>
      <c r="G41" s="310">
        <f>SUMIF(PURCHASE!$A$6:$A$446,$B$10:$B$494,PURCHASE!$M$6:$M$446)</f>
        <v>88130.43</v>
      </c>
      <c r="H41" s="310">
        <f>SUMIF(PURCHASE!$A$6:$A$446,$B$10:$B$494,PURCHASE!$N$6:$N$446)</f>
        <v>88130.43</v>
      </c>
      <c r="I41" s="310">
        <f>SUMIF(PURCHASE!$A$6:$A$446,$B$10:$B$494,PURCHASE!$O$6:$O$446)</f>
        <v>0</v>
      </c>
      <c r="J41" s="310">
        <f>SUMIF(PURCHASE!$A$6:$A$446,$B$10:$B$494,PURCHASE!$E$6:$E$446)</f>
        <v>1155487.8599999999</v>
      </c>
      <c r="K41" s="310"/>
    </row>
    <row r="42" spans="1:11" ht="14.4" x14ac:dyDescent="0.3">
      <c r="A42" s="5">
        <v>33</v>
      </c>
      <c r="B42" s="420" t="s">
        <v>358</v>
      </c>
      <c r="C42" s="420" t="s">
        <v>420</v>
      </c>
      <c r="D42" s="440">
        <f>COUNTIF(PURCHASE!$A$6:$A$446,$B$10:$B$494)</f>
        <v>1</v>
      </c>
      <c r="E42" s="335">
        <f>SUMIF(PURCHASE!$A$6:$A$446,$B$10:$B$494,PURCHASE!$K$6:$K$446)</f>
        <v>3500</v>
      </c>
      <c r="F42" s="310">
        <f>SUMIF(PURCHASE!$A$6:$A$446,$B$10:$B$494,PURCHASE!$L$6:$L$446)</f>
        <v>0</v>
      </c>
      <c r="G42" s="310">
        <f>SUMIF(PURCHASE!$A$6:$A$446,$B$10:$B$494,PURCHASE!$M$6:$M$446)</f>
        <v>315</v>
      </c>
      <c r="H42" s="310">
        <f>SUMIF(PURCHASE!$A$6:$A$446,$B$10:$B$494,PURCHASE!$N$6:$N$446)</f>
        <v>315</v>
      </c>
      <c r="I42" s="310">
        <f>SUMIF(PURCHASE!$A$6:$A$446,$B$10:$B$494,PURCHASE!$O$6:$O$446)</f>
        <v>0</v>
      </c>
      <c r="J42" s="310">
        <f>SUMIF(PURCHASE!$A$6:$A$446,$B$10:$B$494,PURCHASE!$E$6:$E$446)</f>
        <v>4130</v>
      </c>
      <c r="K42" s="310"/>
    </row>
    <row r="43" spans="1:11" ht="14.4" x14ac:dyDescent="0.3">
      <c r="A43" s="5">
        <v>34</v>
      </c>
      <c r="B43" s="417" t="s">
        <v>359</v>
      </c>
      <c r="C43" s="417" t="s">
        <v>421</v>
      </c>
      <c r="D43" s="335">
        <f>COUNTIF(PURCHASE!$A$6:$A$446,$B$10:$B$494)</f>
        <v>0</v>
      </c>
      <c r="E43" s="335">
        <f>SUMIF(PURCHASE!$A$6:$A$446,$B$10:$B$494,PURCHASE!$K$6:$K$446)</f>
        <v>0</v>
      </c>
      <c r="F43" s="310">
        <f>SUMIF(PURCHASE!$A$6:$A$446,$B$10:$B$494,PURCHASE!$L$6:$L$446)</f>
        <v>0</v>
      </c>
      <c r="G43" s="310">
        <f>SUMIF(PURCHASE!$A$6:$A$446,$B$10:$B$494,PURCHASE!$M$6:$M$446)</f>
        <v>0</v>
      </c>
      <c r="H43" s="310">
        <f>SUMIF(PURCHASE!$A$6:$A$446,$B$10:$B$494,PURCHASE!$N$6:$N$446)</f>
        <v>0</v>
      </c>
      <c r="I43" s="310">
        <f>SUMIF(PURCHASE!$A$6:$A$446,$B$10:$B$494,PURCHASE!$O$6:$O$446)</f>
        <v>0</v>
      </c>
      <c r="J43" s="310">
        <f>SUMIF(PURCHASE!$A$6:$A$446,$B$10:$B$494,PURCHASE!$E$6:$E$446)</f>
        <v>0</v>
      </c>
      <c r="K43" s="310"/>
    </row>
    <row r="44" spans="1:11" ht="14.4" x14ac:dyDescent="0.3">
      <c r="A44" s="5">
        <v>35</v>
      </c>
      <c r="B44" s="421" t="s">
        <v>360</v>
      </c>
      <c r="C44" s="421" t="s">
        <v>422</v>
      </c>
      <c r="D44" s="440">
        <f>COUNTIF(PURCHASE!$A$6:$A$446,$B$10:$B$494)</f>
        <v>1</v>
      </c>
      <c r="E44" s="335">
        <f>SUMIF(PURCHASE!$A$6:$A$446,$B$10:$B$494,PURCHASE!$K$6:$K$446)</f>
        <v>2700</v>
      </c>
      <c r="F44" s="310">
        <f>SUMIF(PURCHASE!$A$6:$A$446,$B$10:$B$494,PURCHASE!$L$6:$L$446)</f>
        <v>0</v>
      </c>
      <c r="G44" s="310">
        <f>SUMIF(PURCHASE!$A$6:$A$446,$B$10:$B$494,PURCHASE!$M$6:$M$446)</f>
        <v>162</v>
      </c>
      <c r="H44" s="310">
        <f>SUMIF(PURCHASE!$A$6:$A$446,$B$10:$B$494,PURCHASE!$N$6:$N$446)</f>
        <v>162</v>
      </c>
      <c r="I44" s="310">
        <f>SUMIF(PURCHASE!$A$6:$A$446,$B$10:$B$494,PURCHASE!$O$6:$O$446)</f>
        <v>0</v>
      </c>
      <c r="J44" s="310">
        <f>SUMIF(PURCHASE!$A$6:$A$446,$B$10:$B$494,PURCHASE!$E$6:$E$446)</f>
        <v>3024</v>
      </c>
      <c r="K44" s="310"/>
    </row>
    <row r="45" spans="1:11" ht="14.4" x14ac:dyDescent="0.3">
      <c r="A45" s="5">
        <v>36</v>
      </c>
      <c r="B45" s="417" t="s">
        <v>361</v>
      </c>
      <c r="C45" s="417" t="s">
        <v>423</v>
      </c>
      <c r="D45" s="335">
        <f>COUNTIF(PURCHASE!$A$6:$A$446,$B$10:$B$494)</f>
        <v>0</v>
      </c>
      <c r="E45" s="335">
        <f>SUMIF(PURCHASE!$A$6:$A$446,$B$10:$B$494,PURCHASE!$K$6:$K$446)</f>
        <v>0</v>
      </c>
      <c r="F45" s="310">
        <f>SUMIF(PURCHASE!$A$6:$A$446,$B$10:$B$494,PURCHASE!$L$6:$L$446)</f>
        <v>0</v>
      </c>
      <c r="G45" s="310">
        <f>SUMIF(PURCHASE!$A$6:$A$446,$B$10:$B$494,PURCHASE!$M$6:$M$446)</f>
        <v>0</v>
      </c>
      <c r="H45" s="310">
        <f>SUMIF(PURCHASE!$A$6:$A$446,$B$10:$B$494,PURCHASE!$N$6:$N$446)</f>
        <v>0</v>
      </c>
      <c r="I45" s="310">
        <f>SUMIF(PURCHASE!$A$6:$A$446,$B$10:$B$494,PURCHASE!$O$6:$O$446)</f>
        <v>0</v>
      </c>
      <c r="J45" s="310">
        <f>SUMIF(PURCHASE!$A$6:$A$446,$B$10:$B$494,PURCHASE!$E$6:$E$446)</f>
        <v>0</v>
      </c>
      <c r="K45" s="310"/>
    </row>
    <row r="46" spans="1:11" ht="14.4" x14ac:dyDescent="0.3">
      <c r="A46" s="5">
        <v>37</v>
      </c>
      <c r="B46" s="417" t="s">
        <v>25</v>
      </c>
      <c r="C46" s="417" t="s">
        <v>46</v>
      </c>
      <c r="D46" s="335">
        <f>COUNTIF(PURCHASE!$A$6:$A$446,$B$10:$B$494)</f>
        <v>0</v>
      </c>
      <c r="E46" s="335">
        <f>SUMIF(PURCHASE!$A$6:$A$446,$B$10:$B$494,PURCHASE!$K$6:$K$446)</f>
        <v>0</v>
      </c>
      <c r="F46" s="310">
        <f>SUMIF(PURCHASE!$A$6:$A$446,$B$10:$B$494,PURCHASE!$L$6:$L$446)</f>
        <v>0</v>
      </c>
      <c r="G46" s="310">
        <f>SUMIF(PURCHASE!$A$6:$A$446,$B$10:$B$494,PURCHASE!$M$6:$M$446)</f>
        <v>0</v>
      </c>
      <c r="H46" s="310">
        <f>SUMIF(PURCHASE!$A$6:$A$446,$B$10:$B$494,PURCHASE!$N$6:$N$446)</f>
        <v>0</v>
      </c>
      <c r="I46" s="310">
        <f>SUMIF(PURCHASE!$A$6:$A$446,$B$10:$B$494,PURCHASE!$O$6:$O$446)</f>
        <v>0</v>
      </c>
      <c r="J46" s="310">
        <f>SUMIF(PURCHASE!$A$6:$A$446,$B$10:$B$494,PURCHASE!$E$6:$E$446)</f>
        <v>0</v>
      </c>
      <c r="K46" s="310"/>
    </row>
    <row r="47" spans="1:11" ht="14.4" x14ac:dyDescent="0.3">
      <c r="A47" s="5">
        <v>38</v>
      </c>
      <c r="B47" s="3" t="s">
        <v>362</v>
      </c>
      <c r="C47" s="3" t="s">
        <v>424</v>
      </c>
      <c r="D47" s="335">
        <f>COUNTIF(PURCHASE!$A$6:$A$446,$B$10:$B$494)</f>
        <v>0</v>
      </c>
      <c r="E47" s="335">
        <f>SUMIF(PURCHASE!$A$6:$A$446,$B$10:$B$494,PURCHASE!$K$6:$K$446)</f>
        <v>0</v>
      </c>
      <c r="F47" s="310">
        <f>SUMIF(PURCHASE!$A$6:$A$446,$B$10:$B$494,PURCHASE!$L$6:$L$446)</f>
        <v>0</v>
      </c>
      <c r="G47" s="310">
        <f>SUMIF(PURCHASE!$A$6:$A$446,$B$10:$B$494,PURCHASE!$M$6:$M$446)</f>
        <v>0</v>
      </c>
      <c r="H47" s="310">
        <f>SUMIF(PURCHASE!$A$6:$A$446,$B$10:$B$494,PURCHASE!$N$6:$N$446)</f>
        <v>0</v>
      </c>
      <c r="I47" s="310">
        <f>SUMIF(PURCHASE!$A$6:$A$446,$B$10:$B$494,PURCHASE!$O$6:$O$446)</f>
        <v>0</v>
      </c>
      <c r="J47" s="310">
        <f>SUMIF(PURCHASE!$A$6:$A$446,$B$10:$B$494,PURCHASE!$E$6:$E$446)</f>
        <v>0</v>
      </c>
      <c r="K47" s="310"/>
    </row>
    <row r="48" spans="1:11" ht="14.4" x14ac:dyDescent="0.3">
      <c r="A48" s="5">
        <v>39</v>
      </c>
      <c r="B48" s="3" t="s">
        <v>363</v>
      </c>
      <c r="C48" s="3" t="s">
        <v>425</v>
      </c>
      <c r="D48" s="440">
        <f>COUNTIF(PURCHASE!$A$6:$A$446,$B$10:$B$494)</f>
        <v>6</v>
      </c>
      <c r="E48" s="335">
        <f>SUMIF(PURCHASE!$A$6:$A$446,$B$10:$B$494,PURCHASE!$K$6:$K$446)</f>
        <v>65380</v>
      </c>
      <c r="F48" s="310">
        <f>SUMIF(PURCHASE!$A$6:$A$446,$B$10:$B$494,PURCHASE!$L$6:$L$446)</f>
        <v>0</v>
      </c>
      <c r="G48" s="310">
        <f>SUMIF(PURCHASE!$A$6:$A$446,$B$10:$B$494,PURCHASE!$M$6:$M$446)</f>
        <v>8746.1</v>
      </c>
      <c r="H48" s="310">
        <f>SUMIF(PURCHASE!$A$6:$A$446,$B$10:$B$494,PURCHASE!$N$6:$N$446)</f>
        <v>8746.1</v>
      </c>
      <c r="I48" s="310">
        <f>SUMIF(PURCHASE!$A$6:$A$446,$B$10:$B$494,PURCHASE!$O$6:$O$446)</f>
        <v>0</v>
      </c>
      <c r="J48" s="310">
        <f>SUMIF(PURCHASE!$A$6:$A$446,$B$10:$B$494,PURCHASE!$E$6:$E$446)</f>
        <v>82872.200000000012</v>
      </c>
      <c r="K48" s="310"/>
    </row>
    <row r="49" spans="1:11" ht="14.4" x14ac:dyDescent="0.3">
      <c r="A49" s="5">
        <v>40</v>
      </c>
      <c r="B49" s="3" t="s">
        <v>364</v>
      </c>
      <c r="C49" s="3" t="s">
        <v>426</v>
      </c>
      <c r="D49" s="335">
        <f>COUNTIF(PURCHASE!$A$6:$A$446,$B$10:$B$494)</f>
        <v>0</v>
      </c>
      <c r="E49" s="335">
        <f>SUMIF(PURCHASE!$A$6:$A$446,$B$10:$B$494,PURCHASE!$K$6:$K$446)</f>
        <v>0</v>
      </c>
      <c r="F49" s="310">
        <f>SUMIF(PURCHASE!$A$6:$A$446,$B$10:$B$494,PURCHASE!$L$6:$L$446)</f>
        <v>0</v>
      </c>
      <c r="G49" s="310">
        <f>SUMIF(PURCHASE!$A$6:$A$446,$B$10:$B$494,PURCHASE!$M$6:$M$446)</f>
        <v>0</v>
      </c>
      <c r="H49" s="310">
        <f>SUMIF(PURCHASE!$A$6:$A$446,$B$10:$B$494,PURCHASE!$N$6:$N$446)</f>
        <v>0</v>
      </c>
      <c r="I49" s="310">
        <f>SUMIF(PURCHASE!$A$6:$A$446,$B$10:$B$494,PURCHASE!$O$6:$O$446)</f>
        <v>0</v>
      </c>
      <c r="J49" s="310">
        <f>SUMIF(PURCHASE!$A$6:$A$446,$B$10:$B$494,PURCHASE!$E$6:$E$446)</f>
        <v>0</v>
      </c>
      <c r="K49" s="310"/>
    </row>
    <row r="50" spans="1:11" ht="14.4" x14ac:dyDescent="0.3">
      <c r="A50" s="5">
        <v>41</v>
      </c>
      <c r="B50" s="3" t="s">
        <v>365</v>
      </c>
      <c r="C50" s="3" t="s">
        <v>427</v>
      </c>
      <c r="D50" s="335">
        <f>COUNTIF(PURCHASE!$A$6:$A$446,$B$10:$B$494)</f>
        <v>0</v>
      </c>
      <c r="E50" s="335">
        <f>SUMIF(PURCHASE!$A$6:$A$446,$B$10:$B$494,PURCHASE!$K$6:$K$446)</f>
        <v>0</v>
      </c>
      <c r="F50" s="310">
        <f>SUMIF(PURCHASE!$A$6:$A$446,$B$10:$B$494,PURCHASE!$L$6:$L$446)</f>
        <v>0</v>
      </c>
      <c r="G50" s="310">
        <f>SUMIF(PURCHASE!$A$6:$A$446,$B$10:$B$494,PURCHASE!$M$6:$M$446)</f>
        <v>0</v>
      </c>
      <c r="H50" s="310">
        <f>SUMIF(PURCHASE!$A$6:$A$446,$B$10:$B$494,PURCHASE!$N$6:$N$446)</f>
        <v>0</v>
      </c>
      <c r="I50" s="310">
        <f>SUMIF(PURCHASE!$A$6:$A$446,$B$10:$B$494,PURCHASE!$O$6:$O$446)</f>
        <v>0</v>
      </c>
      <c r="J50" s="310">
        <f>SUMIF(PURCHASE!$A$6:$A$446,$B$10:$B$494,PURCHASE!$E$6:$E$446)</f>
        <v>0</v>
      </c>
      <c r="K50" s="310"/>
    </row>
    <row r="51" spans="1:11" ht="14.4" x14ac:dyDescent="0.3">
      <c r="A51" s="5">
        <v>42</v>
      </c>
      <c r="B51" s="3" t="s">
        <v>28</v>
      </c>
      <c r="C51" s="3" t="s">
        <v>428</v>
      </c>
      <c r="D51" s="335">
        <f>COUNTIF(PURCHASE!$A$6:$A$446,$B$10:$B$494)</f>
        <v>0</v>
      </c>
      <c r="E51" s="335">
        <f>SUMIF(PURCHASE!$A$6:$A$446,$B$10:$B$494,PURCHASE!$K$6:$K$446)</f>
        <v>0</v>
      </c>
      <c r="F51" s="310">
        <f>SUMIF(PURCHASE!$A$6:$A$446,$B$10:$B$494,PURCHASE!$L$6:$L$446)</f>
        <v>0</v>
      </c>
      <c r="G51" s="310">
        <f>SUMIF(PURCHASE!$A$6:$A$446,$B$10:$B$494,PURCHASE!$M$6:$M$446)</f>
        <v>0</v>
      </c>
      <c r="H51" s="310">
        <f>SUMIF(PURCHASE!$A$6:$A$446,$B$10:$B$494,PURCHASE!$N$6:$N$446)</f>
        <v>0</v>
      </c>
      <c r="I51" s="310">
        <f>SUMIF(PURCHASE!$A$6:$A$446,$B$10:$B$494,PURCHASE!$O$6:$O$446)</f>
        <v>0</v>
      </c>
      <c r="J51" s="310">
        <f>SUMIF(PURCHASE!$A$6:$A$446,$B$10:$B$494,PURCHASE!$E$6:$E$446)</f>
        <v>0</v>
      </c>
      <c r="K51" s="310"/>
    </row>
    <row r="52" spans="1:11" ht="14.4" x14ac:dyDescent="0.3">
      <c r="A52" s="5">
        <v>43</v>
      </c>
      <c r="B52" s="3" t="s">
        <v>32</v>
      </c>
      <c r="C52" s="3" t="s">
        <v>53</v>
      </c>
      <c r="D52" s="335">
        <f>COUNTIF(PURCHASE!$A$6:$A$446,$B$10:$B$494)</f>
        <v>0</v>
      </c>
      <c r="E52" s="335">
        <f>SUMIF(PURCHASE!$A$6:$A$446,$B$10:$B$494,PURCHASE!$K$6:$K$446)</f>
        <v>0</v>
      </c>
      <c r="F52" s="310">
        <f>SUMIF(PURCHASE!$A$6:$A$446,$B$10:$B$494,PURCHASE!$L$6:$L$446)</f>
        <v>0</v>
      </c>
      <c r="G52" s="310">
        <f>SUMIF(PURCHASE!$A$6:$A$446,$B$10:$B$494,PURCHASE!$M$6:$M$446)</f>
        <v>0</v>
      </c>
      <c r="H52" s="310">
        <f>SUMIF(PURCHASE!$A$6:$A$446,$B$10:$B$494,PURCHASE!$N$6:$N$446)</f>
        <v>0</v>
      </c>
      <c r="I52" s="310">
        <f>SUMIF(PURCHASE!$A$6:$A$446,$B$10:$B$494,PURCHASE!$O$6:$O$446)</f>
        <v>0</v>
      </c>
      <c r="J52" s="310">
        <f>SUMIF(PURCHASE!$A$6:$A$446,$B$10:$B$494,PURCHASE!$E$6:$E$446)</f>
        <v>0</v>
      </c>
      <c r="K52" s="310"/>
    </row>
    <row r="53" spans="1:11" ht="14.4" x14ac:dyDescent="0.3">
      <c r="A53" s="5">
        <v>44</v>
      </c>
      <c r="B53" s="3" t="s">
        <v>366</v>
      </c>
      <c r="C53" s="3" t="s">
        <v>429</v>
      </c>
      <c r="D53" s="335">
        <f>COUNTIF(PURCHASE!$A$6:$A$446,$B$10:$B$494)</f>
        <v>0</v>
      </c>
      <c r="E53" s="335">
        <f>SUMIF(PURCHASE!$A$6:$A$446,$B$10:$B$494,PURCHASE!$K$6:$K$446)</f>
        <v>0</v>
      </c>
      <c r="F53" s="310">
        <f>SUMIF(PURCHASE!$A$6:$A$446,$B$10:$B$494,PURCHASE!$L$6:$L$446)</f>
        <v>0</v>
      </c>
      <c r="G53" s="310">
        <f>SUMIF(PURCHASE!$A$6:$A$446,$B$10:$B$494,PURCHASE!$M$6:$M$446)</f>
        <v>0</v>
      </c>
      <c r="H53" s="310">
        <f>SUMIF(PURCHASE!$A$6:$A$446,$B$10:$B$494,PURCHASE!$N$6:$N$446)</f>
        <v>0</v>
      </c>
      <c r="I53" s="310">
        <f>SUMIF(PURCHASE!$A$6:$A$446,$B$10:$B$494,PURCHASE!$O$6:$O$446)</f>
        <v>0</v>
      </c>
      <c r="J53" s="310">
        <f>SUMIF(PURCHASE!$A$6:$A$446,$B$10:$B$494,PURCHASE!$E$6:$E$446)</f>
        <v>0</v>
      </c>
      <c r="K53" s="310"/>
    </row>
    <row r="54" spans="1:11" ht="14.4" x14ac:dyDescent="0.3">
      <c r="A54" s="5">
        <v>45</v>
      </c>
      <c r="B54" s="417" t="s">
        <v>367</v>
      </c>
      <c r="C54" s="417" t="s">
        <v>430</v>
      </c>
      <c r="D54" s="440">
        <f>COUNTIF(PURCHASE!$A$6:$A$446,$B$10:$B$494)</f>
        <v>1</v>
      </c>
      <c r="E54" s="335">
        <f>SUMIF(PURCHASE!$A$6:$A$446,$B$10:$B$494,PURCHASE!$K$6:$K$446)</f>
        <v>4988.66</v>
      </c>
      <c r="F54" s="310">
        <f>SUMIF(PURCHASE!$A$6:$A$446,$B$10:$B$494,PURCHASE!$L$6:$L$446)</f>
        <v>0</v>
      </c>
      <c r="G54" s="310">
        <f>SUMIF(PURCHASE!$A$6:$A$446,$B$10:$B$494,PURCHASE!$M$6:$M$446)</f>
        <v>448.9794</v>
      </c>
      <c r="H54" s="310">
        <f>SUMIF(PURCHASE!$A$6:$A$446,$B$10:$B$494,PURCHASE!$N$6:$N$446)</f>
        <v>448.9794</v>
      </c>
      <c r="I54" s="310">
        <f>SUMIF(PURCHASE!$A$6:$A$446,$B$10:$B$494,PURCHASE!$O$6:$O$446)</f>
        <v>0</v>
      </c>
      <c r="J54" s="310">
        <f>SUMIF(PURCHASE!$A$6:$A$446,$B$10:$B$494,PURCHASE!$E$6:$E$446)</f>
        <v>5886.6188000000002</v>
      </c>
      <c r="K54" s="310"/>
    </row>
    <row r="55" spans="1:11" ht="14.4" x14ac:dyDescent="0.3">
      <c r="A55" s="5">
        <v>46</v>
      </c>
      <c r="B55" s="417" t="s">
        <v>368</v>
      </c>
      <c r="C55" s="417" t="s">
        <v>431</v>
      </c>
      <c r="D55" s="335">
        <f>COUNTIF(PURCHASE!$A$6:$A$446,$B$10:$B$494)</f>
        <v>0</v>
      </c>
      <c r="E55" s="335">
        <f>SUMIF(PURCHASE!$A$6:$A$446,$B$10:$B$494,PURCHASE!$K$6:$K$446)</f>
        <v>0</v>
      </c>
      <c r="F55" s="310">
        <f>SUMIF(PURCHASE!$A$6:$A$446,$B$10:$B$494,PURCHASE!$L$6:$L$446)</f>
        <v>0</v>
      </c>
      <c r="G55" s="310">
        <f>SUMIF(PURCHASE!$A$6:$A$446,$B$10:$B$494,PURCHASE!$M$6:$M$446)</f>
        <v>0</v>
      </c>
      <c r="H55" s="310">
        <f>SUMIF(PURCHASE!$A$6:$A$446,$B$10:$B$494,PURCHASE!$N$6:$N$446)</f>
        <v>0</v>
      </c>
      <c r="I55" s="310">
        <f>SUMIF(PURCHASE!$A$6:$A$446,$B$10:$B$494,PURCHASE!$O$6:$O$446)</f>
        <v>0</v>
      </c>
      <c r="J55" s="310">
        <f>SUMIF(PURCHASE!$A$6:$A$446,$B$10:$B$494,PURCHASE!$E$6:$E$446)</f>
        <v>0</v>
      </c>
      <c r="K55" s="310"/>
    </row>
    <row r="56" spans="1:11" ht="14.4" x14ac:dyDescent="0.3">
      <c r="A56" s="5">
        <v>47</v>
      </c>
      <c r="B56" s="417" t="s">
        <v>369</v>
      </c>
      <c r="C56" s="417" t="s">
        <v>432</v>
      </c>
      <c r="D56" s="335">
        <f>COUNTIF(PURCHASE!$A$6:$A$446,$B$10:$B$494)</f>
        <v>0</v>
      </c>
      <c r="E56" s="335">
        <f>SUMIF(PURCHASE!$A$6:$A$446,$B$10:$B$494,PURCHASE!$K$6:$K$446)</f>
        <v>0</v>
      </c>
      <c r="F56" s="310">
        <f>SUMIF(PURCHASE!$A$6:$A$446,$B$10:$B$494,PURCHASE!$L$6:$L$446)</f>
        <v>0</v>
      </c>
      <c r="G56" s="310">
        <f>SUMIF(PURCHASE!$A$6:$A$446,$B$10:$B$494,PURCHASE!$M$6:$M$446)</f>
        <v>0</v>
      </c>
      <c r="H56" s="310">
        <f>SUMIF(PURCHASE!$A$6:$A$446,$B$10:$B$494,PURCHASE!$N$6:$N$446)</f>
        <v>0</v>
      </c>
      <c r="I56" s="310">
        <f>SUMIF(PURCHASE!$A$6:$A$446,$B$10:$B$494,PURCHASE!$O$6:$O$446)</f>
        <v>0</v>
      </c>
      <c r="J56" s="310">
        <f>SUMIF(PURCHASE!$A$6:$A$446,$B$10:$B$494,PURCHASE!$E$6:$E$446)</f>
        <v>0</v>
      </c>
      <c r="K56" s="310"/>
    </row>
    <row r="57" spans="1:11" ht="14.4" x14ac:dyDescent="0.3">
      <c r="A57" s="5">
        <v>48</v>
      </c>
      <c r="B57" s="417" t="s">
        <v>370</v>
      </c>
      <c r="C57" s="417" t="s">
        <v>433</v>
      </c>
      <c r="D57" s="335">
        <f>COUNTIF(PURCHASE!$A$6:$A$446,$B$10:$B$494)</f>
        <v>0</v>
      </c>
      <c r="E57" s="335">
        <f>SUMIF(PURCHASE!$A$6:$A$446,$B$10:$B$494,PURCHASE!$K$6:$K$446)</f>
        <v>0</v>
      </c>
      <c r="F57" s="310">
        <f>SUMIF(PURCHASE!$A$6:$A$446,$B$10:$B$494,PURCHASE!$L$6:$L$446)</f>
        <v>0</v>
      </c>
      <c r="G57" s="310">
        <f>SUMIF(PURCHASE!$A$6:$A$446,$B$10:$B$494,PURCHASE!$M$6:$M$446)</f>
        <v>0</v>
      </c>
      <c r="H57" s="310">
        <f>SUMIF(PURCHASE!$A$6:$A$446,$B$10:$B$494,PURCHASE!$N$6:$N$446)</f>
        <v>0</v>
      </c>
      <c r="I57" s="310">
        <f>SUMIF(PURCHASE!$A$6:$A$446,$B$10:$B$494,PURCHASE!$O$6:$O$446)</f>
        <v>0</v>
      </c>
      <c r="J57" s="310">
        <f>SUMIF(PURCHASE!$A$6:$A$446,$B$10:$B$494,PURCHASE!$E$6:$E$446)</f>
        <v>0</v>
      </c>
      <c r="K57" s="310"/>
    </row>
    <row r="58" spans="1:11" ht="14.4" x14ac:dyDescent="0.3">
      <c r="A58" s="5">
        <v>49</v>
      </c>
      <c r="B58" s="417" t="s">
        <v>371</v>
      </c>
      <c r="C58" s="417" t="s">
        <v>434</v>
      </c>
      <c r="D58" s="335">
        <f>COUNTIF(PURCHASE!$A$6:$A$446,$B$10:$B$494)</f>
        <v>0</v>
      </c>
      <c r="E58" s="335">
        <f>SUMIF(PURCHASE!$A$6:$A$446,$B$10:$B$494,PURCHASE!$K$6:$K$446)</f>
        <v>0</v>
      </c>
      <c r="F58" s="310">
        <f>SUMIF(PURCHASE!$A$6:$A$446,$B$10:$B$494,PURCHASE!$L$6:$L$446)</f>
        <v>0</v>
      </c>
      <c r="G58" s="310">
        <f>SUMIF(PURCHASE!$A$6:$A$446,$B$10:$B$494,PURCHASE!$M$6:$M$446)</f>
        <v>0</v>
      </c>
      <c r="H58" s="310">
        <f>SUMIF(PURCHASE!$A$6:$A$446,$B$10:$B$494,PURCHASE!$N$6:$N$446)</f>
        <v>0</v>
      </c>
      <c r="I58" s="310">
        <f>SUMIF(PURCHASE!$A$6:$A$446,$B$10:$B$494,PURCHASE!$O$6:$O$446)</f>
        <v>0</v>
      </c>
      <c r="J58" s="310">
        <f>SUMIF(PURCHASE!$A$6:$A$446,$B$10:$B$494,PURCHASE!$E$6:$E$446)</f>
        <v>0</v>
      </c>
      <c r="K58" s="310"/>
    </row>
    <row r="59" spans="1:11" ht="14.4" x14ac:dyDescent="0.3">
      <c r="A59" s="5">
        <v>50</v>
      </c>
      <c r="B59" s="417" t="s">
        <v>372</v>
      </c>
      <c r="C59" s="417" t="s">
        <v>435</v>
      </c>
      <c r="D59" s="335">
        <f>COUNTIF(PURCHASE!$A$6:$A$446,$B$10:$B$494)</f>
        <v>0</v>
      </c>
      <c r="E59" s="335">
        <f>SUMIF(PURCHASE!$A$6:$A$446,$B$10:$B$494,PURCHASE!$K$6:$K$446)</f>
        <v>0</v>
      </c>
      <c r="F59" s="310">
        <f>SUMIF(PURCHASE!$A$6:$A$446,$B$10:$B$494,PURCHASE!$L$6:$L$446)</f>
        <v>0</v>
      </c>
      <c r="G59" s="310">
        <f>SUMIF(PURCHASE!$A$6:$A$446,$B$10:$B$494,PURCHASE!$M$6:$M$446)</f>
        <v>0</v>
      </c>
      <c r="H59" s="310">
        <f>SUMIF(PURCHASE!$A$6:$A$446,$B$10:$B$494,PURCHASE!$N$6:$N$446)</f>
        <v>0</v>
      </c>
      <c r="I59" s="310">
        <f>SUMIF(PURCHASE!$A$6:$A$446,$B$10:$B$494,PURCHASE!$O$6:$O$446)</f>
        <v>0</v>
      </c>
      <c r="J59" s="310">
        <f>SUMIF(PURCHASE!$A$6:$A$446,$B$10:$B$494,PURCHASE!$E$6:$E$446)</f>
        <v>0</v>
      </c>
      <c r="K59" s="310"/>
    </row>
    <row r="60" spans="1:11" ht="14.4" x14ac:dyDescent="0.3">
      <c r="A60" s="5">
        <v>51</v>
      </c>
      <c r="B60" s="417" t="s">
        <v>373</v>
      </c>
      <c r="C60" s="417" t="s">
        <v>436</v>
      </c>
      <c r="D60" s="335">
        <f>COUNTIF(PURCHASE!$A$6:$A$446,$B$10:$B$494)</f>
        <v>0</v>
      </c>
      <c r="E60" s="335">
        <f>SUMIF(PURCHASE!$A$6:$A$446,$B$10:$B$494,PURCHASE!$K$6:$K$446)</f>
        <v>0</v>
      </c>
      <c r="F60" s="310">
        <f>SUMIF(PURCHASE!$A$6:$A$446,$B$10:$B$494,PURCHASE!$L$6:$L$446)</f>
        <v>0</v>
      </c>
      <c r="G60" s="310">
        <f>SUMIF(PURCHASE!$A$6:$A$446,$B$10:$B$494,PURCHASE!$M$6:$M$446)</f>
        <v>0</v>
      </c>
      <c r="H60" s="310">
        <f>SUMIF(PURCHASE!$A$6:$A$446,$B$10:$B$494,PURCHASE!$N$6:$N$446)</f>
        <v>0</v>
      </c>
      <c r="I60" s="310">
        <f>SUMIF(PURCHASE!$A$6:$A$446,$B$10:$B$494,PURCHASE!$O$6:$O$446)</f>
        <v>0</v>
      </c>
      <c r="J60" s="310">
        <f>SUMIF(PURCHASE!$A$6:$A$446,$B$10:$B$494,PURCHASE!$E$6:$E$446)</f>
        <v>0</v>
      </c>
      <c r="K60" s="310"/>
    </row>
    <row r="61" spans="1:11" ht="14.4" x14ac:dyDescent="0.3">
      <c r="A61" s="5">
        <v>52</v>
      </c>
      <c r="B61" s="417" t="s">
        <v>374</v>
      </c>
      <c r="C61" s="417" t="s">
        <v>437</v>
      </c>
      <c r="D61" s="440">
        <f>COUNTIF(PURCHASE!$A$6:$A$446,$B$10:$B$494)</f>
        <v>6</v>
      </c>
      <c r="E61" s="335">
        <f>SUMIF(PURCHASE!$A$6:$A$446,$B$10:$B$494,PURCHASE!$K$6:$K$446)</f>
        <v>180457.2</v>
      </c>
      <c r="F61" s="310">
        <f>SUMIF(PURCHASE!$A$6:$A$446,$B$10:$B$494,PURCHASE!$L$6:$L$446)</f>
        <v>0</v>
      </c>
      <c r="G61" s="310">
        <f>SUMIF(PURCHASE!$A$6:$A$446,$B$10:$B$494,PURCHASE!$M$6:$M$446)</f>
        <v>25264.008000000002</v>
      </c>
      <c r="H61" s="310">
        <f>SUMIF(PURCHASE!$A$6:$A$446,$B$10:$B$494,PURCHASE!$N$6:$N$446)</f>
        <v>25264.008000000002</v>
      </c>
      <c r="I61" s="310">
        <f>SUMIF(PURCHASE!$A$6:$A$446,$B$10:$B$494,PURCHASE!$O$6:$O$446)</f>
        <v>0</v>
      </c>
      <c r="J61" s="310">
        <f>SUMIF(PURCHASE!$A$6:$A$446,$B$10:$B$494,PURCHASE!$E$6:$E$446)</f>
        <v>230985.21600000001</v>
      </c>
      <c r="K61" s="310"/>
    </row>
    <row r="62" spans="1:11" ht="14.4" x14ac:dyDescent="0.3">
      <c r="A62" s="5">
        <v>53</v>
      </c>
      <c r="B62" s="417" t="s">
        <v>375</v>
      </c>
      <c r="C62" s="417" t="s">
        <v>438</v>
      </c>
      <c r="D62" s="335">
        <f>COUNTIF(PURCHASE!$A$6:$A$446,$B$10:$B$494)</f>
        <v>0</v>
      </c>
      <c r="E62" s="335">
        <f>SUMIF(PURCHASE!$A$6:$A$446,$B$10:$B$494,PURCHASE!$K$6:$K$446)</f>
        <v>0</v>
      </c>
      <c r="F62" s="310">
        <f>SUMIF(PURCHASE!$A$6:$A$446,$B$10:$B$494,PURCHASE!$L$6:$L$446)</f>
        <v>0</v>
      </c>
      <c r="G62" s="310">
        <f>SUMIF(PURCHASE!$A$6:$A$446,$B$10:$B$494,PURCHASE!$M$6:$M$446)</f>
        <v>0</v>
      </c>
      <c r="H62" s="310">
        <f>SUMIF(PURCHASE!$A$6:$A$446,$B$10:$B$494,PURCHASE!$N$6:$N$446)</f>
        <v>0</v>
      </c>
      <c r="I62" s="310">
        <f>SUMIF(PURCHASE!$A$6:$A$446,$B$10:$B$494,PURCHASE!$O$6:$O$446)</f>
        <v>0</v>
      </c>
      <c r="J62" s="310">
        <f>SUMIF(PURCHASE!$A$6:$A$446,$B$10:$B$494,PURCHASE!$E$6:$E$446)</f>
        <v>0</v>
      </c>
      <c r="K62" s="310"/>
    </row>
    <row r="63" spans="1:11" ht="14.4" x14ac:dyDescent="0.3">
      <c r="A63" s="5">
        <v>54</v>
      </c>
      <c r="B63" s="417" t="s">
        <v>376</v>
      </c>
      <c r="C63" s="417" t="s">
        <v>439</v>
      </c>
      <c r="D63" s="335">
        <f>COUNTIF(PURCHASE!$A$6:$A$446,$B$10:$B$494)</f>
        <v>0</v>
      </c>
      <c r="E63" s="335">
        <f>SUMIF(PURCHASE!$A$6:$A$446,$B$10:$B$494,PURCHASE!$K$6:$K$446)</f>
        <v>0</v>
      </c>
      <c r="F63" s="310">
        <f>SUMIF(PURCHASE!$A$6:$A$446,$B$10:$B$494,PURCHASE!$L$6:$L$446)</f>
        <v>0</v>
      </c>
      <c r="G63" s="310">
        <f>SUMIF(PURCHASE!$A$6:$A$446,$B$10:$B$494,PURCHASE!$M$6:$M$446)</f>
        <v>0</v>
      </c>
      <c r="H63" s="310">
        <f>SUMIF(PURCHASE!$A$6:$A$446,$B$10:$B$494,PURCHASE!$N$6:$N$446)</f>
        <v>0</v>
      </c>
      <c r="I63" s="310">
        <f>SUMIF(PURCHASE!$A$6:$A$446,$B$10:$B$494,PURCHASE!$O$6:$O$446)</f>
        <v>0</v>
      </c>
      <c r="J63" s="310">
        <f>SUMIF(PURCHASE!$A$6:$A$446,$B$10:$B$494,PURCHASE!$E$6:$E$446)</f>
        <v>0</v>
      </c>
      <c r="K63" s="310"/>
    </row>
    <row r="64" spans="1:11" ht="14.4" x14ac:dyDescent="0.3">
      <c r="A64" s="5">
        <v>55</v>
      </c>
      <c r="B64" s="417" t="s">
        <v>377</v>
      </c>
      <c r="C64" s="417" t="s">
        <v>440</v>
      </c>
      <c r="D64" s="440">
        <f>COUNTIF(PURCHASE!$A$6:$A$446,$B$10:$B$494)</f>
        <v>6</v>
      </c>
      <c r="E64" s="335">
        <f>SUMIF(PURCHASE!$A$6:$A$446,$B$10:$B$494,PURCHASE!$K$6:$K$446)</f>
        <v>135044.4</v>
      </c>
      <c r="F64" s="310">
        <f>SUMIF(PURCHASE!$A$6:$A$446,$B$10:$B$494,PURCHASE!$L$6:$L$446)</f>
        <v>0</v>
      </c>
      <c r="G64" s="310">
        <f>SUMIF(PURCHASE!$A$6:$A$446,$B$10:$B$494,PURCHASE!$M$6:$M$446)</f>
        <v>14853.996000000001</v>
      </c>
      <c r="H64" s="310">
        <f>SUMIF(PURCHASE!$A$6:$A$446,$B$10:$B$494,PURCHASE!$N$6:$N$446)</f>
        <v>14853.996000000001</v>
      </c>
      <c r="I64" s="310">
        <f>SUMIF(PURCHASE!$A$6:$A$446,$B$10:$B$494,PURCHASE!$O$6:$O$446)</f>
        <v>0</v>
      </c>
      <c r="J64" s="310">
        <f>SUMIF(PURCHASE!$A$6:$A$446,$B$10:$B$494,PURCHASE!$E$6:$E$446)</f>
        <v>164752.39199999999</v>
      </c>
      <c r="K64" s="310"/>
    </row>
    <row r="65" spans="1:11" ht="14.4" x14ac:dyDescent="0.3">
      <c r="A65" s="5">
        <v>56</v>
      </c>
      <c r="B65" s="417" t="s">
        <v>378</v>
      </c>
      <c r="C65" s="417" t="s">
        <v>441</v>
      </c>
      <c r="D65" s="335">
        <f>COUNTIF(PURCHASE!$A$6:$A$446,$B$10:$B$494)</f>
        <v>0</v>
      </c>
      <c r="E65" s="335">
        <f>SUMIF(PURCHASE!$A$6:$A$446,$B$10:$B$494,PURCHASE!$K$6:$K$446)</f>
        <v>0</v>
      </c>
      <c r="F65" s="310">
        <f>SUMIF(PURCHASE!$A$6:$A$446,$B$10:$B$494,PURCHASE!$L$6:$L$446)</f>
        <v>0</v>
      </c>
      <c r="G65" s="310">
        <f>SUMIF(PURCHASE!$A$6:$A$446,$B$10:$B$494,PURCHASE!$M$6:$M$446)</f>
        <v>0</v>
      </c>
      <c r="H65" s="310">
        <f>SUMIF(PURCHASE!$A$6:$A$446,$B$10:$B$494,PURCHASE!$N$6:$N$446)</f>
        <v>0</v>
      </c>
      <c r="I65" s="310">
        <f>SUMIF(PURCHASE!$A$6:$A$446,$B$10:$B$494,PURCHASE!$O$6:$O$446)</f>
        <v>0</v>
      </c>
      <c r="J65" s="310">
        <f>SUMIF(PURCHASE!$A$6:$A$446,$B$10:$B$494,PURCHASE!$E$6:$E$446)</f>
        <v>0</v>
      </c>
      <c r="K65" s="310"/>
    </row>
    <row r="66" spans="1:11" ht="14.4" x14ac:dyDescent="0.3">
      <c r="A66" s="5">
        <v>57</v>
      </c>
      <c r="B66" s="417" t="s">
        <v>379</v>
      </c>
      <c r="C66" s="417" t="s">
        <v>442</v>
      </c>
      <c r="D66" s="440">
        <f>COUNTIF(PURCHASE!$A$6:$A$446,$B$10:$B$494)</f>
        <v>5</v>
      </c>
      <c r="E66" s="335">
        <f>SUMIF(PURCHASE!$A$6:$A$446,$B$10:$B$494,PURCHASE!$K$6:$K$446)</f>
        <v>747600</v>
      </c>
      <c r="F66" s="310">
        <f>SUMIF(PURCHASE!$A$6:$A$446,$B$10:$B$494,PURCHASE!$L$6:$L$446)</f>
        <v>0</v>
      </c>
      <c r="G66" s="310">
        <f>SUMIF(PURCHASE!$A$6:$A$446,$B$10:$B$494,PURCHASE!$M$6:$M$446)</f>
        <v>67284</v>
      </c>
      <c r="H66" s="310">
        <f>SUMIF(PURCHASE!$A$6:$A$446,$B$10:$B$494,PURCHASE!$N$6:$N$446)</f>
        <v>67284</v>
      </c>
      <c r="I66" s="310">
        <f>SUMIF(PURCHASE!$A$6:$A$446,$B$10:$B$494,PURCHASE!$O$6:$O$446)</f>
        <v>0</v>
      </c>
      <c r="J66" s="310">
        <f>SUMIF(PURCHASE!$A$6:$A$446,$B$10:$B$494,PURCHASE!$E$6:$E$446)</f>
        <v>882168</v>
      </c>
      <c r="K66" s="310"/>
    </row>
    <row r="67" spans="1:11" ht="14.4" x14ac:dyDescent="0.3">
      <c r="A67" s="5">
        <v>58</v>
      </c>
      <c r="B67" s="417" t="s">
        <v>380</v>
      </c>
      <c r="C67" s="417" t="s">
        <v>443</v>
      </c>
      <c r="D67" s="440">
        <f>COUNTIF(PURCHASE!$A$6:$A$446,$B$10:$B$494)</f>
        <v>1</v>
      </c>
      <c r="E67" s="335">
        <f>SUMIF(PURCHASE!$A$6:$A$446,$B$10:$B$494,PURCHASE!$K$6:$K$446)</f>
        <v>13715</v>
      </c>
      <c r="F67" s="310">
        <f>SUMIF(PURCHASE!$A$6:$A$446,$B$10:$B$494,PURCHASE!$L$6:$L$446)</f>
        <v>0</v>
      </c>
      <c r="G67" s="310">
        <f>SUMIF(PURCHASE!$A$6:$A$446,$B$10:$B$494,PURCHASE!$M$6:$M$446)</f>
        <v>1234.3499999999999</v>
      </c>
      <c r="H67" s="310">
        <f>SUMIF(PURCHASE!$A$6:$A$446,$B$10:$B$494,PURCHASE!$N$6:$N$446)</f>
        <v>1234.3499999999999</v>
      </c>
      <c r="I67" s="310">
        <f>SUMIF(PURCHASE!$A$6:$A$446,$B$10:$B$494,PURCHASE!$O$6:$O$446)</f>
        <v>0</v>
      </c>
      <c r="J67" s="310">
        <f>SUMIF(PURCHASE!$A$6:$A$446,$B$10:$B$494,PURCHASE!$E$6:$E$446)</f>
        <v>16183.7</v>
      </c>
      <c r="K67" s="310"/>
    </row>
    <row r="68" spans="1:11" ht="14.4" x14ac:dyDescent="0.3">
      <c r="A68" s="5">
        <v>59</v>
      </c>
      <c r="B68" s="417" t="s">
        <v>381</v>
      </c>
      <c r="C68" s="417" t="s">
        <v>444</v>
      </c>
      <c r="D68" s="335">
        <f>COUNTIF(PURCHASE!$A$6:$A$446,$B$10:$B$494)</f>
        <v>0</v>
      </c>
      <c r="E68" s="335">
        <f>SUMIF(PURCHASE!$A$6:$A$446,$B$10:$B$494,PURCHASE!$K$6:$K$446)</f>
        <v>0</v>
      </c>
      <c r="F68" s="310">
        <f>SUMIF(PURCHASE!$A$6:$A$446,$B$10:$B$494,PURCHASE!$L$6:$L$446)</f>
        <v>0</v>
      </c>
      <c r="G68" s="310">
        <f>SUMIF(PURCHASE!$A$6:$A$446,$B$10:$B$494,PURCHASE!$M$6:$M$446)</f>
        <v>0</v>
      </c>
      <c r="H68" s="310">
        <f>SUMIF(PURCHASE!$A$6:$A$446,$B$10:$B$494,PURCHASE!$N$6:$N$446)</f>
        <v>0</v>
      </c>
      <c r="I68" s="310">
        <f>SUMIF(PURCHASE!$A$6:$A$446,$B$10:$B$494,PURCHASE!$O$6:$O$446)</f>
        <v>0</v>
      </c>
      <c r="J68" s="310">
        <f>SUMIF(PURCHASE!$A$6:$A$446,$B$10:$B$494,PURCHASE!$E$6:$E$446)</f>
        <v>0</v>
      </c>
      <c r="K68" s="310"/>
    </row>
    <row r="69" spans="1:11" ht="14.4" x14ac:dyDescent="0.3">
      <c r="A69" s="5">
        <v>60</v>
      </c>
      <c r="B69" s="417" t="s">
        <v>382</v>
      </c>
      <c r="C69" s="3" t="s">
        <v>445</v>
      </c>
      <c r="D69" s="335">
        <f>COUNTIF(PURCHASE!$A$6:$A$446,$B$10:$B$494)</f>
        <v>0</v>
      </c>
      <c r="E69" s="335">
        <f>SUMIF(PURCHASE!$A$6:$A$446,$B$10:$B$494,PURCHASE!$K$6:$K$446)</f>
        <v>0</v>
      </c>
      <c r="F69" s="310">
        <f>SUMIF(PURCHASE!$A$6:$A$446,$B$10:$B$494,PURCHASE!$L$6:$L$446)</f>
        <v>0</v>
      </c>
      <c r="G69" s="310">
        <f>SUMIF(PURCHASE!$A$6:$A$446,$B$10:$B$494,PURCHASE!$M$6:$M$446)</f>
        <v>0</v>
      </c>
      <c r="H69" s="310">
        <f>SUMIF(PURCHASE!$A$6:$A$446,$B$10:$B$494,PURCHASE!$N$6:$N$446)</f>
        <v>0</v>
      </c>
      <c r="I69" s="310">
        <f>SUMIF(PURCHASE!$A$6:$A$446,$B$10:$B$494,PURCHASE!$O$6:$O$446)</f>
        <v>0</v>
      </c>
      <c r="J69" s="310">
        <f>SUMIF(PURCHASE!$A$6:$A$446,$B$10:$B$494,PURCHASE!$E$6:$E$446)</f>
        <v>0</v>
      </c>
      <c r="K69" s="310"/>
    </row>
    <row r="70" spans="1:11" ht="14.4" x14ac:dyDescent="0.3">
      <c r="A70" s="5">
        <v>61</v>
      </c>
      <c r="B70" s="417" t="s">
        <v>383</v>
      </c>
      <c r="C70" s="417" t="s">
        <v>446</v>
      </c>
      <c r="D70" s="440">
        <f>COUNTIF(PURCHASE!$A$6:$A$446,$B$10:$B$494)</f>
        <v>2</v>
      </c>
      <c r="E70" s="335">
        <f>SUMIF(PURCHASE!$A$6:$A$446,$B$10:$B$494,PURCHASE!$K$6:$K$446)</f>
        <v>125750</v>
      </c>
      <c r="F70" s="310">
        <f>SUMIF(PURCHASE!$A$6:$A$446,$B$10:$B$494,PURCHASE!$L$6:$L$446)</f>
        <v>0</v>
      </c>
      <c r="G70" s="310">
        <f>SUMIF(PURCHASE!$A$6:$A$446,$B$10:$B$494,PURCHASE!$M$6:$M$446)</f>
        <v>11317.5</v>
      </c>
      <c r="H70" s="310">
        <f>SUMIF(PURCHASE!$A$6:$A$446,$B$10:$B$494,PURCHASE!$N$6:$N$446)</f>
        <v>11317.5</v>
      </c>
      <c r="I70" s="310">
        <f>SUMIF(PURCHASE!$A$6:$A$446,$B$10:$B$494,PURCHASE!$O$6:$O$446)</f>
        <v>0</v>
      </c>
      <c r="J70" s="310">
        <f>SUMIF(PURCHASE!$A$6:$A$446,$B$10:$B$494,PURCHASE!$E$6:$E$446)</f>
        <v>148385</v>
      </c>
      <c r="K70" s="310"/>
    </row>
    <row r="71" spans="1:11" ht="14.4" x14ac:dyDescent="0.3">
      <c r="A71" s="5">
        <v>62</v>
      </c>
      <c r="B71" s="417" t="s">
        <v>384</v>
      </c>
      <c r="C71" s="417" t="s">
        <v>447</v>
      </c>
      <c r="D71" s="335">
        <f>COUNTIF(PURCHASE!$A$6:$A$446,$B$10:$B$494)</f>
        <v>0</v>
      </c>
      <c r="E71" s="335">
        <f>SUMIF(PURCHASE!$A$6:$A$446,$B$10:$B$494,PURCHASE!$K$6:$K$446)</f>
        <v>0</v>
      </c>
      <c r="F71" s="310">
        <f>SUMIF(PURCHASE!$A$6:$A$446,$B$10:$B$494,PURCHASE!$L$6:$L$446)</f>
        <v>0</v>
      </c>
      <c r="G71" s="310">
        <f>SUMIF(PURCHASE!$A$6:$A$446,$B$10:$B$494,PURCHASE!$M$6:$M$446)</f>
        <v>0</v>
      </c>
      <c r="H71" s="310">
        <f>SUMIF(PURCHASE!$A$6:$A$446,$B$10:$B$494,PURCHASE!$N$6:$N$446)</f>
        <v>0</v>
      </c>
      <c r="I71" s="310">
        <f>SUMIF(PURCHASE!$A$6:$A$446,$B$10:$B$494,PURCHASE!$O$6:$O$446)</f>
        <v>0</v>
      </c>
      <c r="J71" s="310">
        <f>SUMIF(PURCHASE!$A$6:$A$446,$B$10:$B$494,PURCHASE!$E$6:$E$446)</f>
        <v>0</v>
      </c>
      <c r="K71" s="310"/>
    </row>
    <row r="72" spans="1:11" ht="14.4" x14ac:dyDescent="0.3">
      <c r="A72" s="5">
        <v>63</v>
      </c>
      <c r="B72" s="417" t="s">
        <v>385</v>
      </c>
      <c r="C72" s="417" t="s">
        <v>448</v>
      </c>
      <c r="D72" s="335">
        <f>COUNTIF(PURCHASE!$A$6:$A$446,$B$10:$B$494)</f>
        <v>0</v>
      </c>
      <c r="E72" s="335">
        <f>SUMIF(PURCHASE!$A$6:$A$446,$B$10:$B$494,PURCHASE!$K$6:$K$446)</f>
        <v>0</v>
      </c>
      <c r="F72" s="310">
        <f>SUMIF(PURCHASE!$A$6:$A$446,$B$10:$B$494,PURCHASE!$L$6:$L$446)</f>
        <v>0</v>
      </c>
      <c r="G72" s="310">
        <f>SUMIF(PURCHASE!$A$6:$A$446,$B$10:$B$494,PURCHASE!$M$6:$M$446)</f>
        <v>0</v>
      </c>
      <c r="H72" s="310">
        <f>SUMIF(PURCHASE!$A$6:$A$446,$B$10:$B$494,PURCHASE!$N$6:$N$446)</f>
        <v>0</v>
      </c>
      <c r="I72" s="310">
        <f>SUMIF(PURCHASE!$A$6:$A$446,$B$10:$B$494,PURCHASE!$O$6:$O$446)</f>
        <v>0</v>
      </c>
      <c r="J72" s="310">
        <f>SUMIF(PURCHASE!$A$6:$A$446,$B$10:$B$494,PURCHASE!$E$6:$E$446)</f>
        <v>0</v>
      </c>
      <c r="K72" s="310"/>
    </row>
    <row r="73" spans="1:11" ht="14.4" x14ac:dyDescent="0.3">
      <c r="A73" s="5">
        <v>64</v>
      </c>
      <c r="B73" s="417" t="s">
        <v>386</v>
      </c>
      <c r="C73" s="417" t="s">
        <v>449</v>
      </c>
      <c r="D73" s="335">
        <f>COUNTIF(PURCHASE!$A$6:$A$446,$B$10:$B$494)</f>
        <v>0</v>
      </c>
      <c r="E73" s="335">
        <f>SUMIF(PURCHASE!$A$6:$A$446,$B$10:$B$494,PURCHASE!$K$6:$K$446)</f>
        <v>0</v>
      </c>
      <c r="F73" s="310">
        <f>SUMIF(PURCHASE!$A$6:$A$446,$B$10:$B$494,PURCHASE!$L$6:$L$446)</f>
        <v>0</v>
      </c>
      <c r="G73" s="310">
        <f>SUMIF(PURCHASE!$A$6:$A$446,$B$10:$B$494,PURCHASE!$M$6:$M$446)</f>
        <v>0</v>
      </c>
      <c r="H73" s="310">
        <f>SUMIF(PURCHASE!$A$6:$A$446,$B$10:$B$494,PURCHASE!$N$6:$N$446)</f>
        <v>0</v>
      </c>
      <c r="I73" s="310">
        <f>SUMIF(PURCHASE!$A$6:$A$446,$B$10:$B$494,PURCHASE!$O$6:$O$446)</f>
        <v>0</v>
      </c>
      <c r="J73" s="310">
        <f>SUMIF(PURCHASE!$A$6:$A$446,$B$10:$B$494,PURCHASE!$E$6:$E$446)</f>
        <v>0</v>
      </c>
      <c r="K73" s="310"/>
    </row>
    <row r="74" spans="1:11" ht="14.4" x14ac:dyDescent="0.3">
      <c r="A74" s="5">
        <v>65</v>
      </c>
      <c r="B74" s="417" t="s">
        <v>387</v>
      </c>
      <c r="C74" s="417" t="s">
        <v>450</v>
      </c>
      <c r="D74" s="335">
        <f>COUNTIF(PURCHASE!$A$6:$A$446,$B$10:$B$494)</f>
        <v>0</v>
      </c>
      <c r="E74" s="335">
        <f>SUMIF(PURCHASE!$A$6:$A$446,$B$10:$B$494,PURCHASE!$K$6:$K$446)</f>
        <v>0</v>
      </c>
      <c r="F74" s="310">
        <f>SUMIF(PURCHASE!$A$6:$A$446,$B$10:$B$494,PURCHASE!$L$6:$L$446)</f>
        <v>0</v>
      </c>
      <c r="G74" s="310">
        <f>SUMIF(PURCHASE!$A$6:$A$446,$B$10:$B$494,PURCHASE!$M$6:$M$446)</f>
        <v>0</v>
      </c>
      <c r="H74" s="310">
        <f>SUMIF(PURCHASE!$A$6:$A$446,$B$10:$B$494,PURCHASE!$N$6:$N$446)</f>
        <v>0</v>
      </c>
      <c r="I74" s="310">
        <f>SUMIF(PURCHASE!$A$6:$A$446,$B$10:$B$494,PURCHASE!$O$6:$O$446)</f>
        <v>0</v>
      </c>
      <c r="J74" s="310">
        <f>SUMIF(PURCHASE!$A$6:$A$446,$B$10:$B$494,PURCHASE!$E$6:$E$446)</f>
        <v>0</v>
      </c>
      <c r="K74" s="310"/>
    </row>
    <row r="75" spans="1:11" ht="14.4" x14ac:dyDescent="0.3">
      <c r="A75" s="5">
        <v>66</v>
      </c>
      <c r="B75" s="422" t="s">
        <v>35</v>
      </c>
      <c r="C75" s="422" t="s">
        <v>56</v>
      </c>
      <c r="D75" s="335">
        <f>COUNTIF(PURCHASE!$A$6:$A$446,$B$10:$B$494)</f>
        <v>0</v>
      </c>
      <c r="E75" s="335">
        <f>SUMIF(PURCHASE!$A$6:$A$446,$B$10:$B$494,PURCHASE!$K$6:$K$446)</f>
        <v>0</v>
      </c>
      <c r="F75" s="310">
        <f>SUMIF(PURCHASE!$A$6:$A$446,$B$10:$B$494,PURCHASE!$L$6:$L$446)</f>
        <v>0</v>
      </c>
      <c r="G75" s="310">
        <f>SUMIF(PURCHASE!$A$6:$A$446,$B$10:$B$494,PURCHASE!$M$6:$M$446)</f>
        <v>0</v>
      </c>
      <c r="H75" s="310">
        <f>SUMIF(PURCHASE!$A$6:$A$446,$B$10:$B$494,PURCHASE!$N$6:$N$446)</f>
        <v>0</v>
      </c>
      <c r="I75" s="310">
        <f>SUMIF(PURCHASE!$A$6:$A$446,$B$10:$B$494,PURCHASE!$O$6:$O$446)</f>
        <v>0</v>
      </c>
      <c r="J75" s="310">
        <f>SUMIF(PURCHASE!$A$6:$A$446,$B$10:$B$494,PURCHASE!$E$6:$E$446)</f>
        <v>0</v>
      </c>
      <c r="K75" s="310"/>
    </row>
    <row r="76" spans="1:11" ht="14.4" x14ac:dyDescent="0.3">
      <c r="A76" s="5">
        <v>67</v>
      </c>
      <c r="B76" s="417" t="s">
        <v>388</v>
      </c>
      <c r="C76" s="417" t="s">
        <v>451</v>
      </c>
      <c r="D76" s="335">
        <f>COUNTIF(PURCHASE!$A$6:$A$446,$B$10:$B$494)</f>
        <v>0</v>
      </c>
      <c r="E76" s="335">
        <f>SUMIF(PURCHASE!$A$6:$A$446,$B$10:$B$494,PURCHASE!$K$6:$K$446)</f>
        <v>0</v>
      </c>
      <c r="F76" s="310">
        <f>SUMIF(PURCHASE!$A$6:$A$446,$B$10:$B$494,PURCHASE!$L$6:$L$446)</f>
        <v>0</v>
      </c>
      <c r="G76" s="310">
        <f>SUMIF(PURCHASE!$A$6:$A$446,$B$10:$B$494,PURCHASE!$M$6:$M$446)</f>
        <v>0</v>
      </c>
      <c r="H76" s="310">
        <f>SUMIF(PURCHASE!$A$6:$A$446,$B$10:$B$494,PURCHASE!$N$6:$N$446)</f>
        <v>0</v>
      </c>
      <c r="I76" s="310">
        <f>SUMIF(PURCHASE!$A$6:$A$446,$B$10:$B$494,PURCHASE!$O$6:$O$446)</f>
        <v>0</v>
      </c>
      <c r="J76" s="310">
        <f>SUMIF(PURCHASE!$A$6:$A$446,$B$10:$B$494,PURCHASE!$E$6:$E$446)</f>
        <v>0</v>
      </c>
      <c r="K76" s="310"/>
    </row>
    <row r="77" spans="1:11" ht="14.4" x14ac:dyDescent="0.3">
      <c r="A77" s="5">
        <v>68</v>
      </c>
      <c r="B77" s="417" t="s">
        <v>868</v>
      </c>
      <c r="C77" s="417" t="s">
        <v>869</v>
      </c>
      <c r="D77" s="440">
        <f>COUNTIF(PURCHASE!$A$6:$A$446,$B$10:$B$494)</f>
        <v>1</v>
      </c>
      <c r="E77" s="335">
        <f>SUMIF(PURCHASE!$A$6:$A$446,$B$10:$B$494,PURCHASE!$K$6:$K$446)</f>
        <v>0</v>
      </c>
      <c r="F77" s="310">
        <f>SUMIF(PURCHASE!$A$6:$A$446,$B$10:$B$494,PURCHASE!$L$6:$L$446)</f>
        <v>0</v>
      </c>
      <c r="G77" s="310">
        <f>SUMIF(PURCHASE!$A$6:$A$446,$B$10:$B$494,PURCHASE!$M$6:$M$446)</f>
        <v>0</v>
      </c>
      <c r="H77" s="310">
        <f>SUMIF(PURCHASE!$A$6:$A$446,$B$10:$B$494,PURCHASE!$N$6:$N$446)</f>
        <v>0</v>
      </c>
      <c r="I77" s="310">
        <f>SUMIF(PURCHASE!$A$6:$A$446,$B$10:$B$494,PURCHASE!$O$6:$O$446)</f>
        <v>0</v>
      </c>
      <c r="J77" s="310">
        <f>SUMIF(PURCHASE!$A$6:$A$446,$B$10:$B$494,PURCHASE!$E$6:$E$446)</f>
        <v>0</v>
      </c>
      <c r="K77" s="310"/>
    </row>
    <row r="78" spans="1:11" ht="14.4" x14ac:dyDescent="0.3">
      <c r="A78" s="5">
        <v>69</v>
      </c>
      <c r="B78" s="417" t="s">
        <v>389</v>
      </c>
      <c r="C78" s="417" t="s">
        <v>452</v>
      </c>
      <c r="D78" s="335">
        <f>COUNTIF(PURCHASE!$A$6:$A$446,$B$10:$B$494)</f>
        <v>0</v>
      </c>
      <c r="E78" s="335">
        <f>SUMIF(PURCHASE!$A$6:$A$446,$B$10:$B$494,PURCHASE!$K$6:$K$446)</f>
        <v>0</v>
      </c>
      <c r="F78" s="310">
        <f>SUMIF(PURCHASE!$A$6:$A$446,$B$10:$B$494,PURCHASE!$L$6:$L$446)</f>
        <v>0</v>
      </c>
      <c r="G78" s="310">
        <f>SUMIF(PURCHASE!$A$6:$A$446,$B$10:$B$494,PURCHASE!$M$6:$M$446)</f>
        <v>0</v>
      </c>
      <c r="H78" s="310">
        <f>SUMIF(PURCHASE!$A$6:$A$446,$B$10:$B$494,PURCHASE!$N$6:$N$446)</f>
        <v>0</v>
      </c>
      <c r="I78" s="310">
        <f>SUMIF(PURCHASE!$A$6:$A$446,$B$10:$B$494,PURCHASE!$O$6:$O$446)</f>
        <v>0</v>
      </c>
      <c r="J78" s="310">
        <f>SUMIF(PURCHASE!$A$6:$A$446,$B$10:$B$494,PURCHASE!$E$6:$E$446)</f>
        <v>0</v>
      </c>
      <c r="K78" s="310"/>
    </row>
    <row r="79" spans="1:11" ht="14.4" x14ac:dyDescent="0.3">
      <c r="A79" s="5">
        <v>70</v>
      </c>
      <c r="B79" s="417" t="s">
        <v>870</v>
      </c>
      <c r="C79" s="417" t="s">
        <v>871</v>
      </c>
      <c r="D79" s="440">
        <f>COUNTIF(PURCHASE!$A$6:$A$446,$B$10:$B$494)</f>
        <v>2</v>
      </c>
      <c r="E79" s="335">
        <f>SUMIF(PURCHASE!$A$6:$A$446,$B$10:$B$494,PURCHASE!$K$6:$K$446)</f>
        <v>6460</v>
      </c>
      <c r="F79" s="310">
        <f>SUMIF(PURCHASE!$A$6:$A$446,$B$10:$B$494,PURCHASE!$L$6:$L$446)</f>
        <v>0</v>
      </c>
      <c r="G79" s="310">
        <f>SUMIF(PURCHASE!$A$6:$A$446,$B$10:$B$494,PURCHASE!$M$6:$M$446)</f>
        <v>581.4</v>
      </c>
      <c r="H79" s="310">
        <f>SUMIF(PURCHASE!$A$6:$A$446,$B$10:$B$494,PURCHASE!$N$6:$N$446)</f>
        <v>581.4</v>
      </c>
      <c r="I79" s="310">
        <f>SUMIF(PURCHASE!$A$6:$A$446,$B$10:$B$494,PURCHASE!$O$6:$O$446)</f>
        <v>0</v>
      </c>
      <c r="J79" s="310">
        <f>SUMIF(PURCHASE!$A$6:$A$446,$B$10:$B$494,PURCHASE!$E$6:$E$446)</f>
        <v>7622.8</v>
      </c>
      <c r="K79" s="310"/>
    </row>
    <row r="80" spans="1:11" ht="14.4" x14ac:dyDescent="0.3">
      <c r="A80" s="8"/>
      <c r="B80" s="417" t="s">
        <v>872</v>
      </c>
      <c r="C80" s="417" t="s">
        <v>873</v>
      </c>
      <c r="D80" s="440">
        <f>COUNTIF(PURCHASE!$A$6:$A$446,$B$10:$B$494)</f>
        <v>1</v>
      </c>
      <c r="E80" s="335">
        <f>SUMIF(PURCHASE!$A$6:$A$446,$B$10:$B$494,PURCHASE!$K$6:$K$446)</f>
        <v>12665</v>
      </c>
      <c r="F80" s="310">
        <f>SUMIF(PURCHASE!$A$6:$A$446,$B$10:$B$494,PURCHASE!$L$6:$L$446)</f>
        <v>0</v>
      </c>
      <c r="G80" s="310">
        <f>SUMIF(PURCHASE!$A$6:$A$446,$B$10:$B$494,PURCHASE!$M$6:$M$446)</f>
        <v>1139.8499999999999</v>
      </c>
      <c r="H80" s="310">
        <f>SUMIF(PURCHASE!$A$6:$A$446,$B$10:$B$494,PURCHASE!$N$6:$N$446)</f>
        <v>1139.8499999999999</v>
      </c>
      <c r="I80" s="310">
        <f>SUMIF(PURCHASE!$A$6:$A$446,$B$10:$B$494,PURCHASE!$O$6:$O$446)</f>
        <v>0</v>
      </c>
      <c r="J80" s="310">
        <f>SUMIF(PURCHASE!$A$6:$A$446,$B$10:$B$494,PURCHASE!$E$6:$E$446)</f>
        <v>14944.7</v>
      </c>
      <c r="K80" s="310"/>
    </row>
    <row r="81" spans="1:11" ht="14.4" x14ac:dyDescent="0.3">
      <c r="A81" s="8"/>
      <c r="B81" s="3" t="s">
        <v>390</v>
      </c>
      <c r="C81" s="3" t="s">
        <v>453</v>
      </c>
      <c r="D81" s="335">
        <f>COUNTIF(PURCHASE!$A$6:$A$446,$B$10:$B$494)</f>
        <v>0</v>
      </c>
      <c r="E81" s="335">
        <f>SUMIF(PURCHASE!$A$6:$A$446,$B$10:$B$494,PURCHASE!$K$6:$K$446)</f>
        <v>0</v>
      </c>
      <c r="F81" s="310">
        <f>SUMIF(PURCHASE!$A$6:$A$446,$B$10:$B$494,PURCHASE!$L$6:$L$446)</f>
        <v>0</v>
      </c>
      <c r="G81" s="310">
        <f>SUMIF(PURCHASE!$A$6:$A$446,$B$10:$B$494,PURCHASE!$M$6:$M$446)</f>
        <v>0</v>
      </c>
      <c r="H81" s="310">
        <f>SUMIF(PURCHASE!$A$6:$A$446,$B$10:$B$494,PURCHASE!$N$6:$N$446)</f>
        <v>0</v>
      </c>
      <c r="I81" s="310">
        <f>SUMIF(PURCHASE!$A$6:$A$446,$B$10:$B$494,PURCHASE!$O$6:$O$446)</f>
        <v>0</v>
      </c>
      <c r="J81" s="310">
        <f>SUMIF(PURCHASE!$A$6:$A$446,$B$10:$B$494,PURCHASE!$E$6:$E$446)</f>
        <v>0</v>
      </c>
      <c r="K81" s="310"/>
    </row>
    <row r="82" spans="1:11" ht="14.4" x14ac:dyDescent="0.3">
      <c r="A82" s="8"/>
      <c r="B82" s="3" t="s">
        <v>391</v>
      </c>
      <c r="C82" s="3" t="s">
        <v>454</v>
      </c>
      <c r="D82" s="335">
        <f>COUNTIF(PURCHASE!$A$6:$A$446,$B$10:$B$494)</f>
        <v>0</v>
      </c>
      <c r="E82" s="335">
        <f>SUMIF(PURCHASE!$A$6:$A$446,$B$10:$B$494,PURCHASE!$K$6:$K$446)</f>
        <v>0</v>
      </c>
      <c r="F82" s="310">
        <f>SUMIF(PURCHASE!$A$6:$A$446,$B$10:$B$494,PURCHASE!$L$6:$L$446)</f>
        <v>0</v>
      </c>
      <c r="G82" s="310">
        <f>SUMIF(PURCHASE!$A$6:$A$446,$B$10:$B$494,PURCHASE!$M$6:$M$446)</f>
        <v>0</v>
      </c>
      <c r="H82" s="310">
        <f>SUMIF(PURCHASE!$A$6:$A$446,$B$10:$B$494,PURCHASE!$N$6:$N$446)</f>
        <v>0</v>
      </c>
      <c r="I82" s="310">
        <f>SUMIF(PURCHASE!$A$6:$A$446,$B$10:$B$494,PURCHASE!$O$6:$O$446)</f>
        <v>0</v>
      </c>
      <c r="J82" s="310">
        <f>SUMIF(PURCHASE!$A$6:$A$446,$B$10:$B$494,PURCHASE!$E$6:$E$446)</f>
        <v>0</v>
      </c>
      <c r="K82" s="310"/>
    </row>
    <row r="83" spans="1:11" ht="14.4" x14ac:dyDescent="0.3">
      <c r="A83" s="8"/>
      <c r="B83" s="3" t="s">
        <v>392</v>
      </c>
      <c r="C83" s="3" t="s">
        <v>455</v>
      </c>
      <c r="D83" s="439">
        <f>COUNTIF(PURCHASE!$A$6:$A$446,$B$10:$B$494)</f>
        <v>23</v>
      </c>
      <c r="E83" s="335">
        <f>SUMIF(PURCHASE!$A$6:$A$446,$B$10:$B$494,PURCHASE!$K$6:$K$446)</f>
        <v>28576.15</v>
      </c>
      <c r="F83" s="310">
        <f>SUMIF(PURCHASE!$A$6:$A$446,$B$10:$B$494,PURCHASE!$L$6:$L$446)</f>
        <v>0</v>
      </c>
      <c r="G83" s="310">
        <f>SUMIF(PURCHASE!$A$6:$A$446,$B$10:$B$494,PURCHASE!$M$6:$M$446)</f>
        <v>2571.8535000000002</v>
      </c>
      <c r="H83" s="310">
        <f>SUMIF(PURCHASE!$A$6:$A$446,$B$10:$B$494,PURCHASE!$N$6:$N$446)</f>
        <v>2571.8535000000002</v>
      </c>
      <c r="I83" s="310">
        <f>SUMIF(PURCHASE!$A$6:$A$446,$B$10:$B$494,PURCHASE!$O$6:$O$446)</f>
        <v>0</v>
      </c>
      <c r="J83" s="310">
        <f>SUMIF(PURCHASE!$A$6:$A$446,$B$10:$B$494,PURCHASE!$E$6:$E$446)</f>
        <v>33719.856999999996</v>
      </c>
      <c r="K83" s="310"/>
    </row>
    <row r="84" spans="1:11" ht="14.4" x14ac:dyDescent="0.3">
      <c r="A84" s="8"/>
      <c r="B84" s="3" t="s">
        <v>874</v>
      </c>
      <c r="C84" s="3" t="s">
        <v>875</v>
      </c>
      <c r="D84" s="440">
        <f>COUNTIF(PURCHASE!$A$6:$A$446,$B$10:$B$494)</f>
        <v>10</v>
      </c>
      <c r="E84" s="335">
        <f>SUMIF(PURCHASE!$A$6:$A$446,$B$10:$B$494,PURCHASE!$K$6:$K$446)</f>
        <v>137999.71999999997</v>
      </c>
      <c r="F84" s="310">
        <f>SUMIF(PURCHASE!$A$6:$A$446,$B$10:$B$494,PURCHASE!$L$6:$L$446)</f>
        <v>0</v>
      </c>
      <c r="G84" s="310">
        <f>SUMIF(PURCHASE!$A$6:$A$446,$B$10:$B$494,PURCHASE!$M$6:$M$446)</f>
        <v>12419.974799999998</v>
      </c>
      <c r="H84" s="310">
        <f>SUMIF(PURCHASE!$A$6:$A$446,$B$10:$B$494,PURCHASE!$N$6:$N$446)</f>
        <v>12419.974799999998</v>
      </c>
      <c r="I84" s="310">
        <f>SUMIF(PURCHASE!$A$6:$A$446,$B$10:$B$494,PURCHASE!$O$6:$O$446)</f>
        <v>0</v>
      </c>
      <c r="J84" s="310">
        <f>SUMIF(PURCHASE!$A$6:$A$446,$B$10:$B$494,PURCHASE!$E$6:$E$446)</f>
        <v>162839.66959999999</v>
      </c>
      <c r="K84" s="310"/>
    </row>
    <row r="85" spans="1:11" ht="14.4" x14ac:dyDescent="0.3">
      <c r="A85" s="8"/>
      <c r="B85" s="3" t="s">
        <v>876</v>
      </c>
      <c r="C85" s="3" t="s">
        <v>877</v>
      </c>
      <c r="D85" s="335">
        <f>COUNTIF(PURCHASE!$A$6:$A$446,$B$10:$B$494)</f>
        <v>0</v>
      </c>
      <c r="E85" s="335">
        <f>SUMIF(PURCHASE!$A$6:$A$446,$B$10:$B$494,PURCHASE!$K$6:$K$446)</f>
        <v>0</v>
      </c>
      <c r="F85" s="310">
        <f>SUMIF(PURCHASE!$A$6:$A$446,$B$10:$B$494,PURCHASE!$L$6:$L$446)</f>
        <v>0</v>
      </c>
      <c r="G85" s="310">
        <f>SUMIF(PURCHASE!$A$6:$A$446,$B$10:$B$494,PURCHASE!$M$6:$M$446)</f>
        <v>0</v>
      </c>
      <c r="H85" s="310">
        <f>SUMIF(PURCHASE!$A$6:$A$446,$B$10:$B$494,PURCHASE!$N$6:$N$446)</f>
        <v>0</v>
      </c>
      <c r="I85" s="310">
        <f>SUMIF(PURCHASE!$A$6:$A$446,$B$10:$B$494,PURCHASE!$O$6:$O$446)</f>
        <v>0</v>
      </c>
      <c r="J85" s="310">
        <f>SUMIF(PURCHASE!$A$6:$A$446,$B$10:$B$494,PURCHASE!$E$6:$E$446)</f>
        <v>0</v>
      </c>
      <c r="K85" s="310"/>
    </row>
    <row r="86" spans="1:11" ht="14.4" x14ac:dyDescent="0.3">
      <c r="A86" s="8"/>
      <c r="B86" s="3" t="s">
        <v>862</v>
      </c>
      <c r="C86" s="3" t="s">
        <v>956</v>
      </c>
      <c r="D86" s="440">
        <f>COUNTIF(PURCHASE!$A$6:$A$446,$B$10:$B$494)</f>
        <v>16</v>
      </c>
      <c r="E86" s="335">
        <f>SUMIF(PURCHASE!$A$6:$A$446,$B$10:$B$494,PURCHASE!$K$6:$K$446)</f>
        <v>454347.22000000003</v>
      </c>
      <c r="F86" s="310">
        <f>SUMIF(PURCHASE!$A$6:$A$446,$B$10:$B$494,PURCHASE!$L$6:$L$446)</f>
        <v>0</v>
      </c>
      <c r="G86" s="310">
        <f>SUMIF(PURCHASE!$A$6:$A$446,$B$10:$B$494,PURCHASE!$M$6:$M$446)</f>
        <v>63608.610800000017</v>
      </c>
      <c r="H86" s="310">
        <f>SUMIF(PURCHASE!$A$6:$A$446,$B$10:$B$494,PURCHASE!$N$6:$N$446)</f>
        <v>63608.610800000017</v>
      </c>
      <c r="I86" s="310">
        <f>SUMIF(PURCHASE!$A$6:$A$446,$B$10:$B$494,PURCHASE!$O$6:$O$446)</f>
        <v>0</v>
      </c>
      <c r="J86" s="310">
        <f>SUMIF(PURCHASE!$A$6:$A$446,$B$10:$B$494,PURCHASE!$E$6:$E$446)</f>
        <v>581564.44160000002</v>
      </c>
      <c r="K86" s="310"/>
    </row>
    <row r="87" spans="1:11" ht="14.4" x14ac:dyDescent="0.3">
      <c r="A87" s="8"/>
      <c r="B87" s="3" t="s">
        <v>957</v>
      </c>
      <c r="C87" s="3" t="s">
        <v>958</v>
      </c>
      <c r="D87" s="440">
        <f>COUNTIF(PURCHASE!$A$6:$A$446,$B$10:$B$494)</f>
        <v>1</v>
      </c>
      <c r="E87" s="335">
        <f>SUMIF(PURCHASE!$A$6:$A$446,$B$10:$B$494,PURCHASE!$K$6:$K$446)</f>
        <v>6897.22</v>
      </c>
      <c r="F87" s="310">
        <f>SUMIF(PURCHASE!$A$6:$A$446,$B$10:$B$494,PURCHASE!$L$6:$L$446)</f>
        <v>0</v>
      </c>
      <c r="G87" s="310">
        <f>SUMIF(PURCHASE!$A$6:$A$446,$B$10:$B$494,PURCHASE!$M$6:$M$446)</f>
        <v>620.74980000000005</v>
      </c>
      <c r="H87" s="310">
        <f>SUMIF(PURCHASE!$A$6:$A$446,$B$10:$B$494,PURCHASE!$N$6:$N$446)</f>
        <v>620.74980000000005</v>
      </c>
      <c r="I87" s="310">
        <f>SUMIF(PURCHASE!$A$6:$A$446,$B$10:$B$494,PURCHASE!$O$6:$O$446)</f>
        <v>0</v>
      </c>
      <c r="J87" s="310">
        <f>SUMIF(PURCHASE!$A$6:$A$446,$B$10:$B$494,PURCHASE!$E$6:$E$446)</f>
        <v>8138.7196000000004</v>
      </c>
      <c r="K87" s="310"/>
    </row>
    <row r="88" spans="1:11" ht="14.4" x14ac:dyDescent="0.3">
      <c r="A88" s="8"/>
      <c r="B88" s="3" t="s">
        <v>878</v>
      </c>
      <c r="C88" s="3" t="s">
        <v>879</v>
      </c>
      <c r="D88" s="440">
        <f>COUNTIF(PURCHASE!$A$6:$A$446,$B$10:$B$494)</f>
        <v>7</v>
      </c>
      <c r="E88" s="335">
        <f>SUMIF(PURCHASE!$A$6:$A$446,$B$10:$B$494,PURCHASE!$K$6:$K$446)</f>
        <v>62459.5</v>
      </c>
      <c r="F88" s="310">
        <f>SUMIF(PURCHASE!$A$6:$A$446,$B$10:$B$494,PURCHASE!$L$6:$L$446)</f>
        <v>0</v>
      </c>
      <c r="G88" s="310">
        <f>SUMIF(PURCHASE!$A$6:$A$446,$B$10:$B$494,PURCHASE!$M$6:$M$446)</f>
        <v>3845.204999999999</v>
      </c>
      <c r="H88" s="310">
        <f>SUMIF(PURCHASE!$A$6:$A$446,$B$10:$B$494,PURCHASE!$N$6:$N$446)</f>
        <v>3845.204999999999</v>
      </c>
      <c r="I88" s="310">
        <f>SUMIF(PURCHASE!$A$6:$A$446,$B$10:$B$494,PURCHASE!$O$6:$O$446)</f>
        <v>0</v>
      </c>
      <c r="J88" s="310">
        <f>SUMIF(PURCHASE!$A$6:$A$446,$B$10:$B$494,PURCHASE!$E$6:$E$446)</f>
        <v>70149.909999999989</v>
      </c>
      <c r="K88" s="310"/>
    </row>
    <row r="89" spans="1:11" ht="14.4" x14ac:dyDescent="0.3">
      <c r="A89" s="8"/>
      <c r="B89" s="3" t="s">
        <v>880</v>
      </c>
      <c r="C89" s="3" t="s">
        <v>881</v>
      </c>
      <c r="D89" s="335">
        <f>COUNTIF(PURCHASE!$A$6:$A$446,$B$10:$B$494)</f>
        <v>0</v>
      </c>
      <c r="E89" s="335">
        <f>SUMIF(PURCHASE!$A$6:$A$446,$B$10:$B$494,PURCHASE!$K$6:$K$446)</f>
        <v>0</v>
      </c>
      <c r="F89" s="310">
        <f>SUMIF(PURCHASE!$A$6:$A$446,$B$10:$B$494,PURCHASE!$L$6:$L$446)</f>
        <v>0</v>
      </c>
      <c r="G89" s="310">
        <f>SUMIF(PURCHASE!$A$6:$A$446,$B$10:$B$494,PURCHASE!$M$6:$M$446)</f>
        <v>0</v>
      </c>
      <c r="H89" s="310">
        <f>SUMIF(PURCHASE!$A$6:$A$446,$B$10:$B$494,PURCHASE!$N$6:$N$446)</f>
        <v>0</v>
      </c>
      <c r="I89" s="310">
        <f>SUMIF(PURCHASE!$A$6:$A$446,$B$10:$B$494,PURCHASE!$O$6:$O$446)</f>
        <v>0</v>
      </c>
      <c r="J89" s="310">
        <f>SUMIF(PURCHASE!$A$6:$A$446,$B$10:$B$494,PURCHASE!$E$6:$E$446)</f>
        <v>0</v>
      </c>
      <c r="K89" s="310"/>
    </row>
    <row r="90" spans="1:11" ht="14.4" x14ac:dyDescent="0.3">
      <c r="A90" s="12"/>
      <c r="B90" s="3" t="s">
        <v>959</v>
      </c>
      <c r="C90" s="3" t="s">
        <v>960</v>
      </c>
      <c r="D90" s="335">
        <f>COUNTIF(PURCHASE!$A$6:$A$446,$B$10:$B$494)</f>
        <v>0</v>
      </c>
      <c r="E90" s="335">
        <f>SUMIF(PURCHASE!$A$6:$A$446,$B$10:$B$494,PURCHASE!$K$6:$K$446)</f>
        <v>0</v>
      </c>
      <c r="F90" s="310">
        <f>SUMIF(PURCHASE!$A$6:$A$446,$B$10:$B$494,PURCHASE!$L$6:$L$446)</f>
        <v>0</v>
      </c>
      <c r="G90" s="310">
        <f>SUMIF(PURCHASE!$A$6:$A$446,$B$10:$B$494,PURCHASE!$M$6:$M$446)</f>
        <v>0</v>
      </c>
      <c r="H90" s="310">
        <f>SUMIF(PURCHASE!$A$6:$A$446,$B$10:$B$494,PURCHASE!$N$6:$N$446)</f>
        <v>0</v>
      </c>
      <c r="I90" s="310">
        <f>SUMIF(PURCHASE!$A$6:$A$446,$B$10:$B$494,PURCHASE!$O$6:$O$446)</f>
        <v>0</v>
      </c>
      <c r="J90" s="310">
        <f>SUMIF(PURCHASE!$A$6:$A$446,$B$10:$B$494,PURCHASE!$E$6:$E$446)</f>
        <v>0</v>
      </c>
      <c r="K90" s="310"/>
    </row>
    <row r="91" spans="1:11" ht="14.4" x14ac:dyDescent="0.3">
      <c r="B91" s="417" t="s">
        <v>961</v>
      </c>
      <c r="C91" s="417" t="s">
        <v>962</v>
      </c>
      <c r="D91" s="440">
        <f>COUNTIF(PURCHASE!$A$6:$A$446,$B$10:$B$494)</f>
        <v>2</v>
      </c>
      <c r="E91" s="335">
        <f>SUMIF(PURCHASE!$A$6:$A$446,$B$10:$B$494,PURCHASE!$K$6:$K$446)</f>
        <v>49152.3</v>
      </c>
      <c r="F91" s="310">
        <f>SUMIF(PURCHASE!$A$6:$A$446,$B$10:$B$494,PURCHASE!$L$6:$L$446)</f>
        <v>0</v>
      </c>
      <c r="G91" s="310">
        <f>SUMIF(PURCHASE!$A$6:$A$446,$B$10:$B$494,PURCHASE!$M$6:$M$446)</f>
        <v>4423.7070000000003</v>
      </c>
      <c r="H91" s="310">
        <f>SUMIF(PURCHASE!$A$6:$A$446,$B$10:$B$494,PURCHASE!$N$6:$N$446)</f>
        <v>4423.7070000000003</v>
      </c>
      <c r="I91" s="310">
        <f>SUMIF(PURCHASE!$A$6:$A$446,$B$10:$B$494,PURCHASE!$O$6:$O$446)</f>
        <v>0</v>
      </c>
      <c r="J91" s="310">
        <f>SUMIF(PURCHASE!$A$6:$A$446,$B$10:$B$494,PURCHASE!$E$6:$E$446)</f>
        <v>57999.714</v>
      </c>
      <c r="K91" s="310"/>
    </row>
    <row r="92" spans="1:11" ht="14.4" x14ac:dyDescent="0.3">
      <c r="B92" s="417" t="s">
        <v>963</v>
      </c>
      <c r="C92" s="417" t="s">
        <v>964</v>
      </c>
      <c r="D92" s="440">
        <f>COUNTIF(PURCHASE!$A$6:$A$446,$B$10:$B$494)</f>
        <v>7</v>
      </c>
      <c r="E92" s="335">
        <f>SUMIF(PURCHASE!$A$6:$A$446,$B$10:$B$494,PURCHASE!$K$6:$K$446)</f>
        <v>246382</v>
      </c>
      <c r="F92" s="310">
        <f>SUMIF(PURCHASE!$A$6:$A$446,$B$10:$B$494,PURCHASE!$L$6:$L$446)</f>
        <v>0</v>
      </c>
      <c r="G92" s="310">
        <f>SUMIF(PURCHASE!$A$6:$A$446,$B$10:$B$494,PURCHASE!$M$6:$M$446)</f>
        <v>22174.379999999997</v>
      </c>
      <c r="H92" s="310">
        <f>SUMIF(PURCHASE!$A$6:$A$446,$B$10:$B$494,PURCHASE!$N$6:$N$446)</f>
        <v>22174.379999999997</v>
      </c>
      <c r="I92" s="310">
        <f>SUMIF(PURCHASE!$A$6:$A$446,$B$10:$B$494,PURCHASE!$O$6:$O$446)</f>
        <v>0</v>
      </c>
      <c r="J92" s="310">
        <f>SUMIF(PURCHASE!$A$6:$A$446,$B$10:$B$494,PURCHASE!$E$6:$E$446)</f>
        <v>290730.76</v>
      </c>
      <c r="K92" s="310"/>
    </row>
    <row r="93" spans="1:11" ht="14.4" x14ac:dyDescent="0.3">
      <c r="B93" s="417" t="s">
        <v>965</v>
      </c>
      <c r="C93" s="417" t="s">
        <v>966</v>
      </c>
      <c r="D93" s="440">
        <f>COUNTIF(PURCHASE!$A$6:$A$446,$B$10:$B$494)</f>
        <v>1</v>
      </c>
      <c r="E93" s="335">
        <f>SUMIF(PURCHASE!$A$6:$A$446,$B$10:$B$494,PURCHASE!$K$6:$K$446)</f>
        <v>13200</v>
      </c>
      <c r="F93" s="310">
        <f>SUMIF(PURCHASE!$A$6:$A$446,$B$10:$B$494,PURCHASE!$L$6:$L$446)</f>
        <v>0</v>
      </c>
      <c r="G93" s="310">
        <f>SUMIF(PURCHASE!$A$6:$A$446,$B$10:$B$494,PURCHASE!$M$6:$M$446)</f>
        <v>792</v>
      </c>
      <c r="H93" s="310">
        <f>SUMIF(PURCHASE!$A$6:$A$446,$B$10:$B$494,PURCHASE!$N$6:$N$446)</f>
        <v>792</v>
      </c>
      <c r="I93" s="310">
        <f>SUMIF(PURCHASE!$A$6:$A$446,$B$10:$B$494,PURCHASE!$O$6:$O$446)</f>
        <v>0</v>
      </c>
      <c r="J93" s="310">
        <f>SUMIF(PURCHASE!$A$6:$A$446,$B$10:$B$494,PURCHASE!$E$6:$E$446)</f>
        <v>14784</v>
      </c>
      <c r="K93" s="310"/>
    </row>
    <row r="94" spans="1:11" ht="14.4" x14ac:dyDescent="0.3">
      <c r="B94" s="417" t="s">
        <v>967</v>
      </c>
      <c r="C94" s="417" t="s">
        <v>968</v>
      </c>
      <c r="D94" s="440">
        <f>COUNTIF(PURCHASE!$A$6:$A$446,$B$10:$B$494)</f>
        <v>1</v>
      </c>
      <c r="E94" s="335">
        <f>SUMIF(PURCHASE!$A$6:$A$446,$B$10:$B$494,PURCHASE!$K$6:$K$446)</f>
        <v>350000</v>
      </c>
      <c r="F94" s="310">
        <f>SUMIF(PURCHASE!$A$6:$A$446,$B$10:$B$494,PURCHASE!$L$6:$L$446)</f>
        <v>0</v>
      </c>
      <c r="G94" s="310">
        <f>SUMIF(PURCHASE!$A$6:$A$446,$B$10:$B$494,PURCHASE!$M$6:$M$446)</f>
        <v>31500</v>
      </c>
      <c r="H94" s="310">
        <f>SUMIF(PURCHASE!$A$6:$A$446,$B$10:$B$494,PURCHASE!$N$6:$N$446)</f>
        <v>31500</v>
      </c>
      <c r="I94" s="310">
        <f>SUMIF(PURCHASE!$A$6:$A$446,$B$10:$B$494,PURCHASE!$O$6:$O$446)</f>
        <v>0</v>
      </c>
      <c r="J94" s="310">
        <f>SUMIF(PURCHASE!$A$6:$A$446,$B$10:$B$494,PURCHASE!$E$6:$E$446)</f>
        <v>413000</v>
      </c>
      <c r="K94" s="310"/>
    </row>
    <row r="95" spans="1:11" ht="14.4" x14ac:dyDescent="0.3">
      <c r="B95" s="423" t="s">
        <v>969</v>
      </c>
      <c r="C95" s="424" t="s">
        <v>970</v>
      </c>
      <c r="D95" s="440">
        <f>COUNTIF(PURCHASE!$A$6:$A$446,$B$10:$B$494)</f>
        <v>1</v>
      </c>
      <c r="E95" s="335">
        <f>SUMIF(PURCHASE!$A$6:$A$446,$B$10:$B$494,PURCHASE!$K$6:$K$446)</f>
        <v>10000</v>
      </c>
      <c r="F95" s="310">
        <f>SUMIF(PURCHASE!$A$6:$A$446,$B$10:$B$494,PURCHASE!$L$6:$L$446)</f>
        <v>0</v>
      </c>
      <c r="G95" s="310">
        <f>SUMIF(PURCHASE!$A$6:$A$446,$B$10:$B$494,PURCHASE!$M$6:$M$446)</f>
        <v>900</v>
      </c>
      <c r="H95" s="310">
        <f>SUMIF(PURCHASE!$A$6:$A$446,$B$10:$B$494,PURCHASE!$N$6:$N$446)</f>
        <v>900</v>
      </c>
      <c r="I95" s="310">
        <f>SUMIF(PURCHASE!$A$6:$A$446,$B$10:$B$494,PURCHASE!$O$6:$O$446)</f>
        <v>0</v>
      </c>
      <c r="J95" s="310">
        <f>SUMIF(PURCHASE!$A$6:$A$446,$B$10:$B$494,PURCHASE!$E$6:$E$446)</f>
        <v>11800</v>
      </c>
      <c r="K95" s="310"/>
    </row>
    <row r="96" spans="1:11" ht="14.4" x14ac:dyDescent="0.3">
      <c r="B96" s="417" t="s">
        <v>971</v>
      </c>
      <c r="C96" s="417" t="s">
        <v>972</v>
      </c>
      <c r="D96" s="440">
        <f>COUNTIF(PURCHASE!$A$6:$A$446,$B$10:$B$494)</f>
        <v>2</v>
      </c>
      <c r="E96" s="335">
        <f>SUMIF(PURCHASE!$A$6:$A$446,$B$10:$B$494,PURCHASE!$K$6:$K$446)</f>
        <v>720040.7</v>
      </c>
      <c r="F96" s="310">
        <f>SUMIF(PURCHASE!$A$6:$A$446,$B$10:$B$494,PURCHASE!$L$6:$L$446)</f>
        <v>0</v>
      </c>
      <c r="G96" s="310">
        <f>SUMIF(PURCHASE!$A$6:$A$446,$B$10:$B$494,PURCHASE!$M$6:$M$446)</f>
        <v>64803.662999999993</v>
      </c>
      <c r="H96" s="310">
        <f>SUMIF(PURCHASE!$A$6:$A$446,$B$10:$B$494,PURCHASE!$N$6:$N$446)</f>
        <v>64803.662999999993</v>
      </c>
      <c r="I96" s="310">
        <f>SUMIF(PURCHASE!$A$6:$A$446,$B$10:$B$494,PURCHASE!$O$6:$O$446)</f>
        <v>0</v>
      </c>
      <c r="J96" s="310">
        <f>SUMIF(PURCHASE!$A$6:$A$446,$B$10:$B$494,PURCHASE!$E$6:$E$446)</f>
        <v>849648.02599999995</v>
      </c>
      <c r="K96" s="310"/>
    </row>
    <row r="97" spans="2:11" ht="14.4" x14ac:dyDescent="0.3">
      <c r="B97" s="417" t="s">
        <v>973</v>
      </c>
      <c r="C97" s="417" t="s">
        <v>974</v>
      </c>
      <c r="D97" s="440">
        <f>COUNTIF(PURCHASE!$A$6:$A$446,$B$10:$B$494)</f>
        <v>2</v>
      </c>
      <c r="E97" s="335">
        <f>SUMIF(PURCHASE!$A$6:$A$446,$B$10:$B$494,PURCHASE!$K$6:$K$446)</f>
        <v>1982750</v>
      </c>
      <c r="F97" s="310">
        <f>SUMIF(PURCHASE!$A$6:$A$446,$B$10:$B$494,PURCHASE!$L$6:$L$446)</f>
        <v>0</v>
      </c>
      <c r="G97" s="310">
        <f>SUMIF(PURCHASE!$A$6:$A$446,$B$10:$B$494,PURCHASE!$M$6:$M$446)</f>
        <v>178447.5</v>
      </c>
      <c r="H97" s="310">
        <f>SUMIF(PURCHASE!$A$6:$A$446,$B$10:$B$494,PURCHASE!$N$6:$N$446)</f>
        <v>178447.5</v>
      </c>
      <c r="I97" s="310">
        <f>SUMIF(PURCHASE!$A$6:$A$446,$B$10:$B$494,PURCHASE!$O$6:$O$446)</f>
        <v>0</v>
      </c>
      <c r="J97" s="310">
        <f>SUMIF(PURCHASE!$A$6:$A$446,$B$10:$B$494,PURCHASE!$E$6:$E$446)</f>
        <v>2339645</v>
      </c>
      <c r="K97" s="310"/>
    </row>
    <row r="98" spans="2:11" ht="14.4" x14ac:dyDescent="0.3">
      <c r="B98" s="417" t="s">
        <v>921</v>
      </c>
      <c r="C98" s="417" t="s">
        <v>975</v>
      </c>
      <c r="D98" s="440">
        <f>COUNTIF(PURCHASE!$A$6:$A$446,$B$10:$B$494)</f>
        <v>1</v>
      </c>
      <c r="E98" s="335">
        <f>SUMIF(PURCHASE!$A$6:$A$446,$B$10:$B$494,PURCHASE!$K$6:$K$446)</f>
        <v>847.46</v>
      </c>
      <c r="F98" s="310">
        <f>SUMIF(PURCHASE!$A$6:$A$446,$B$10:$B$494,PURCHASE!$L$6:$L$446)</f>
        <v>0</v>
      </c>
      <c r="G98" s="310">
        <f>SUMIF(PURCHASE!$A$6:$A$446,$B$10:$B$494,PURCHASE!$M$6:$M$446)</f>
        <v>76.2714</v>
      </c>
      <c r="H98" s="310">
        <f>SUMIF(PURCHASE!$A$6:$A$446,$B$10:$B$494,PURCHASE!$N$6:$N$446)</f>
        <v>76.2714</v>
      </c>
      <c r="I98" s="310">
        <f>SUMIF(PURCHASE!$A$6:$A$446,$B$10:$B$494,PURCHASE!$O$6:$O$446)</f>
        <v>0</v>
      </c>
      <c r="J98" s="310">
        <f>SUMIF(PURCHASE!$A$6:$A$446,$B$10:$B$494,PURCHASE!$E$6:$E$446)</f>
        <v>1000.0028</v>
      </c>
      <c r="K98" s="310"/>
    </row>
    <row r="99" spans="2:11" x14ac:dyDescent="0.25">
      <c r="D99" s="335">
        <f>COUNTIF(PURCHASE!$A$6:$A$446,$B$10:$B$494)</f>
        <v>0</v>
      </c>
      <c r="E99" s="335">
        <f>SUMIF(PURCHASE!$A$6:$A$446,$B$10:$B$494,PURCHASE!$K$6:$K$446)</f>
        <v>0</v>
      </c>
      <c r="F99" s="310">
        <f>SUMIF(PURCHASE!$A$6:$A$446,$B$10:$B$494,PURCHASE!$L$6:$L$446)</f>
        <v>0</v>
      </c>
      <c r="G99" s="310">
        <f>SUMIF(PURCHASE!$A$6:$A$446,$B$10:$B$494,PURCHASE!$M$6:$M$446)</f>
        <v>0</v>
      </c>
      <c r="H99" s="310">
        <f>SUMIF(PURCHASE!$A$6:$A$446,$B$10:$B$494,PURCHASE!$N$6:$N$446)</f>
        <v>0</v>
      </c>
      <c r="I99" s="310">
        <f>SUMIF(PURCHASE!$A$6:$A$446,$B$10:$B$494,PURCHASE!$O$6:$O$446)</f>
        <v>0</v>
      </c>
      <c r="J99" s="310">
        <f>SUMIF(PURCHASE!$A$6:$A$446,$B$10:$B$494,PURCHASE!$E$6:$E$446)</f>
        <v>0</v>
      </c>
      <c r="K99" s="310"/>
    </row>
  </sheetData>
  <mergeCells count="1">
    <mergeCell ref="A2:J2"/>
  </mergeCells>
  <conditionalFormatting sqref="A10:C98">
    <cfRule type="duplicateValues" dxfId="0" priority="1"/>
  </conditionalFormatting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'SALE MASTER'!$M$2:$M$13</xm:f>
          </x14:formula1>
          <xm:sqref>J4</xm:sqref>
        </x14:dataValidation>
        <x14:dataValidation type="list" allowBlank="1" showInputMessage="1" showErrorMessage="1">
          <x14:formula1>
            <xm:f>'SALE MASTER'!$N$2:$N$10</xm:f>
          </x14:formula1>
          <xm:sqref>J3</xm:sqref>
        </x14:dataValidation>
      </x14:dataValidation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opLeftCell="F40" workbookViewId="0">
      <selection activeCell="D23" sqref="D23"/>
    </sheetView>
  </sheetViews>
  <sheetFormatPr defaultRowHeight="14.4" x14ac:dyDescent="0.3"/>
  <cols>
    <col min="1" max="1" width="13.44140625" customWidth="1"/>
    <col min="2" max="2" width="12.6640625" style="128" bestFit="1" customWidth="1"/>
    <col min="3" max="3" width="12.6640625" bestFit="1" customWidth="1"/>
    <col min="4" max="4" width="12.6640625" style="128" bestFit="1" customWidth="1"/>
    <col min="5" max="5" width="10" style="128" customWidth="1"/>
    <col min="6" max="6" width="8.88671875" style="128"/>
    <col min="7" max="7" width="10.33203125" style="128" customWidth="1"/>
    <col min="8" max="8" width="13.33203125" style="128" customWidth="1"/>
    <col min="9" max="9" width="13" customWidth="1"/>
    <col min="10" max="10" width="12.6640625" style="128" bestFit="1" customWidth="1"/>
    <col min="11" max="11" width="12.44140625" style="128" customWidth="1"/>
    <col min="12" max="12" width="14" customWidth="1"/>
    <col min="13" max="13" width="13.33203125" style="128" customWidth="1"/>
    <col min="14" max="14" width="13.6640625" style="128" customWidth="1"/>
    <col min="15" max="15" width="9.6640625" customWidth="1"/>
    <col min="16" max="16" width="8.88671875" style="128"/>
    <col min="17" max="17" width="9.44140625" style="128" customWidth="1"/>
    <col min="18" max="18" width="13.6640625" customWidth="1"/>
    <col min="19" max="19" width="10" customWidth="1"/>
    <col min="20" max="20" width="13.6640625" customWidth="1"/>
  </cols>
  <sheetData>
    <row r="1" spans="1:20" ht="19.2" thickTop="1" thickBot="1" x14ac:dyDescent="0.4">
      <c r="A1" s="527" t="s">
        <v>636</v>
      </c>
      <c r="B1" s="528"/>
      <c r="C1" s="528"/>
      <c r="D1" s="528"/>
      <c r="E1" s="528"/>
      <c r="F1" s="528"/>
      <c r="G1" s="528"/>
      <c r="H1" s="528"/>
      <c r="I1" s="528"/>
      <c r="J1" s="528"/>
      <c r="K1" s="528"/>
      <c r="L1" s="528"/>
      <c r="M1" s="528"/>
      <c r="N1" s="528"/>
      <c r="O1" s="528"/>
      <c r="P1" s="528"/>
      <c r="Q1" s="528"/>
      <c r="R1" s="233" t="s">
        <v>637</v>
      </c>
      <c r="S1" s="234" t="s">
        <v>288</v>
      </c>
    </row>
    <row r="2" spans="1:20" ht="16.8" thickTop="1" thickBot="1" x14ac:dyDescent="0.35">
      <c r="A2" s="529" t="s">
        <v>640</v>
      </c>
      <c r="B2" s="530"/>
      <c r="C2" s="531"/>
      <c r="D2" s="377"/>
      <c r="E2" s="377"/>
      <c r="F2" s="377"/>
      <c r="G2" s="377"/>
      <c r="H2" s="377"/>
      <c r="I2" s="240" t="s">
        <v>650</v>
      </c>
      <c r="J2" s="378"/>
      <c r="K2" s="378"/>
      <c r="L2" s="134"/>
      <c r="M2" s="134"/>
      <c r="N2" s="134"/>
      <c r="O2" s="134"/>
      <c r="P2" s="134"/>
      <c r="Q2" s="134"/>
      <c r="R2" s="237"/>
      <c r="S2" s="239"/>
    </row>
    <row r="3" spans="1:20" ht="16.2" thickBot="1" x14ac:dyDescent="0.35">
      <c r="A3" s="181" t="s">
        <v>638</v>
      </c>
      <c r="B3" s="135"/>
      <c r="C3" s="136"/>
      <c r="D3" s="135"/>
      <c r="E3" s="135"/>
      <c r="F3" s="135"/>
      <c r="G3" s="135"/>
      <c r="H3" s="135"/>
      <c r="I3" s="241" t="s">
        <v>639</v>
      </c>
      <c r="J3" s="379"/>
      <c r="K3" s="379"/>
      <c r="L3" s="135"/>
      <c r="M3" s="135"/>
      <c r="N3" s="135"/>
      <c r="O3" s="135"/>
      <c r="P3" s="135"/>
      <c r="Q3" s="135"/>
      <c r="R3" s="235" t="s">
        <v>281</v>
      </c>
      <c r="S3" s="236" t="s">
        <v>287</v>
      </c>
    </row>
    <row r="4" spans="1:20" ht="15" thickBot="1" x14ac:dyDescent="0.35">
      <c r="A4" s="532" t="s">
        <v>641</v>
      </c>
      <c r="B4" s="533"/>
      <c r="C4" s="533"/>
      <c r="D4" s="533"/>
      <c r="E4" s="533"/>
      <c r="F4" s="533"/>
      <c r="G4" s="533"/>
      <c r="H4" s="533"/>
      <c r="I4" s="533"/>
      <c r="J4" s="533"/>
      <c r="K4" s="533"/>
      <c r="L4" s="533"/>
      <c r="M4" s="533"/>
      <c r="N4" s="533"/>
      <c r="O4" s="533"/>
      <c r="P4" s="533"/>
      <c r="Q4" s="533"/>
      <c r="R4" s="533"/>
      <c r="S4" s="534"/>
    </row>
    <row r="5" spans="1:20" ht="15" thickBot="1" x14ac:dyDescent="0.35">
      <c r="A5" s="537" t="s">
        <v>651</v>
      </c>
      <c r="B5" s="535"/>
      <c r="C5" s="535"/>
      <c r="D5" s="535"/>
      <c r="E5" s="535"/>
      <c r="F5" s="535"/>
      <c r="G5" s="535"/>
      <c r="H5" s="535"/>
      <c r="I5" s="535"/>
      <c r="J5" s="302"/>
      <c r="K5" s="537" t="s">
        <v>911</v>
      </c>
      <c r="L5" s="535"/>
      <c r="M5" s="535"/>
      <c r="N5" s="535"/>
      <c r="O5" s="535"/>
      <c r="P5" s="535"/>
      <c r="Q5" s="535"/>
      <c r="R5" s="381"/>
      <c r="S5" s="382"/>
    </row>
    <row r="6" spans="1:20" ht="15" thickBot="1" x14ac:dyDescent="0.35">
      <c r="A6" s="243" t="s">
        <v>910</v>
      </c>
      <c r="B6" s="525" t="s">
        <v>837</v>
      </c>
      <c r="C6" s="535"/>
      <c r="D6" s="535"/>
      <c r="E6" s="535"/>
      <c r="F6" s="535"/>
      <c r="G6" s="535"/>
      <c r="H6" s="535"/>
      <c r="I6" s="536"/>
      <c r="J6" s="380"/>
      <c r="K6" s="243" t="s">
        <v>910</v>
      </c>
      <c r="L6" s="525" t="s">
        <v>837</v>
      </c>
      <c r="M6" s="535"/>
      <c r="N6" s="535"/>
      <c r="O6" s="535"/>
      <c r="P6" s="535"/>
      <c r="Q6" s="535"/>
      <c r="R6" s="535"/>
      <c r="S6" s="536"/>
      <c r="T6" s="380"/>
    </row>
    <row r="7" spans="1:20" s="128" customFormat="1" ht="15" thickBot="1" x14ac:dyDescent="0.35">
      <c r="A7" s="243" t="s">
        <v>0</v>
      </c>
      <c r="B7" s="385" t="s">
        <v>72</v>
      </c>
      <c r="C7" s="383"/>
      <c r="D7" s="384"/>
      <c r="E7" s="385" t="s">
        <v>841</v>
      </c>
      <c r="F7" s="383"/>
      <c r="G7" s="384"/>
      <c r="H7" s="525" t="s">
        <v>899</v>
      </c>
      <c r="I7" s="526"/>
      <c r="J7" s="302" t="s">
        <v>93</v>
      </c>
      <c r="K7" s="243" t="s">
        <v>0</v>
      </c>
      <c r="L7" s="385" t="s">
        <v>72</v>
      </c>
      <c r="M7" s="383"/>
      <c r="N7" s="384"/>
      <c r="O7" s="385" t="s">
        <v>841</v>
      </c>
      <c r="P7" s="383"/>
      <c r="Q7" s="384"/>
      <c r="R7" s="525" t="s">
        <v>899</v>
      </c>
      <c r="S7" s="526"/>
      <c r="T7" s="302" t="s">
        <v>93</v>
      </c>
    </row>
    <row r="8" spans="1:20" ht="15" thickBot="1" x14ac:dyDescent="0.35">
      <c r="A8" s="152" t="s">
        <v>646</v>
      </c>
      <c r="B8" s="137" t="s">
        <v>909</v>
      </c>
      <c r="C8" s="137" t="s">
        <v>78</v>
      </c>
      <c r="D8" s="137" t="s">
        <v>93</v>
      </c>
      <c r="E8" s="137" t="s">
        <v>909</v>
      </c>
      <c r="F8" s="137" t="s">
        <v>78</v>
      </c>
      <c r="G8" s="137" t="s">
        <v>93</v>
      </c>
      <c r="H8" s="137" t="s">
        <v>909</v>
      </c>
      <c r="I8" s="137" t="s">
        <v>78</v>
      </c>
      <c r="J8" s="383"/>
      <c r="K8" s="152" t="s">
        <v>646</v>
      </c>
      <c r="L8" s="137" t="s">
        <v>909</v>
      </c>
      <c r="M8" s="137" t="s">
        <v>78</v>
      </c>
      <c r="N8" s="137" t="s">
        <v>93</v>
      </c>
      <c r="O8" s="137" t="s">
        <v>909</v>
      </c>
      <c r="P8" s="137" t="s">
        <v>78</v>
      </c>
      <c r="Q8" s="137" t="s">
        <v>93</v>
      </c>
      <c r="R8" s="137" t="s">
        <v>909</v>
      </c>
      <c r="S8" s="137" t="s">
        <v>78</v>
      </c>
      <c r="T8" s="383"/>
    </row>
    <row r="9" spans="1:20" x14ac:dyDescent="0.3">
      <c r="A9" s="386" t="s">
        <v>904</v>
      </c>
      <c r="B9" s="138">
        <f>SUMIF(SALE!$R$6:$R$493,$A$9:$A$14,SALE!$K$6:$K$493)</f>
        <v>0</v>
      </c>
      <c r="C9" s="140">
        <f>SUMIF(SALE!$R$7:$R$372,A9:A14,SALE!$M$7:$M$372)</f>
        <v>0</v>
      </c>
      <c r="D9" s="138">
        <f>+C9+B9</f>
        <v>0</v>
      </c>
      <c r="E9" s="138">
        <f>SUMIF('SALES RETURN'!$T$9:$T$250,A9:A14,'SALES RETURN'!$L$9:$L$500)</f>
        <v>0</v>
      </c>
      <c r="F9" s="138">
        <f>SUMIF('SALES RETURN'!$T$9:$T$250,A9:A14,'SALES RETURN'!$O$9:$O$500)</f>
        <v>0</v>
      </c>
      <c r="G9" s="138">
        <f>+E9+F9</f>
        <v>0</v>
      </c>
      <c r="H9" s="138">
        <f>+B9-E9</f>
        <v>0</v>
      </c>
      <c r="I9" s="140">
        <f t="shared" ref="I9:I14" si="0">+C9-F9</f>
        <v>0</v>
      </c>
      <c r="J9" s="138">
        <f>+I9+H9</f>
        <v>0</v>
      </c>
      <c r="K9" s="386" t="s">
        <v>904</v>
      </c>
      <c r="L9" s="138">
        <f ca="1">SUMIF(PURCHASE!$W$6:$W$458,$A$9:$A$14,PURCHASE!$K$7:$K$458)</f>
        <v>0</v>
      </c>
      <c r="M9" s="138">
        <f>SUMIF(PURCHASE!$W$6:$W$458,$A$9:$A$14,PURCHASE!$L$6:$L$458)</f>
        <v>0</v>
      </c>
      <c r="N9" s="138">
        <f ca="1">+M9+L9</f>
        <v>0</v>
      </c>
      <c r="O9" s="138">
        <f>SUMIF('PURCHASE RETURN'!$X$5:$X$500,K9:K14,'PURCHASE RETURN'!$L$5:$L$500)</f>
        <v>0</v>
      </c>
      <c r="P9" s="138">
        <f>SUMIF('PURCHASE RETURN'!$X$5:$X$500,K9:K14,'PURCHASE RETURN'!$M$5:$M$500)</f>
        <v>0</v>
      </c>
      <c r="Q9" s="138">
        <f>+O9+P9</f>
        <v>0</v>
      </c>
      <c r="R9" s="138">
        <f ca="1">+L9-O9</f>
        <v>0</v>
      </c>
      <c r="S9" s="138">
        <f>+O9-P9</f>
        <v>0</v>
      </c>
      <c r="T9" s="138">
        <f ca="1">+S9+R9</f>
        <v>0</v>
      </c>
    </row>
    <row r="10" spans="1:20" x14ac:dyDescent="0.3">
      <c r="A10" s="386" t="s">
        <v>905</v>
      </c>
      <c r="B10" s="140">
        <f>SUMIF(SALE!$R$6:$R$493,$A$9:$A$14,SALE!$K$6:$K$493)</f>
        <v>0</v>
      </c>
      <c r="C10" s="140">
        <f>SUMIF(SALE!$R$7:$R$372,A10:A15,SALE!$M$7:$M$372)</f>
        <v>0</v>
      </c>
      <c r="D10" s="140">
        <f t="shared" ref="D10:D14" si="1">+C10+B10</f>
        <v>0</v>
      </c>
      <c r="E10" s="140">
        <f>SUMIF('SALES RETURN'!$T$9:$T$250,A10:A15,'SALES RETURN'!$L$9:$L$500)</f>
        <v>0</v>
      </c>
      <c r="F10" s="140">
        <f>SUMIF('SALES RETURN'!$T$9:$T$250,A10:A15,'SALES RETURN'!$O$9:$O$500)</f>
        <v>0</v>
      </c>
      <c r="G10" s="140">
        <f t="shared" ref="G10:G14" si="2">+E10+F10</f>
        <v>0</v>
      </c>
      <c r="H10" s="140">
        <f t="shared" ref="H10:H14" si="3">+B10-E10</f>
        <v>0</v>
      </c>
      <c r="I10" s="140">
        <f t="shared" si="0"/>
        <v>0</v>
      </c>
      <c r="J10" s="140">
        <f t="shared" ref="J10:J14" si="4">+I10+H10</f>
        <v>0</v>
      </c>
      <c r="K10" s="386" t="s">
        <v>905</v>
      </c>
      <c r="L10" s="140">
        <f ca="1">SUMIF(PURCHASE!$W$6:$W$458,$A$9:$A$14,PURCHASE!$K$7:$K$458)</f>
        <v>0</v>
      </c>
      <c r="M10" s="140">
        <f>SUMIF(PURCHASE!$W$6:$W$458,$A$9:$A$14,PURCHASE!$L$6:$L$458)</f>
        <v>0</v>
      </c>
      <c r="N10" s="140">
        <f t="shared" ref="N10:N14" ca="1" si="5">+M10+L10</f>
        <v>0</v>
      </c>
      <c r="O10" s="140">
        <f>SUMIF('PURCHASE RETURN'!$X$5:$X$500,K10:K15,'PURCHASE RETURN'!$L$5:$L$500)</f>
        <v>0</v>
      </c>
      <c r="P10" s="140">
        <f>SUMIF('PURCHASE RETURN'!$X$5:$X$500,K10:K15,'PURCHASE RETURN'!$M$5:$M$500)</f>
        <v>0</v>
      </c>
      <c r="Q10" s="140">
        <f t="shared" ref="Q10:Q14" si="6">+O10+P10</f>
        <v>0</v>
      </c>
      <c r="R10" s="140">
        <f t="shared" ref="R10:R14" ca="1" si="7">+L10-O10</f>
        <v>0</v>
      </c>
      <c r="S10" s="140">
        <f t="shared" ref="S10:S14" si="8">+O10-P10</f>
        <v>0</v>
      </c>
      <c r="T10" s="140">
        <f t="shared" ref="T10:T14" ca="1" si="9">+S10+R10</f>
        <v>0</v>
      </c>
    </row>
    <row r="11" spans="1:20" x14ac:dyDescent="0.3">
      <c r="A11" s="386" t="s">
        <v>906</v>
      </c>
      <c r="B11" s="140">
        <f>SUMIF(SALE!$R$6:$R$493,$A$9:$A$14,SALE!$K$6:$K$493)</f>
        <v>0</v>
      </c>
      <c r="C11" s="140">
        <f>SUMIF(SALE!$R$7:$R$372,A11:A16,SALE!$M$7:$M$372)</f>
        <v>0</v>
      </c>
      <c r="D11" s="140">
        <f t="shared" si="1"/>
        <v>0</v>
      </c>
      <c r="E11" s="140">
        <f>SUMIF('SALES RETURN'!$T$9:$T$250,A11:A16,'SALES RETURN'!$L$9:$L$500)</f>
        <v>0</v>
      </c>
      <c r="F11" s="140">
        <f>SUMIF('SALES RETURN'!$T$9:$T$250,A11:A16,'SALES RETURN'!$O$9:$O$500)</f>
        <v>0</v>
      </c>
      <c r="G11" s="140">
        <f t="shared" si="2"/>
        <v>0</v>
      </c>
      <c r="H11" s="140">
        <f t="shared" si="3"/>
        <v>0</v>
      </c>
      <c r="I11" s="140">
        <f t="shared" si="0"/>
        <v>0</v>
      </c>
      <c r="J11" s="140">
        <f t="shared" si="4"/>
        <v>0</v>
      </c>
      <c r="K11" s="386" t="s">
        <v>906</v>
      </c>
      <c r="L11" s="140">
        <f ca="1">SUMIF(PURCHASE!$W$6:$W$458,$A$9:$A$14,PURCHASE!$K$7:$K$458)</f>
        <v>0</v>
      </c>
      <c r="M11" s="140">
        <f>SUMIF(PURCHASE!$W$6:$W$458,$A$9:$A$14,PURCHASE!$L$6:$L$458)</f>
        <v>0</v>
      </c>
      <c r="N11" s="140">
        <f t="shared" ca="1" si="5"/>
        <v>0</v>
      </c>
      <c r="O11" s="140">
        <f>SUMIF('PURCHASE RETURN'!$X$5:$X$500,K11:K16,'PURCHASE RETURN'!$L$5:$L$500)</f>
        <v>0</v>
      </c>
      <c r="P11" s="140">
        <f>SUMIF('PURCHASE RETURN'!$X$5:$X$500,K11:K16,'PURCHASE RETURN'!$M$5:$M$500)</f>
        <v>0</v>
      </c>
      <c r="Q11" s="140">
        <f t="shared" si="6"/>
        <v>0</v>
      </c>
      <c r="R11" s="140">
        <f t="shared" ca="1" si="7"/>
        <v>0</v>
      </c>
      <c r="S11" s="140">
        <f t="shared" si="8"/>
        <v>0</v>
      </c>
      <c r="T11" s="140">
        <f t="shared" ca="1" si="9"/>
        <v>0</v>
      </c>
    </row>
    <row r="12" spans="1:20" x14ac:dyDescent="0.3">
      <c r="A12" s="386" t="s">
        <v>907</v>
      </c>
      <c r="B12" s="140">
        <f>SUMIF(SALE!$R$6:$R$493,$A$9:$A$14,SALE!$K$6:$K$493)</f>
        <v>0</v>
      </c>
      <c r="C12" s="140">
        <f>SUMIF(SALE!$R$7:$R$372,A12:A17,SALE!$M$7:$M$372)</f>
        <v>0</v>
      </c>
      <c r="D12" s="140">
        <f t="shared" si="1"/>
        <v>0</v>
      </c>
      <c r="E12" s="140">
        <f>SUMIF('SALES RETURN'!$T$9:$T$250,A12:A17,'SALES RETURN'!$L$9:$L$500)</f>
        <v>0</v>
      </c>
      <c r="F12" s="140">
        <f>SUMIF('SALES RETURN'!$T$9:$T$250,A12:A17,'SALES RETURN'!$O$9:$O$500)</f>
        <v>0</v>
      </c>
      <c r="G12" s="140">
        <f t="shared" si="2"/>
        <v>0</v>
      </c>
      <c r="H12" s="140">
        <f t="shared" si="3"/>
        <v>0</v>
      </c>
      <c r="I12" s="140">
        <f t="shared" si="0"/>
        <v>0</v>
      </c>
      <c r="J12" s="140">
        <f t="shared" si="4"/>
        <v>0</v>
      </c>
      <c r="K12" s="386" t="s">
        <v>907</v>
      </c>
      <c r="L12" s="140">
        <f ca="1">SUMIF(PURCHASE!$W$6:$W$458,$A$9:$A$14,PURCHASE!$K$7:$K$458)</f>
        <v>0</v>
      </c>
      <c r="M12" s="140">
        <f>SUMIF(PURCHASE!$W$6:$W$458,$A$9:$A$14,PURCHASE!$L$6:$L$458)</f>
        <v>0</v>
      </c>
      <c r="N12" s="140">
        <f t="shared" ca="1" si="5"/>
        <v>0</v>
      </c>
      <c r="O12" s="140">
        <f>SUMIF('PURCHASE RETURN'!$X$5:$X$500,K12:K17,'PURCHASE RETURN'!$L$5:$L$500)</f>
        <v>0</v>
      </c>
      <c r="P12" s="140">
        <f>SUMIF('PURCHASE RETURN'!$X$5:$X$500,K12:K17,'PURCHASE RETURN'!$M$5:$M$500)</f>
        <v>0</v>
      </c>
      <c r="Q12" s="140">
        <f t="shared" si="6"/>
        <v>0</v>
      </c>
      <c r="R12" s="140">
        <f t="shared" ca="1" si="7"/>
        <v>0</v>
      </c>
      <c r="S12" s="140">
        <f t="shared" si="8"/>
        <v>0</v>
      </c>
      <c r="T12" s="140">
        <f t="shared" ca="1" si="9"/>
        <v>0</v>
      </c>
    </row>
    <row r="13" spans="1:20" x14ac:dyDescent="0.3">
      <c r="A13" s="386" t="s">
        <v>908</v>
      </c>
      <c r="B13" s="140">
        <f>SUMIF(SALE!$R$6:$R$493,$A$9:$A$14,SALE!$K$6:$K$493)</f>
        <v>25307.32</v>
      </c>
      <c r="C13" s="140">
        <f>SUMIF(SALE!$R$7:$R$372,A13:A18,SALE!$M$7:$M$372)</f>
        <v>4555.3176000000003</v>
      </c>
      <c r="D13" s="140">
        <f t="shared" si="1"/>
        <v>29862.637600000002</v>
      </c>
      <c r="E13" s="140">
        <f>SUMIF('SALES RETURN'!$T$9:$T$250,A13:A18,'SALES RETURN'!$L$9:$L$500)</f>
        <v>0</v>
      </c>
      <c r="F13" s="140">
        <f>SUMIF('SALES RETURN'!$T$9:$T$250,A13:A18,'SALES RETURN'!$O$9:$O$500)</f>
        <v>0</v>
      </c>
      <c r="G13" s="140">
        <f t="shared" si="2"/>
        <v>0</v>
      </c>
      <c r="H13" s="140">
        <f t="shared" si="3"/>
        <v>25307.32</v>
      </c>
      <c r="I13" s="140">
        <f t="shared" si="0"/>
        <v>4555.3176000000003</v>
      </c>
      <c r="J13" s="140">
        <f t="shared" si="4"/>
        <v>29862.637600000002</v>
      </c>
      <c r="K13" s="386" t="s">
        <v>908</v>
      </c>
      <c r="L13" s="140">
        <f ca="1">SUMIF(PURCHASE!$W$6:$W$458,$A$9:$A$14,PURCHASE!$K$7:$K$458)</f>
        <v>0</v>
      </c>
      <c r="M13" s="140">
        <f>SUMIF(PURCHASE!$W$6:$W$458,$A$9:$A$14,PURCHASE!$L$6:$L$458)</f>
        <v>0</v>
      </c>
      <c r="N13" s="140">
        <f t="shared" ca="1" si="5"/>
        <v>0</v>
      </c>
      <c r="O13" s="140">
        <f>SUMIF('PURCHASE RETURN'!$X$5:$X$500,K13:K18,'PURCHASE RETURN'!$L$5:$L$500)</f>
        <v>0</v>
      </c>
      <c r="P13" s="140">
        <f>SUMIF('PURCHASE RETURN'!$X$5:$X$500,K13:K18,'PURCHASE RETURN'!$M$5:$M$500)</f>
        <v>0</v>
      </c>
      <c r="Q13" s="140">
        <f t="shared" si="6"/>
        <v>0</v>
      </c>
      <c r="R13" s="140">
        <f t="shared" ca="1" si="7"/>
        <v>0</v>
      </c>
      <c r="S13" s="140">
        <f t="shared" si="8"/>
        <v>0</v>
      </c>
      <c r="T13" s="140">
        <f t="shared" ca="1" si="9"/>
        <v>0</v>
      </c>
    </row>
    <row r="14" spans="1:20" ht="15" thickBot="1" x14ac:dyDescent="0.35">
      <c r="A14" s="386" t="s">
        <v>903</v>
      </c>
      <c r="B14" s="142">
        <f>SUMIF(SALE!$R$6:$R$493,$A$9:$A$14,SALE!$K$6:$K$493)</f>
        <v>372360.85</v>
      </c>
      <c r="C14" s="140">
        <f>SUMIF(SALE!$R$7:$R$372,A14:A19,SALE!$M$7:$M$372)</f>
        <v>104261.03799999999</v>
      </c>
      <c r="D14" s="142">
        <f t="shared" si="1"/>
        <v>476621.88799999998</v>
      </c>
      <c r="E14" s="142">
        <f>SUMIF('SALES RETURN'!$T$9:$T$250,A14:A19,'SALES RETURN'!$L$9:$L$500)</f>
        <v>0</v>
      </c>
      <c r="F14" s="142">
        <f>SUMIF('SALES RETURN'!$T$9:$T$250,A14:A19,'SALES RETURN'!$O$9:$O$500)</f>
        <v>0</v>
      </c>
      <c r="G14" s="142">
        <f t="shared" si="2"/>
        <v>0</v>
      </c>
      <c r="H14" s="142">
        <f t="shared" si="3"/>
        <v>372360.85</v>
      </c>
      <c r="I14" s="140">
        <f t="shared" si="0"/>
        <v>104261.03799999999</v>
      </c>
      <c r="J14" s="142">
        <f t="shared" si="4"/>
        <v>476621.88799999998</v>
      </c>
      <c r="K14" s="386" t="s">
        <v>903</v>
      </c>
      <c r="L14" s="142">
        <f ca="1">SUMIF(PURCHASE!$W$6:$W$458,$A$9:$A$14,PURCHASE!$K$7:$K$458)</f>
        <v>63535.200000000004</v>
      </c>
      <c r="M14" s="142">
        <f>SUMIF(PURCHASE!$W$6:$W$458,$A$9:$A$14,PURCHASE!$L$6:$L$458)</f>
        <v>10923.0576</v>
      </c>
      <c r="N14" s="142">
        <f t="shared" ca="1" si="5"/>
        <v>74458.257600000012</v>
      </c>
      <c r="O14" s="142">
        <f>SUMIF('PURCHASE RETURN'!$X$5:$X$500,K14:K19,'PURCHASE RETURN'!$L$5:$L$500)</f>
        <v>0</v>
      </c>
      <c r="P14" s="142">
        <f>SUMIF('PURCHASE RETURN'!$X$5:$X$500,K14:K19,'PURCHASE RETURN'!$M$5:$M$500)</f>
        <v>0</v>
      </c>
      <c r="Q14" s="142">
        <f t="shared" si="6"/>
        <v>0</v>
      </c>
      <c r="R14" s="142">
        <f t="shared" ca="1" si="7"/>
        <v>63535.200000000004</v>
      </c>
      <c r="S14" s="142">
        <f t="shared" si="8"/>
        <v>0</v>
      </c>
      <c r="T14" s="142">
        <f t="shared" ca="1" si="9"/>
        <v>63535.200000000004</v>
      </c>
    </row>
    <row r="15" spans="1:20" ht="15" thickBot="1" x14ac:dyDescent="0.35">
      <c r="A15" s="387" t="s">
        <v>653</v>
      </c>
      <c r="B15" s="389">
        <f>SUM(B9:B14)</f>
        <v>397668.17</v>
      </c>
      <c r="C15" s="133">
        <f t="shared" ref="C15:J15" si="10">SUM(C9:C14)</f>
        <v>108816.35559999998</v>
      </c>
      <c r="D15" s="133">
        <f t="shared" si="10"/>
        <v>506484.52559999999</v>
      </c>
      <c r="E15" s="133">
        <f t="shared" si="10"/>
        <v>0</v>
      </c>
      <c r="F15" s="133">
        <f t="shared" si="10"/>
        <v>0</v>
      </c>
      <c r="G15" s="133">
        <f t="shared" si="10"/>
        <v>0</v>
      </c>
      <c r="H15" s="133">
        <f t="shared" si="10"/>
        <v>397668.17</v>
      </c>
      <c r="I15" s="133">
        <f t="shared" si="10"/>
        <v>108816.35559999998</v>
      </c>
      <c r="J15" s="390">
        <f t="shared" si="10"/>
        <v>506484.52559999999</v>
      </c>
      <c r="K15" s="387" t="s">
        <v>653</v>
      </c>
      <c r="L15" s="389">
        <f ca="1">SUM(L9:L14)</f>
        <v>63535.200000000004</v>
      </c>
      <c r="M15" s="133">
        <f t="shared" ref="M15" si="11">SUM(M9:M14)</f>
        <v>10923.0576</v>
      </c>
      <c r="N15" s="133">
        <f t="shared" ref="N15" ca="1" si="12">SUM(N9:N14)</f>
        <v>74458.257600000012</v>
      </c>
      <c r="O15" s="133">
        <f t="shared" ref="O15" si="13">SUM(O9:O14)</f>
        <v>0</v>
      </c>
      <c r="P15" s="133">
        <f t="shared" ref="P15" si="14">SUM(P9:P14)</f>
        <v>0</v>
      </c>
      <c r="Q15" s="133">
        <f t="shared" ref="Q15" si="15">SUM(Q9:Q14)</f>
        <v>0</v>
      </c>
      <c r="R15" s="133">
        <f t="shared" ref="R15" ca="1" si="16">SUM(R9:R14)</f>
        <v>63535.200000000004</v>
      </c>
      <c r="S15" s="133">
        <f t="shared" ref="S15" si="17">SUM(S9:S14)</f>
        <v>0</v>
      </c>
      <c r="T15" s="390">
        <f t="shared" ref="T15" ca="1" si="18">SUM(T9:T14)</f>
        <v>63535.200000000004</v>
      </c>
    </row>
    <row r="16" spans="1:20" ht="15" thickBot="1" x14ac:dyDescent="0.35">
      <c r="A16" s="301" t="s">
        <v>910</v>
      </c>
      <c r="B16" s="525" t="s">
        <v>838</v>
      </c>
      <c r="C16" s="535"/>
      <c r="D16" s="535"/>
      <c r="E16" s="535"/>
      <c r="F16" s="535"/>
      <c r="G16" s="535"/>
      <c r="H16" s="535"/>
      <c r="I16" s="536"/>
      <c r="J16" s="380"/>
      <c r="K16" s="301" t="s">
        <v>910</v>
      </c>
      <c r="L16" s="525" t="s">
        <v>838</v>
      </c>
      <c r="M16" s="535"/>
      <c r="N16" s="535"/>
      <c r="O16" s="535"/>
      <c r="P16" s="535"/>
      <c r="Q16" s="535"/>
      <c r="R16" s="535"/>
      <c r="S16" s="536"/>
      <c r="T16" s="380"/>
    </row>
    <row r="17" spans="1:20" ht="15" thickBot="1" x14ac:dyDescent="0.35">
      <c r="A17" s="301" t="s">
        <v>0</v>
      </c>
      <c r="B17" s="523" t="s">
        <v>72</v>
      </c>
      <c r="C17" s="524"/>
      <c r="D17" s="384"/>
      <c r="E17" s="523" t="s">
        <v>841</v>
      </c>
      <c r="F17" s="524"/>
      <c r="G17" s="384"/>
      <c r="H17" s="525" t="s">
        <v>899</v>
      </c>
      <c r="I17" s="526"/>
      <c r="J17" s="380" t="s">
        <v>93</v>
      </c>
      <c r="K17" s="301" t="s">
        <v>0</v>
      </c>
      <c r="L17" s="523" t="s">
        <v>72</v>
      </c>
      <c r="M17" s="524"/>
      <c r="N17" s="384"/>
      <c r="O17" s="523" t="s">
        <v>841</v>
      </c>
      <c r="P17" s="524"/>
      <c r="Q17" s="384"/>
      <c r="R17" s="525" t="s">
        <v>899</v>
      </c>
      <c r="S17" s="526"/>
      <c r="T17" s="380" t="s">
        <v>93</v>
      </c>
    </row>
    <row r="18" spans="1:20" ht="15" thickBot="1" x14ac:dyDescent="0.35">
      <c r="A18" s="388" t="s">
        <v>646</v>
      </c>
      <c r="B18" s="137" t="s">
        <v>909</v>
      </c>
      <c r="C18" s="137" t="s">
        <v>78</v>
      </c>
      <c r="D18" s="137" t="s">
        <v>93</v>
      </c>
      <c r="E18" s="137" t="s">
        <v>909</v>
      </c>
      <c r="F18" s="137" t="s">
        <v>78</v>
      </c>
      <c r="G18" s="137" t="s">
        <v>93</v>
      </c>
      <c r="H18" s="137" t="s">
        <v>909</v>
      </c>
      <c r="I18" s="137" t="s">
        <v>78</v>
      </c>
      <c r="J18" s="383"/>
      <c r="K18" s="388" t="s">
        <v>646</v>
      </c>
      <c r="L18" s="137" t="s">
        <v>909</v>
      </c>
      <c r="M18" s="137" t="s">
        <v>78</v>
      </c>
      <c r="N18" s="137" t="s">
        <v>93</v>
      </c>
      <c r="O18" s="137" t="s">
        <v>909</v>
      </c>
      <c r="P18" s="137" t="s">
        <v>78</v>
      </c>
      <c r="Q18" s="137" t="s">
        <v>93</v>
      </c>
      <c r="R18" s="137" t="s">
        <v>909</v>
      </c>
      <c r="S18" s="137" t="s">
        <v>78</v>
      </c>
      <c r="T18" s="383"/>
    </row>
    <row r="19" spans="1:20" x14ac:dyDescent="0.3">
      <c r="A19" s="386" t="s">
        <v>901</v>
      </c>
      <c r="B19" s="138">
        <f ca="1">SUMIF(SALE!R7:R387,A19:A24,SALE!K7:K381)</f>
        <v>0</v>
      </c>
      <c r="C19" s="138">
        <f>SUMIF(SALE!$R$6:$R$493,$A$19:$A$24,SALE!$N$6:$N$493)</f>
        <v>0</v>
      </c>
      <c r="D19" s="138">
        <f ca="1">+C19+B19</f>
        <v>0</v>
      </c>
      <c r="E19" s="138">
        <f>SUMIF('SALES RETURN'!$T$9:$T$250,A19:A24,'SALES RETURN'!$L$9:$L$500)</f>
        <v>0</v>
      </c>
      <c r="F19" s="138">
        <f>SUMIF('SALES RETURN'!$T$9:$T$250,A19:A24,'SALES RETURN'!$P$9:$P$500)</f>
        <v>0</v>
      </c>
      <c r="G19" s="138">
        <f>+E19+F19</f>
        <v>0</v>
      </c>
      <c r="H19" s="138">
        <f t="shared" ref="H19:I24" ca="1" si="19">+B19-E19</f>
        <v>0</v>
      </c>
      <c r="I19" s="140">
        <f t="shared" si="19"/>
        <v>0</v>
      </c>
      <c r="J19" s="138">
        <f t="shared" ref="J19:J24" ca="1" si="20">+I19+H19</f>
        <v>0</v>
      </c>
      <c r="K19" s="386" t="s">
        <v>901</v>
      </c>
      <c r="L19" s="138">
        <f ca="1">SUMIF(PURCHASE!$W$6:$W$458,$A$19:$A$24,PURCHASE!$K$7:$K$458)</f>
        <v>1380</v>
      </c>
      <c r="M19" s="138">
        <f>SUMIF(PURCHASE!$W$6:$W$458,$A$19:$A$24,PURCHASE!$M$6:$M$458)</f>
        <v>0</v>
      </c>
      <c r="N19" s="138">
        <f ca="1">+M19+L19</f>
        <v>1380</v>
      </c>
      <c r="O19" s="138">
        <f>SUMIF('PURCHASE RETURN'!$X$5:$X$500,K19:K24,'PURCHASE RETURN'!$L$5:$L$500)</f>
        <v>0</v>
      </c>
      <c r="P19" s="138">
        <f>SUMIF('PURCHASE RETURN'!$X$5:$X$500,K19:K24,'PURCHASE RETURN'!$N$5:$N$500)</f>
        <v>0</v>
      </c>
      <c r="Q19" s="138">
        <f>+O19+P19</f>
        <v>0</v>
      </c>
      <c r="R19" s="138">
        <f t="shared" ref="R19:R24" ca="1" si="21">+L19-O19</f>
        <v>1380</v>
      </c>
      <c r="S19" s="138">
        <f t="shared" ref="S19:S24" si="22">+O19-P19</f>
        <v>0</v>
      </c>
      <c r="T19" s="138">
        <f t="shared" ref="T19:T24" ca="1" si="23">+S19+R19</f>
        <v>1380</v>
      </c>
    </row>
    <row r="20" spans="1:20" x14ac:dyDescent="0.3">
      <c r="A20" s="386" t="s">
        <v>900</v>
      </c>
      <c r="B20" s="140">
        <f>SUMIF(SALE!$R$6:$R$493,$A$19:$A$24,SALE!$K$6:$K$493)</f>
        <v>0</v>
      </c>
      <c r="C20" s="140">
        <f>SUMIF(SALE!$R$6:$R$493,$A$19:$A$24,SALE!$N$6:$N$493)</f>
        <v>0</v>
      </c>
      <c r="D20" s="140">
        <f t="shared" ref="D20:D24" si="24">+C20+B20</f>
        <v>0</v>
      </c>
      <c r="E20" s="140">
        <f>SUMIF('SALES RETURN'!$T$9:$T$250,A20:A25,'SALES RETURN'!$L$9:$L$500)</f>
        <v>0</v>
      </c>
      <c r="F20" s="140">
        <f>SUMIF('SALES RETURN'!$T$9:$T$250,A20:A25,'SALES RETURN'!$P$9:$P$500)</f>
        <v>0</v>
      </c>
      <c r="G20" s="140">
        <f t="shared" ref="G20:G24" si="25">+E20+F20</f>
        <v>0</v>
      </c>
      <c r="H20" s="140">
        <f t="shared" si="19"/>
        <v>0</v>
      </c>
      <c r="I20" s="140">
        <f t="shared" si="19"/>
        <v>0</v>
      </c>
      <c r="J20" s="140">
        <f t="shared" si="20"/>
        <v>0</v>
      </c>
      <c r="K20" s="386" t="s">
        <v>900</v>
      </c>
      <c r="L20" s="140">
        <f ca="1">SUMIF(PURCHASE!$W$6:$W$458,$A$19:$A$24,PURCHASE!$K$7:$K$458)</f>
        <v>0</v>
      </c>
      <c r="M20" s="140">
        <f>SUMIF(PURCHASE!$W$6:$W$458,$A$19:$A$24,PURCHASE!$M$6:$M$458)</f>
        <v>0</v>
      </c>
      <c r="N20" s="140">
        <f t="shared" ref="N20:N24" ca="1" si="26">+M20+L20</f>
        <v>0</v>
      </c>
      <c r="O20" s="140">
        <f>SUMIF('PURCHASE RETURN'!$X$5:$X$500,K20:K25,'PURCHASE RETURN'!$L$5:$L$500)</f>
        <v>0</v>
      </c>
      <c r="P20" s="140">
        <f>SUMIF('PURCHASE RETURN'!$X$5:$X$500,K20:K25,'PURCHASE RETURN'!$N$5:$N$500)</f>
        <v>0</v>
      </c>
      <c r="Q20" s="140">
        <f t="shared" ref="Q20:Q24" si="27">+O20+P20</f>
        <v>0</v>
      </c>
      <c r="R20" s="140">
        <f t="shared" ca="1" si="21"/>
        <v>0</v>
      </c>
      <c r="S20" s="140">
        <f t="shared" si="22"/>
        <v>0</v>
      </c>
      <c r="T20" s="140">
        <f t="shared" ca="1" si="23"/>
        <v>0</v>
      </c>
    </row>
    <row r="21" spans="1:20" x14ac:dyDescent="0.3">
      <c r="A21" s="386" t="s">
        <v>898</v>
      </c>
      <c r="B21" s="140">
        <f>SUMIF(SALE!$R$6:$R$493,$A$19:$A$24,SALE!$K$6:$K$493)</f>
        <v>0</v>
      </c>
      <c r="C21" s="140">
        <f>SUMIF(SALE!$R$6:$R$493,$A$19:$A$24,SALE!$N$6:$N$493)</f>
        <v>0</v>
      </c>
      <c r="D21" s="140">
        <f t="shared" si="24"/>
        <v>0</v>
      </c>
      <c r="E21" s="140">
        <f>SUMIF('SALES RETURN'!$T$9:$T$250,A21:A26,'SALES RETURN'!$L$9:$L$500)</f>
        <v>0</v>
      </c>
      <c r="F21" s="140">
        <f>SUMIF('SALES RETURN'!$T$9:$T$250,A21:A26,'SALES RETURN'!$P$9:$P$500)</f>
        <v>0</v>
      </c>
      <c r="G21" s="140">
        <f t="shared" si="25"/>
        <v>0</v>
      </c>
      <c r="H21" s="140">
        <f t="shared" si="19"/>
        <v>0</v>
      </c>
      <c r="I21" s="140">
        <f t="shared" si="19"/>
        <v>0</v>
      </c>
      <c r="J21" s="140">
        <f t="shared" si="20"/>
        <v>0</v>
      </c>
      <c r="K21" s="386" t="s">
        <v>898</v>
      </c>
      <c r="L21" s="140">
        <f ca="1">SUMIF(PURCHASE!$W$6:$W$458,$A$19:$A$24,PURCHASE!$K$7:$K$458)</f>
        <v>279882.5</v>
      </c>
      <c r="M21" s="140">
        <f>SUMIF(PURCHASE!$W$6:$W$458,$A$19:$A$24,PURCHASE!$M$6:$M$458)</f>
        <v>1004.375</v>
      </c>
      <c r="N21" s="140">
        <f t="shared" ca="1" si="26"/>
        <v>280886.875</v>
      </c>
      <c r="O21" s="140">
        <f>SUMIF('PURCHASE RETURN'!$X$5:$X$500,K21:K26,'PURCHASE RETURN'!$L$5:$L$500)</f>
        <v>0</v>
      </c>
      <c r="P21" s="140">
        <f>SUMIF('PURCHASE RETURN'!$X$5:$X$500,K21:K26,'PURCHASE RETURN'!$N$5:$N$500)</f>
        <v>0</v>
      </c>
      <c r="Q21" s="140">
        <f t="shared" si="27"/>
        <v>0</v>
      </c>
      <c r="R21" s="140">
        <f t="shared" ca="1" si="21"/>
        <v>279882.5</v>
      </c>
      <c r="S21" s="140">
        <f t="shared" si="22"/>
        <v>0</v>
      </c>
      <c r="T21" s="140">
        <f t="shared" ca="1" si="23"/>
        <v>279882.5</v>
      </c>
    </row>
    <row r="22" spans="1:20" x14ac:dyDescent="0.3">
      <c r="A22" s="386" t="s">
        <v>902</v>
      </c>
      <c r="B22" s="140">
        <f>SUMIF(SALE!$R$6:$R$493,$A$19:$A$24,SALE!$K$6:$K$493)</f>
        <v>0</v>
      </c>
      <c r="C22" s="140">
        <f>SUMIF(SALE!$R$6:$R$493,$A$19:$A$24,SALE!$N$6:$N$493)</f>
        <v>0</v>
      </c>
      <c r="D22" s="140">
        <f t="shared" si="24"/>
        <v>0</v>
      </c>
      <c r="E22" s="140">
        <f>SUMIF('SALES RETURN'!$T$9:$T$250,A22:A27,'SALES RETURN'!$L$9:$L$500)</f>
        <v>0</v>
      </c>
      <c r="F22" s="140">
        <f>SUMIF('SALES RETURN'!$T$9:$T$250,A22:A27,'SALES RETURN'!$P$9:$P$500)</f>
        <v>0</v>
      </c>
      <c r="G22" s="140">
        <f t="shared" si="25"/>
        <v>0</v>
      </c>
      <c r="H22" s="140">
        <f t="shared" si="19"/>
        <v>0</v>
      </c>
      <c r="I22" s="140">
        <f t="shared" si="19"/>
        <v>0</v>
      </c>
      <c r="J22" s="140">
        <f t="shared" si="20"/>
        <v>0</v>
      </c>
      <c r="K22" s="386" t="s">
        <v>902</v>
      </c>
      <c r="L22" s="140">
        <f ca="1">SUMIF(PURCHASE!$W$6:$W$458,$A$19:$A$24,PURCHASE!$K$7:$K$458)</f>
        <v>80952.5</v>
      </c>
      <c r="M22" s="140">
        <f>SUMIF(PURCHASE!$W$6:$W$458,$A$19:$A$24,PURCHASE!$M$6:$M$458)</f>
        <v>5180.55</v>
      </c>
      <c r="N22" s="140">
        <f t="shared" ca="1" si="26"/>
        <v>86133.05</v>
      </c>
      <c r="O22" s="140">
        <f>SUMIF('PURCHASE RETURN'!$X$5:$X$500,K22:K27,'PURCHASE RETURN'!$L$5:$L$500)</f>
        <v>0</v>
      </c>
      <c r="P22" s="140">
        <f>SUMIF('PURCHASE RETURN'!$X$5:$X$500,K22:K27,'PURCHASE RETURN'!$N$5:$N$500)</f>
        <v>0</v>
      </c>
      <c r="Q22" s="140">
        <f t="shared" si="27"/>
        <v>0</v>
      </c>
      <c r="R22" s="140">
        <f t="shared" ca="1" si="21"/>
        <v>80952.5</v>
      </c>
      <c r="S22" s="140">
        <f t="shared" si="22"/>
        <v>0</v>
      </c>
      <c r="T22" s="140">
        <f t="shared" ca="1" si="23"/>
        <v>80952.5</v>
      </c>
    </row>
    <row r="23" spans="1:20" x14ac:dyDescent="0.3">
      <c r="A23" s="386" t="s">
        <v>894</v>
      </c>
      <c r="B23" s="140">
        <f>SUMIF(SALE!$R$6:$R$493,$A$19:$A$24,SALE!$K$6:$K$493)</f>
        <v>2144326.3699999992</v>
      </c>
      <c r="C23" s="140">
        <f>SUMIF(SALE!$R$6:$R$493,$A$19:$A$24,SALE!$N$6:$N$493)</f>
        <v>205272.24029999989</v>
      </c>
      <c r="D23" s="140">
        <f t="shared" si="24"/>
        <v>2349598.6102999989</v>
      </c>
      <c r="E23" s="140">
        <f>SUMIF('SALES RETURN'!$T$9:$T$250,A23:A28,'SALES RETURN'!$L$9:$L$500)</f>
        <v>0</v>
      </c>
      <c r="F23" s="140">
        <f>SUMIF('SALES RETURN'!$T$9:$T$250,A23:A28,'SALES RETURN'!$P$9:$P$500)</f>
        <v>0</v>
      </c>
      <c r="G23" s="140">
        <f t="shared" si="25"/>
        <v>0</v>
      </c>
      <c r="H23" s="140">
        <f t="shared" si="19"/>
        <v>2144326.3699999992</v>
      </c>
      <c r="I23" s="140">
        <f t="shared" si="19"/>
        <v>205272.24029999989</v>
      </c>
      <c r="J23" s="140">
        <f t="shared" si="20"/>
        <v>2349598.6102999989</v>
      </c>
      <c r="K23" s="386" t="s">
        <v>894</v>
      </c>
      <c r="L23" s="140">
        <f ca="1">SUMIF(PURCHASE!$W$6:$W$458,$A$19:$A$24,PURCHASE!$K$7:$K$458)</f>
        <v>5797821.290000001</v>
      </c>
      <c r="M23" s="140">
        <f>SUMIF(PURCHASE!$W$6:$W$458,$A$19:$A$24,PURCHASE!$M$6:$M$458)</f>
        <v>573307.27199999976</v>
      </c>
      <c r="N23" s="140">
        <f t="shared" ca="1" si="26"/>
        <v>6371128.5620000008</v>
      </c>
      <c r="O23" s="140">
        <f>SUMIF('PURCHASE RETURN'!$X$5:$X$500,K23:K28,'PURCHASE RETURN'!$L$5:$L$500)</f>
        <v>0</v>
      </c>
      <c r="P23" s="140">
        <f>SUMIF('PURCHASE RETURN'!$X$5:$X$500,K23:K28,'PURCHASE RETURN'!$N$5:$N$500)</f>
        <v>0</v>
      </c>
      <c r="Q23" s="140">
        <f t="shared" si="27"/>
        <v>0</v>
      </c>
      <c r="R23" s="140">
        <f t="shared" ca="1" si="21"/>
        <v>5797821.290000001</v>
      </c>
      <c r="S23" s="140">
        <f t="shared" si="22"/>
        <v>0</v>
      </c>
      <c r="T23" s="140">
        <f t="shared" ca="1" si="23"/>
        <v>5797821.290000001</v>
      </c>
    </row>
    <row r="24" spans="1:20" ht="15" thickBot="1" x14ac:dyDescent="0.35">
      <c r="A24" s="386" t="s">
        <v>897</v>
      </c>
      <c r="B24" s="142">
        <f>SUMIF(SALE!$R$6:$R$493,$A$19:$A$24,SALE!$K$6:$K$493)</f>
        <v>5930777.5900000008</v>
      </c>
      <c r="C24" s="142">
        <f>SUMIF(SALE!$R$6:$R$493,$A$19:$A$24,SALE!$N$6:$N$493)</f>
        <v>823044.5196</v>
      </c>
      <c r="D24" s="142">
        <f t="shared" si="24"/>
        <v>6753822.109600001</v>
      </c>
      <c r="E24" s="142">
        <f>SUMIF('SALES RETURN'!$T$9:$T$250,A24:A29,'SALES RETURN'!$L$9:$L$500)</f>
        <v>0</v>
      </c>
      <c r="F24" s="142">
        <f>SUMIF('SALES RETURN'!$T$9:$T$250,A24:A29,'SALES RETURN'!$P$9:$P$500)</f>
        <v>0</v>
      </c>
      <c r="G24" s="142">
        <f t="shared" si="25"/>
        <v>0</v>
      </c>
      <c r="H24" s="142">
        <f t="shared" si="19"/>
        <v>5930777.5900000008</v>
      </c>
      <c r="I24" s="140">
        <f t="shared" si="19"/>
        <v>823044.5196</v>
      </c>
      <c r="J24" s="142">
        <f t="shared" si="20"/>
        <v>6753822.109600001</v>
      </c>
      <c r="K24" s="386" t="s">
        <v>897</v>
      </c>
      <c r="L24" s="142">
        <f ca="1">SUMIF(PURCHASE!$W$6:$W$458,$A$19:$A$24,PURCHASE!$K$7:$K$458)</f>
        <v>4363835.37</v>
      </c>
      <c r="M24" s="142">
        <f>SUMIF(PURCHASE!$W$6:$W$458,$A$19:$A$24,PURCHASE!$M$6:$M$458)</f>
        <v>567199.46960000019</v>
      </c>
      <c r="N24" s="142">
        <f t="shared" ca="1" si="26"/>
        <v>4931034.8396000005</v>
      </c>
      <c r="O24" s="142">
        <f>SUMIF('PURCHASE RETURN'!$X$5:$X$500,K24:K29,'PURCHASE RETURN'!$L$5:$L$500)</f>
        <v>0</v>
      </c>
      <c r="P24" s="142">
        <f>SUMIF('PURCHASE RETURN'!$X$5:$X$500,K24:K29,'PURCHASE RETURN'!$N$5:$N$500)</f>
        <v>0</v>
      </c>
      <c r="Q24" s="142">
        <f t="shared" si="27"/>
        <v>0</v>
      </c>
      <c r="R24" s="142">
        <f t="shared" ca="1" si="21"/>
        <v>4363835.37</v>
      </c>
      <c r="S24" s="142">
        <f t="shared" si="22"/>
        <v>0</v>
      </c>
      <c r="T24" s="142">
        <f t="shared" ca="1" si="23"/>
        <v>4363835.37</v>
      </c>
    </row>
    <row r="25" spans="1:20" ht="15" thickBot="1" x14ac:dyDescent="0.35">
      <c r="A25" s="387" t="s">
        <v>653</v>
      </c>
      <c r="B25" s="389">
        <f t="shared" ref="B25:J25" ca="1" si="28">SUM(B19:B24)</f>
        <v>8075103.96</v>
      </c>
      <c r="C25" s="133">
        <f t="shared" si="28"/>
        <v>1028316.7598999999</v>
      </c>
      <c r="D25" s="133">
        <f t="shared" ca="1" si="28"/>
        <v>9103420.7199000008</v>
      </c>
      <c r="E25" s="133">
        <f t="shared" si="28"/>
        <v>0</v>
      </c>
      <c r="F25" s="133">
        <f t="shared" si="28"/>
        <v>0</v>
      </c>
      <c r="G25" s="133">
        <f t="shared" si="28"/>
        <v>0</v>
      </c>
      <c r="H25" s="133">
        <f t="shared" ca="1" si="28"/>
        <v>8075103.96</v>
      </c>
      <c r="I25" s="133">
        <f t="shared" si="28"/>
        <v>1028316.7598999999</v>
      </c>
      <c r="J25" s="390">
        <f t="shared" ca="1" si="28"/>
        <v>9103420.7199000008</v>
      </c>
      <c r="K25" s="387" t="s">
        <v>653</v>
      </c>
      <c r="L25" s="389">
        <f t="shared" ref="L25:T25" ca="1" si="29">SUM(L19:L24)</f>
        <v>10523871.66</v>
      </c>
      <c r="M25" s="133">
        <f t="shared" si="29"/>
        <v>1146691.6666000001</v>
      </c>
      <c r="N25" s="133">
        <f t="shared" ca="1" si="29"/>
        <v>11670563.3266</v>
      </c>
      <c r="O25" s="133">
        <f t="shared" si="29"/>
        <v>0</v>
      </c>
      <c r="P25" s="133">
        <f t="shared" si="29"/>
        <v>0</v>
      </c>
      <c r="Q25" s="133">
        <f t="shared" si="29"/>
        <v>0</v>
      </c>
      <c r="R25" s="133">
        <f t="shared" ca="1" si="29"/>
        <v>10523871.66</v>
      </c>
      <c r="S25" s="133">
        <f t="shared" si="29"/>
        <v>0</v>
      </c>
      <c r="T25" s="390">
        <f t="shared" ca="1" si="29"/>
        <v>10523871.66</v>
      </c>
    </row>
    <row r="26" spans="1:20" ht="15" thickBot="1" x14ac:dyDescent="0.35">
      <c r="A26" s="301" t="s">
        <v>910</v>
      </c>
      <c r="B26" s="525" t="s">
        <v>839</v>
      </c>
      <c r="C26" s="535"/>
      <c r="D26" s="535"/>
      <c r="E26" s="535"/>
      <c r="F26" s="535"/>
      <c r="G26" s="535"/>
      <c r="H26" s="535"/>
      <c r="I26" s="536"/>
      <c r="J26" s="391"/>
      <c r="K26" s="301" t="s">
        <v>910</v>
      </c>
      <c r="L26" s="525" t="s">
        <v>839</v>
      </c>
      <c r="M26" s="535"/>
      <c r="N26" s="535"/>
      <c r="O26" s="535"/>
      <c r="P26" s="535"/>
      <c r="Q26" s="535"/>
      <c r="R26" s="535"/>
      <c r="S26" s="536"/>
      <c r="T26" s="391"/>
    </row>
    <row r="27" spans="1:20" ht="15" thickBot="1" x14ac:dyDescent="0.35">
      <c r="A27" s="301" t="s">
        <v>0</v>
      </c>
      <c r="B27" s="523" t="s">
        <v>72</v>
      </c>
      <c r="C27" s="524"/>
      <c r="D27" s="384"/>
      <c r="E27" s="523" t="s">
        <v>841</v>
      </c>
      <c r="F27" s="524"/>
      <c r="G27" s="384"/>
      <c r="H27" s="525" t="s">
        <v>899</v>
      </c>
      <c r="I27" s="526"/>
      <c r="J27" s="380" t="s">
        <v>93</v>
      </c>
      <c r="K27" s="301" t="s">
        <v>0</v>
      </c>
      <c r="L27" s="523" t="s">
        <v>72</v>
      </c>
      <c r="M27" s="524"/>
      <c r="N27" s="384"/>
      <c r="O27" s="523" t="s">
        <v>841</v>
      </c>
      <c r="P27" s="524"/>
      <c r="Q27" s="384"/>
      <c r="R27" s="525" t="s">
        <v>899</v>
      </c>
      <c r="S27" s="526"/>
      <c r="T27" s="380" t="s">
        <v>93</v>
      </c>
    </row>
    <row r="28" spans="1:20" ht="15" thickBot="1" x14ac:dyDescent="0.35">
      <c r="A28" s="388" t="s">
        <v>646</v>
      </c>
      <c r="B28" s="137" t="s">
        <v>909</v>
      </c>
      <c r="C28" s="137" t="s">
        <v>78</v>
      </c>
      <c r="D28" s="137" t="s">
        <v>93</v>
      </c>
      <c r="E28" s="137" t="s">
        <v>909</v>
      </c>
      <c r="F28" s="137" t="s">
        <v>78</v>
      </c>
      <c r="G28" s="137" t="s">
        <v>93</v>
      </c>
      <c r="H28" s="137" t="s">
        <v>909</v>
      </c>
      <c r="I28" s="137" t="s">
        <v>78</v>
      </c>
      <c r="J28" s="383"/>
      <c r="K28" s="388" t="s">
        <v>646</v>
      </c>
      <c r="L28" s="137" t="s">
        <v>909</v>
      </c>
      <c r="M28" s="137" t="s">
        <v>78</v>
      </c>
      <c r="N28" s="137" t="s">
        <v>93</v>
      </c>
      <c r="O28" s="137" t="s">
        <v>909</v>
      </c>
      <c r="P28" s="137" t="s">
        <v>78</v>
      </c>
      <c r="Q28" s="137" t="s">
        <v>93</v>
      </c>
      <c r="R28" s="137" t="s">
        <v>909</v>
      </c>
      <c r="S28" s="137" t="s">
        <v>78</v>
      </c>
      <c r="T28" s="383"/>
    </row>
    <row r="29" spans="1:20" x14ac:dyDescent="0.3">
      <c r="A29" s="386" t="s">
        <v>901</v>
      </c>
      <c r="B29" s="138">
        <f>SUMIF(SALE!$R$6:$R$493,$A$29:$A$34,SALE!$K$6:$K$493)</f>
        <v>0</v>
      </c>
      <c r="C29" s="138">
        <f>SUMIF(SALE!$R$6:$R$493,$A$29:$A$34,SALE!$O$6:$O$493)</f>
        <v>0</v>
      </c>
      <c r="D29" s="138">
        <f>+C29+B29</f>
        <v>0</v>
      </c>
      <c r="E29" s="138">
        <f>SUMIF('SALES RETURN'!$T$9:$T$250,A29:A34,'SALES RETURN'!$L$9:$L$500)</f>
        <v>0</v>
      </c>
      <c r="F29" s="138">
        <f>SUMIF('SALES RETURN'!$T$9:$T$250,A29:A34,'SALES RETURN'!$Q$9:$Q$500)</f>
        <v>0</v>
      </c>
      <c r="G29" s="138">
        <f t="shared" ref="G29:G34" si="30">+E29+F29</f>
        <v>0</v>
      </c>
      <c r="H29" s="138">
        <f t="shared" ref="H29:H34" si="31">+B29-E29</f>
        <v>0</v>
      </c>
      <c r="I29" s="138">
        <f t="shared" ref="I29" si="32">+E29-F29</f>
        <v>0</v>
      </c>
      <c r="J29" s="138">
        <f t="shared" ref="J29:J34" si="33">+I29+H29</f>
        <v>0</v>
      </c>
      <c r="K29" s="386" t="s">
        <v>901</v>
      </c>
      <c r="L29" s="138">
        <f ca="1">SUMIF(PURCHASE!$W$6:$W$458,$A$29:$A$34,PURCHASE!$K$7:$K$458)</f>
        <v>1380</v>
      </c>
      <c r="M29" s="138">
        <f>SUMIF(PURCHASE!$W$6:$W$458,$A$29:$A$34,PURCHASE!$N$6:$N$458)</f>
        <v>0</v>
      </c>
      <c r="N29" s="138">
        <f ca="1">+M29+L29</f>
        <v>1380</v>
      </c>
      <c r="O29" s="138">
        <f>SUMIF('PURCHASE RETURN'!$X$5:$X$500,K29:K34,'PURCHASE RETURN'!$L$5:$L$500)</f>
        <v>0</v>
      </c>
      <c r="P29" s="138">
        <f>SUMIF('PURCHASE RETURN'!$X$5:$X$500,K29:K34,'PURCHASE RETURN'!$O$5:$O$500)</f>
        <v>0</v>
      </c>
      <c r="Q29" s="138">
        <f t="shared" ref="Q29:Q34" si="34">+O29+P29</f>
        <v>0</v>
      </c>
      <c r="R29" s="138">
        <f t="shared" ref="R29:R34" ca="1" si="35">+L29-O29</f>
        <v>1380</v>
      </c>
      <c r="S29" s="138">
        <f t="shared" ref="S29:S34" si="36">+O29-P29</f>
        <v>0</v>
      </c>
      <c r="T29" s="138">
        <f t="shared" ref="T29:T34" ca="1" si="37">+S29+R29</f>
        <v>1380</v>
      </c>
    </row>
    <row r="30" spans="1:20" x14ac:dyDescent="0.3">
      <c r="A30" s="386" t="s">
        <v>900</v>
      </c>
      <c r="B30" s="140">
        <f>SUMIF(SALE!$R$6:$R$493,$A$29:$A$34,SALE!$K$6:$K$493)</f>
        <v>0</v>
      </c>
      <c r="C30" s="140">
        <f>SUMIF(SALE!$R$6:$R$493,$A$29:$A$34,SALE!$O$6:$O$493)</f>
        <v>0</v>
      </c>
      <c r="D30" s="140">
        <f t="shared" ref="D30:D34" si="38">+C30+B30</f>
        <v>0</v>
      </c>
      <c r="E30" s="140">
        <f>SUMIF('SALES RETURN'!$T$9:$T$250,A30:A35,'SALES RETURN'!$L$9:$L$500)</f>
        <v>0</v>
      </c>
      <c r="F30" s="140">
        <f>SUMIF('SALES RETURN'!$T$9:$T$250,A30:A35,'SALES RETURN'!$Q$9:$Q$500)</f>
        <v>0</v>
      </c>
      <c r="G30" s="140">
        <f t="shared" si="30"/>
        <v>0</v>
      </c>
      <c r="H30" s="140">
        <f t="shared" si="31"/>
        <v>0</v>
      </c>
      <c r="I30" s="140">
        <f>+C30-F30</f>
        <v>0</v>
      </c>
      <c r="J30" s="140">
        <f t="shared" si="33"/>
        <v>0</v>
      </c>
      <c r="K30" s="386" t="s">
        <v>900</v>
      </c>
      <c r="L30" s="140">
        <f ca="1">SUMIF(PURCHASE!$W$6:$W$458,$A$29:$A$34,PURCHASE!$K$7:$K$458)</f>
        <v>0</v>
      </c>
      <c r="M30" s="140">
        <f>SUMIF(PURCHASE!$W$6:$W$458,$A$29:$A$34,PURCHASE!$N$6:$N$458)</f>
        <v>0</v>
      </c>
      <c r="N30" s="140">
        <f t="shared" ref="N30:N34" ca="1" si="39">+M30+L30</f>
        <v>0</v>
      </c>
      <c r="O30" s="140">
        <f>SUMIF('PURCHASE RETURN'!$X$5:$X$500,K30:K35,'PURCHASE RETURN'!$L$5:$L$500)</f>
        <v>0</v>
      </c>
      <c r="P30" s="140">
        <f>SUMIF('PURCHASE RETURN'!$X$5:$X$500,K30:K35,'PURCHASE RETURN'!$O$5:$O$500)</f>
        <v>0</v>
      </c>
      <c r="Q30" s="140">
        <f t="shared" si="34"/>
        <v>0</v>
      </c>
      <c r="R30" s="140">
        <f t="shared" ca="1" si="35"/>
        <v>0</v>
      </c>
      <c r="S30" s="140">
        <f t="shared" si="36"/>
        <v>0</v>
      </c>
      <c r="T30" s="140">
        <f t="shared" ca="1" si="37"/>
        <v>0</v>
      </c>
    </row>
    <row r="31" spans="1:20" x14ac:dyDescent="0.3">
      <c r="A31" s="386" t="s">
        <v>898</v>
      </c>
      <c r="B31" s="140">
        <f>SUMIF(SALE!$R$6:$R$493,$A$29:$A$34,SALE!$K$6:$K$493)</f>
        <v>0</v>
      </c>
      <c r="C31" s="140">
        <f>SUMIF(SALE!$R$6:$R$493,$A$29:$A$34,SALE!$O$6:$O$493)</f>
        <v>0</v>
      </c>
      <c r="D31" s="140">
        <f t="shared" si="38"/>
        <v>0</v>
      </c>
      <c r="E31" s="140">
        <f>SUMIF('SALES RETURN'!$T$9:$T$250,A31:A38,'SALES RETURN'!$L$9:$L$500)</f>
        <v>0</v>
      </c>
      <c r="F31" s="140">
        <f>SUMIF('SALES RETURN'!$T$9:$T$250,A31:A36,'SALES RETURN'!$Q$9:$Q$500)</f>
        <v>0</v>
      </c>
      <c r="G31" s="140">
        <f t="shared" si="30"/>
        <v>0</v>
      </c>
      <c r="H31" s="140">
        <f t="shared" si="31"/>
        <v>0</v>
      </c>
      <c r="I31" s="140">
        <f t="shared" ref="I31:I34" si="40">+C31-F31</f>
        <v>0</v>
      </c>
      <c r="J31" s="140">
        <f t="shared" si="33"/>
        <v>0</v>
      </c>
      <c r="K31" s="386" t="s">
        <v>898</v>
      </c>
      <c r="L31" s="140">
        <f ca="1">SUMIF(PURCHASE!$W$6:$W$458,$A$29:$A$34,PURCHASE!$K$7:$K$458)</f>
        <v>279882.5</v>
      </c>
      <c r="M31" s="140">
        <f>SUMIF(PURCHASE!$W$6:$W$458,$A$29:$A$34,PURCHASE!$N$6:$N$458)</f>
        <v>1004.375</v>
      </c>
      <c r="N31" s="140">
        <f t="shared" ca="1" si="39"/>
        <v>280886.875</v>
      </c>
      <c r="O31" s="140">
        <f>SUMIF('PURCHASE RETURN'!$X$5:$X$500,K31:K38,'PURCHASE RETURN'!$L$5:$L$500)</f>
        <v>0</v>
      </c>
      <c r="P31" s="140">
        <f>SUMIF('PURCHASE RETURN'!$X$5:$X$500,K31:K38,'PURCHASE RETURN'!$O$5:$O$500)</f>
        <v>0</v>
      </c>
      <c r="Q31" s="140">
        <f t="shared" si="34"/>
        <v>0</v>
      </c>
      <c r="R31" s="140">
        <f t="shared" ca="1" si="35"/>
        <v>279882.5</v>
      </c>
      <c r="S31" s="140">
        <f t="shared" si="36"/>
        <v>0</v>
      </c>
      <c r="T31" s="140">
        <f t="shared" ca="1" si="37"/>
        <v>279882.5</v>
      </c>
    </row>
    <row r="32" spans="1:20" x14ac:dyDescent="0.3">
      <c r="A32" s="386" t="s">
        <v>902</v>
      </c>
      <c r="B32" s="140">
        <f>SUMIF(SALE!$R$6:$R$493,$A$29:$A$34,SALE!$K$6:$K$493)</f>
        <v>0</v>
      </c>
      <c r="C32" s="140">
        <f>SUMIF(SALE!$R$6:$R$493,$A$29:$A$34,SALE!$O$6:$O$493)</f>
        <v>0</v>
      </c>
      <c r="D32" s="140">
        <f t="shared" si="38"/>
        <v>0</v>
      </c>
      <c r="E32" s="140">
        <f>SUMIF('SALES RETURN'!$T$9:$T$250,A32:A39,'SALES RETURN'!$L$9:$L$500)</f>
        <v>0</v>
      </c>
      <c r="F32" s="140">
        <f>SUMIF('SALES RETURN'!$T$9:$T$250,A32:A37,'SALES RETURN'!$Q$9:$Q$500)</f>
        <v>0</v>
      </c>
      <c r="G32" s="140">
        <f t="shared" si="30"/>
        <v>0</v>
      </c>
      <c r="H32" s="140">
        <f t="shared" si="31"/>
        <v>0</v>
      </c>
      <c r="I32" s="140">
        <f t="shared" si="40"/>
        <v>0</v>
      </c>
      <c r="J32" s="140">
        <f t="shared" si="33"/>
        <v>0</v>
      </c>
      <c r="K32" s="386" t="s">
        <v>902</v>
      </c>
      <c r="L32" s="140">
        <f ca="1">SUMIF(PURCHASE!$W$6:$W$458,$A$29:$A$34,PURCHASE!$K$7:$K$458)</f>
        <v>80952.5</v>
      </c>
      <c r="M32" s="140">
        <f>SUMIF(PURCHASE!$W$6:$W$458,$A$29:$A$34,PURCHASE!$N$6:$N$458)</f>
        <v>5180.55</v>
      </c>
      <c r="N32" s="140">
        <f t="shared" ca="1" si="39"/>
        <v>86133.05</v>
      </c>
      <c r="O32" s="140">
        <f>SUMIF('PURCHASE RETURN'!$X$5:$X$500,K32:K39,'PURCHASE RETURN'!$L$5:$L$500)</f>
        <v>0</v>
      </c>
      <c r="P32" s="140">
        <f>SUMIF('PURCHASE RETURN'!$X$5:$X$500,K32:K39,'PURCHASE RETURN'!$O$5:$O$500)</f>
        <v>0</v>
      </c>
      <c r="Q32" s="140">
        <f t="shared" si="34"/>
        <v>0</v>
      </c>
      <c r="R32" s="140">
        <f t="shared" ca="1" si="35"/>
        <v>80952.5</v>
      </c>
      <c r="S32" s="140">
        <f t="shared" si="36"/>
        <v>0</v>
      </c>
      <c r="T32" s="140">
        <f t="shared" ca="1" si="37"/>
        <v>80952.5</v>
      </c>
    </row>
    <row r="33" spans="1:20" x14ac:dyDescent="0.3">
      <c r="A33" s="386" t="s">
        <v>894</v>
      </c>
      <c r="B33" s="140">
        <f>SUMIF(SALE!$R$6:$R$493,$A$29:$A$34,SALE!$K$6:$K$493)</f>
        <v>2144326.3699999992</v>
      </c>
      <c r="C33" s="140">
        <f>SUMIF(SALE!$R$6:$R$493,$A$29:$A$34,SALE!$O$6:$O$493)</f>
        <v>205272.24029999989</v>
      </c>
      <c r="D33" s="140">
        <f t="shared" si="38"/>
        <v>2349598.6102999989</v>
      </c>
      <c r="E33" s="140">
        <f>SUMIF('SALES RETURN'!$T$9:$T$250,A33:A40,'SALES RETURN'!$L$9:$L$500)</f>
        <v>0</v>
      </c>
      <c r="F33" s="140">
        <f>SUMIF('SALES RETURN'!$T$9:$T$250,A33:A38,'SALES RETURN'!$Q$9:$Q$500)</f>
        <v>0</v>
      </c>
      <c r="G33" s="140">
        <f t="shared" si="30"/>
        <v>0</v>
      </c>
      <c r="H33" s="140">
        <f t="shared" si="31"/>
        <v>2144326.3699999992</v>
      </c>
      <c r="I33" s="140">
        <f t="shared" si="40"/>
        <v>205272.24029999989</v>
      </c>
      <c r="J33" s="140">
        <f t="shared" si="33"/>
        <v>2349598.6102999989</v>
      </c>
      <c r="K33" s="386" t="s">
        <v>894</v>
      </c>
      <c r="L33" s="140">
        <f ca="1">SUMIF(PURCHASE!$W$6:$W$458,$A$29:$A$34,PURCHASE!$K$7:$K$458)</f>
        <v>5797821.290000001</v>
      </c>
      <c r="M33" s="140">
        <f>SUMIF(PURCHASE!$W$6:$W$458,$A$29:$A$34,PURCHASE!$N$6:$N$458)</f>
        <v>573307.27199999976</v>
      </c>
      <c r="N33" s="140">
        <f t="shared" ca="1" si="39"/>
        <v>6371128.5620000008</v>
      </c>
      <c r="O33" s="140">
        <f>SUMIF('PURCHASE RETURN'!$X$5:$X$500,K33:K40,'PURCHASE RETURN'!$L$5:$L$500)</f>
        <v>0</v>
      </c>
      <c r="P33" s="140">
        <f>SUMIF('PURCHASE RETURN'!$X$5:$X$500,K33:K40,'PURCHASE RETURN'!$O$5:$O$500)</f>
        <v>0</v>
      </c>
      <c r="Q33" s="140">
        <f t="shared" si="34"/>
        <v>0</v>
      </c>
      <c r="R33" s="140">
        <f t="shared" ca="1" si="35"/>
        <v>5797821.290000001</v>
      </c>
      <c r="S33" s="140">
        <f t="shared" si="36"/>
        <v>0</v>
      </c>
      <c r="T33" s="140">
        <f t="shared" ca="1" si="37"/>
        <v>5797821.290000001</v>
      </c>
    </row>
    <row r="34" spans="1:20" ht="15" thickBot="1" x14ac:dyDescent="0.35">
      <c r="A34" s="386" t="s">
        <v>897</v>
      </c>
      <c r="B34" s="142">
        <f>SUMIF(SALE!$R$6:$R$493,$A$29:$A$34,SALE!$K$6:$K$493)</f>
        <v>5930777.5900000008</v>
      </c>
      <c r="C34" s="142">
        <f>SUMIF(SALE!$R$6:$R$493,$A$29:$A$34,SALE!$O$6:$O$493)</f>
        <v>823044.5196</v>
      </c>
      <c r="D34" s="142">
        <f t="shared" si="38"/>
        <v>6753822.109600001</v>
      </c>
      <c r="E34" s="142">
        <f>SUMIF('SALES RETURN'!$T$9:$T$250,A34:A41,'SALES RETURN'!$L$9:$L$500)</f>
        <v>0</v>
      </c>
      <c r="F34" s="142">
        <f>SUMIF('SALES RETURN'!$T$9:$T$250,A34:A39,'SALES RETURN'!$Q$9:$Q$500)</f>
        <v>0</v>
      </c>
      <c r="G34" s="142">
        <f t="shared" si="30"/>
        <v>0</v>
      </c>
      <c r="H34" s="142">
        <f t="shared" si="31"/>
        <v>5930777.5900000008</v>
      </c>
      <c r="I34" s="140">
        <f t="shared" si="40"/>
        <v>823044.5196</v>
      </c>
      <c r="J34" s="142">
        <f t="shared" si="33"/>
        <v>6753822.109600001</v>
      </c>
      <c r="K34" s="386" t="s">
        <v>897</v>
      </c>
      <c r="L34" s="142">
        <f ca="1">SUMIF(PURCHASE!$W$6:$W$458,$A$29:$A$34,PURCHASE!$K$7:$K$458)</f>
        <v>4363835.37</v>
      </c>
      <c r="M34" s="142">
        <f>SUMIF(PURCHASE!$W$6:$W$458,$A$29:$A$34,PURCHASE!$N$6:$N$458)</f>
        <v>567199.46960000019</v>
      </c>
      <c r="N34" s="142">
        <f t="shared" ca="1" si="39"/>
        <v>4931034.8396000005</v>
      </c>
      <c r="O34" s="142">
        <f>SUMIF('PURCHASE RETURN'!$X$5:$X$500,K34:K41,'PURCHASE RETURN'!$L$5:$L$500)</f>
        <v>0</v>
      </c>
      <c r="P34" s="142">
        <f>SUMIF('PURCHASE RETURN'!$X$5:$X$500,K34:K41,'PURCHASE RETURN'!$O$5:$O$500)</f>
        <v>0</v>
      </c>
      <c r="Q34" s="142">
        <f t="shared" si="34"/>
        <v>0</v>
      </c>
      <c r="R34" s="142">
        <f t="shared" ca="1" si="35"/>
        <v>4363835.37</v>
      </c>
      <c r="S34" s="142">
        <f t="shared" si="36"/>
        <v>0</v>
      </c>
      <c r="T34" s="142">
        <f t="shared" ca="1" si="37"/>
        <v>4363835.37</v>
      </c>
    </row>
    <row r="35" spans="1:20" ht="15" thickBot="1" x14ac:dyDescent="0.35">
      <c r="A35" s="387" t="s">
        <v>653</v>
      </c>
      <c r="B35" s="389">
        <f t="shared" ref="B35:J35" si="41">SUM(B29:B34)</f>
        <v>8075103.96</v>
      </c>
      <c r="C35" s="133">
        <f t="shared" si="41"/>
        <v>1028316.7598999999</v>
      </c>
      <c r="D35" s="133">
        <f t="shared" si="41"/>
        <v>9103420.7199000008</v>
      </c>
      <c r="E35" s="133">
        <f t="shared" si="41"/>
        <v>0</v>
      </c>
      <c r="F35" s="133">
        <f t="shared" si="41"/>
        <v>0</v>
      </c>
      <c r="G35" s="133">
        <f t="shared" si="41"/>
        <v>0</v>
      </c>
      <c r="H35" s="133">
        <f t="shared" si="41"/>
        <v>8075103.96</v>
      </c>
      <c r="I35" s="133">
        <f t="shared" si="41"/>
        <v>1028316.7598999999</v>
      </c>
      <c r="J35" s="390">
        <f t="shared" si="41"/>
        <v>9103420.7199000008</v>
      </c>
      <c r="K35" s="387" t="s">
        <v>653</v>
      </c>
      <c r="L35" s="389">
        <f t="shared" ref="L35:T35" ca="1" si="42">SUM(L29:L34)</f>
        <v>10523871.66</v>
      </c>
      <c r="M35" s="133">
        <f t="shared" si="42"/>
        <v>1146691.6666000001</v>
      </c>
      <c r="N35" s="133">
        <f t="shared" ca="1" si="42"/>
        <v>11670563.3266</v>
      </c>
      <c r="O35" s="133">
        <f t="shared" si="42"/>
        <v>0</v>
      </c>
      <c r="P35" s="133">
        <f t="shared" si="42"/>
        <v>0</v>
      </c>
      <c r="Q35" s="133">
        <f t="shared" si="42"/>
        <v>0</v>
      </c>
      <c r="R35" s="133">
        <f t="shared" ca="1" si="42"/>
        <v>10523871.66</v>
      </c>
      <c r="S35" s="133">
        <f t="shared" si="42"/>
        <v>0</v>
      </c>
      <c r="T35" s="390">
        <f t="shared" ca="1" si="42"/>
        <v>10523871.66</v>
      </c>
    </row>
    <row r="36" spans="1:20" s="393" customFormat="1" x14ac:dyDescent="0.3">
      <c r="A36" s="392"/>
      <c r="B36" s="145"/>
      <c r="C36" s="145"/>
      <c r="D36" s="145"/>
      <c r="E36" s="145"/>
      <c r="F36" s="145"/>
      <c r="G36" s="145"/>
      <c r="H36" s="145"/>
      <c r="I36" s="145"/>
      <c r="J36" s="145"/>
      <c r="K36" s="392"/>
      <c r="L36" s="145"/>
      <c r="M36" s="145"/>
      <c r="N36" s="145"/>
      <c r="O36" s="145"/>
      <c r="P36" s="145"/>
      <c r="Q36" s="145"/>
      <c r="R36" s="145"/>
      <c r="S36" s="145"/>
      <c r="T36" s="145"/>
    </row>
    <row r="37" spans="1:20" s="393" customFormat="1" ht="20.399999999999999" x14ac:dyDescent="0.35">
      <c r="A37" s="392"/>
      <c r="B37" s="145"/>
      <c r="C37" s="145"/>
      <c r="D37" s="394" t="s">
        <v>858</v>
      </c>
      <c r="E37" s="394"/>
      <c r="F37" s="394"/>
      <c r="G37" s="394"/>
      <c r="H37" s="394"/>
      <c r="I37" s="394"/>
      <c r="J37" s="394"/>
      <c r="K37" s="392"/>
      <c r="L37" s="145"/>
      <c r="M37" s="145"/>
      <c r="N37" s="145"/>
      <c r="O37" s="145"/>
      <c r="P37" s="145"/>
      <c r="Q37" s="145"/>
      <c r="R37" s="145"/>
      <c r="S37" s="145"/>
      <c r="T37" s="145"/>
    </row>
    <row r="38" spans="1:20" ht="15" thickBot="1" x14ac:dyDescent="0.35"/>
    <row r="39" spans="1:20" s="128" customFormat="1" ht="15" thickBot="1" x14ac:dyDescent="0.35">
      <c r="A39" s="301" t="s">
        <v>910</v>
      </c>
      <c r="B39" s="525" t="s">
        <v>838</v>
      </c>
      <c r="C39" s="535"/>
      <c r="D39" s="535"/>
      <c r="E39" s="535"/>
      <c r="F39" s="535"/>
      <c r="G39" s="535"/>
      <c r="H39" s="535"/>
      <c r="I39" s="536"/>
      <c r="J39" s="380"/>
      <c r="K39" s="301" t="s">
        <v>910</v>
      </c>
      <c r="L39" s="525" t="s">
        <v>838</v>
      </c>
      <c r="M39" s="535"/>
      <c r="N39" s="535"/>
      <c r="O39" s="535"/>
      <c r="P39" s="535"/>
      <c r="Q39" s="535"/>
      <c r="R39" s="535"/>
      <c r="S39" s="536"/>
      <c r="T39" s="380"/>
    </row>
    <row r="40" spans="1:20" s="128" customFormat="1" ht="15" thickBot="1" x14ac:dyDescent="0.35">
      <c r="A40" s="301" t="s">
        <v>0</v>
      </c>
      <c r="B40" s="523" t="s">
        <v>72</v>
      </c>
      <c r="C40" s="524"/>
      <c r="D40" s="384"/>
      <c r="E40" s="523" t="s">
        <v>841</v>
      </c>
      <c r="F40" s="524"/>
      <c r="G40" s="384"/>
      <c r="H40" s="525" t="s">
        <v>899</v>
      </c>
      <c r="I40" s="526"/>
      <c r="J40" s="380" t="s">
        <v>93</v>
      </c>
      <c r="K40" s="301" t="s">
        <v>0</v>
      </c>
      <c r="L40" s="523" t="s">
        <v>72</v>
      </c>
      <c r="M40" s="524"/>
      <c r="N40" s="384"/>
      <c r="O40" s="523" t="s">
        <v>841</v>
      </c>
      <c r="P40" s="524"/>
      <c r="Q40" s="384"/>
      <c r="R40" s="525" t="s">
        <v>899</v>
      </c>
      <c r="S40" s="526"/>
      <c r="T40" s="380" t="s">
        <v>93</v>
      </c>
    </row>
    <row r="41" spans="1:20" s="128" customFormat="1" ht="15" thickBot="1" x14ac:dyDescent="0.35">
      <c r="A41" s="388" t="s">
        <v>646</v>
      </c>
      <c r="B41" s="137" t="s">
        <v>909</v>
      </c>
      <c r="C41" s="137" t="s">
        <v>78</v>
      </c>
      <c r="D41" s="137" t="s">
        <v>93</v>
      </c>
      <c r="E41" s="137" t="s">
        <v>909</v>
      </c>
      <c r="F41" s="137" t="s">
        <v>78</v>
      </c>
      <c r="G41" s="137" t="s">
        <v>93</v>
      </c>
      <c r="H41" s="137" t="s">
        <v>909</v>
      </c>
      <c r="I41" s="137" t="s">
        <v>78</v>
      </c>
      <c r="J41" s="383"/>
      <c r="K41" s="388" t="s">
        <v>646</v>
      </c>
      <c r="L41" s="137" t="s">
        <v>909</v>
      </c>
      <c r="M41" s="137" t="s">
        <v>78</v>
      </c>
      <c r="N41" s="137" t="s">
        <v>93</v>
      </c>
      <c r="O41" s="137" t="s">
        <v>909</v>
      </c>
      <c r="P41" s="137" t="s">
        <v>78</v>
      </c>
      <c r="Q41" s="137" t="s">
        <v>93</v>
      </c>
      <c r="R41" s="137" t="s">
        <v>909</v>
      </c>
      <c r="S41" s="137" t="s">
        <v>78</v>
      </c>
      <c r="T41" s="383"/>
    </row>
    <row r="42" spans="1:20" s="128" customFormat="1" ht="15" thickBot="1" x14ac:dyDescent="0.35">
      <c r="A42" s="386" t="s">
        <v>901</v>
      </c>
      <c r="B42" s="138">
        <f>SUMIF('PUR-RMC'!$L$7:$L$500,A42:A47,'PUR-RMC'!$M$7:$M$500)</f>
        <v>0</v>
      </c>
      <c r="C42" s="138">
        <f>SUMIF('PUR-RMC'!$L$7:$L$500,A42:A47,'PUR-RMC'!$O$7:$O$500)</f>
        <v>0</v>
      </c>
      <c r="D42" s="138">
        <f>+C42+B42</f>
        <v>0</v>
      </c>
      <c r="E42" s="138"/>
      <c r="F42" s="138"/>
      <c r="G42" s="138"/>
      <c r="H42" s="138">
        <f t="shared" ref="H42:H47" si="43">+B42-E42</f>
        <v>0</v>
      </c>
      <c r="I42" s="138">
        <f t="shared" ref="I42:I47" si="44">+E42-F42</f>
        <v>0</v>
      </c>
      <c r="J42" s="138">
        <f t="shared" ref="J42:J47" si="45">+I42+H42</f>
        <v>0</v>
      </c>
      <c r="K42" s="386" t="s">
        <v>901</v>
      </c>
      <c r="L42" s="138"/>
      <c r="M42" s="138"/>
      <c r="N42" s="138"/>
      <c r="O42" s="138"/>
      <c r="P42" s="138"/>
      <c r="Q42" s="138"/>
      <c r="R42" s="138"/>
      <c r="S42" s="138"/>
      <c r="T42" s="138"/>
    </row>
    <row r="43" spans="1:20" s="128" customFormat="1" ht="15" thickBot="1" x14ac:dyDescent="0.35">
      <c r="A43" s="386" t="s">
        <v>900</v>
      </c>
      <c r="B43" s="138">
        <f>SUMIF('PUR-RMC'!$L$7:$L$500,A43:A48,'PUR-RMC'!$M$7:$M$500)</f>
        <v>0</v>
      </c>
      <c r="C43" s="138">
        <f>SUMIF('PUR-RMC'!$L$7:$L$500,A43:A48,'PUR-RMC'!$O$7:$O$500)</f>
        <v>0</v>
      </c>
      <c r="D43" s="140">
        <f t="shared" ref="D43:D47" si="46">+C43+B43</f>
        <v>0</v>
      </c>
      <c r="E43" s="140"/>
      <c r="F43" s="140"/>
      <c r="G43" s="140"/>
      <c r="H43" s="140">
        <f t="shared" si="43"/>
        <v>0</v>
      </c>
      <c r="I43" s="140">
        <f t="shared" si="44"/>
        <v>0</v>
      </c>
      <c r="J43" s="140">
        <f t="shared" si="45"/>
        <v>0</v>
      </c>
      <c r="K43" s="386" t="s">
        <v>900</v>
      </c>
      <c r="L43" s="140"/>
      <c r="M43" s="140"/>
      <c r="N43" s="140"/>
      <c r="O43" s="140"/>
      <c r="P43" s="140"/>
      <c r="Q43" s="140"/>
      <c r="R43" s="140"/>
      <c r="S43" s="140"/>
      <c r="T43" s="140"/>
    </row>
    <row r="44" spans="1:20" s="128" customFormat="1" ht="15" thickBot="1" x14ac:dyDescent="0.35">
      <c r="A44" s="386" t="s">
        <v>898</v>
      </c>
      <c r="B44" s="138">
        <f>SUMIF('PUR-RMC'!$L$7:$L$500,A44:A49,'PUR-RMC'!$M$7:$M$500)</f>
        <v>0</v>
      </c>
      <c r="C44" s="138">
        <f>SUMIF('PUR-RMC'!$L$7:$L$500,A44:A49,'PUR-RMC'!$O$7:$O$500)</f>
        <v>0</v>
      </c>
      <c r="D44" s="140">
        <f t="shared" si="46"/>
        <v>0</v>
      </c>
      <c r="E44" s="140"/>
      <c r="F44" s="140"/>
      <c r="G44" s="140"/>
      <c r="H44" s="140">
        <f t="shared" si="43"/>
        <v>0</v>
      </c>
      <c r="I44" s="140">
        <f t="shared" si="44"/>
        <v>0</v>
      </c>
      <c r="J44" s="140">
        <f t="shared" si="45"/>
        <v>0</v>
      </c>
      <c r="K44" s="386" t="s">
        <v>898</v>
      </c>
      <c r="L44" s="140"/>
      <c r="M44" s="140"/>
      <c r="N44" s="140"/>
      <c r="O44" s="140"/>
      <c r="P44" s="140"/>
      <c r="Q44" s="140"/>
      <c r="R44" s="140"/>
      <c r="S44" s="140"/>
      <c r="T44" s="140"/>
    </row>
    <row r="45" spans="1:20" s="128" customFormat="1" ht="15" thickBot="1" x14ac:dyDescent="0.35">
      <c r="A45" s="386" t="s">
        <v>902</v>
      </c>
      <c r="B45" s="138">
        <f>SUMIF('PUR-RMC'!$L$7:$L$500,A45:A50,'PUR-RMC'!$M$7:$M$500)</f>
        <v>0</v>
      </c>
      <c r="C45" s="138">
        <f>SUMIF('PUR-RMC'!$L$7:$L$500,A45:A50,'PUR-RMC'!$O$7:$O$500)</f>
        <v>0</v>
      </c>
      <c r="D45" s="140">
        <f t="shared" si="46"/>
        <v>0</v>
      </c>
      <c r="E45" s="140"/>
      <c r="F45" s="140"/>
      <c r="G45" s="140"/>
      <c r="H45" s="140">
        <f t="shared" si="43"/>
        <v>0</v>
      </c>
      <c r="I45" s="140">
        <f t="shared" si="44"/>
        <v>0</v>
      </c>
      <c r="J45" s="140">
        <f t="shared" si="45"/>
        <v>0</v>
      </c>
      <c r="K45" s="386" t="s">
        <v>902</v>
      </c>
      <c r="L45" s="140"/>
      <c r="M45" s="140"/>
      <c r="N45" s="140"/>
      <c r="O45" s="140"/>
      <c r="P45" s="140"/>
      <c r="Q45" s="140"/>
      <c r="R45" s="140"/>
      <c r="S45" s="140"/>
      <c r="T45" s="140"/>
    </row>
    <row r="46" spans="1:20" s="128" customFormat="1" ht="15" thickBot="1" x14ac:dyDescent="0.35">
      <c r="A46" s="386" t="s">
        <v>894</v>
      </c>
      <c r="B46" s="138">
        <f>SUMIF('PUR-RMC'!$L$7:$L$500,A46:A51,'PUR-RMC'!$M$7:$M$500)</f>
        <v>0</v>
      </c>
      <c r="C46" s="138">
        <f>SUMIF('PUR-RMC'!$L$7:$L$500,A46:A51,'PUR-RMC'!$O$7:$O$500)</f>
        <v>0</v>
      </c>
      <c r="D46" s="140">
        <f t="shared" si="46"/>
        <v>0</v>
      </c>
      <c r="E46" s="140"/>
      <c r="F46" s="140"/>
      <c r="G46" s="140"/>
      <c r="H46" s="140">
        <f t="shared" si="43"/>
        <v>0</v>
      </c>
      <c r="I46" s="140">
        <f t="shared" si="44"/>
        <v>0</v>
      </c>
      <c r="J46" s="140">
        <f t="shared" si="45"/>
        <v>0</v>
      </c>
      <c r="K46" s="386" t="s">
        <v>894</v>
      </c>
      <c r="L46" s="140"/>
      <c r="M46" s="140"/>
      <c r="N46" s="140"/>
      <c r="O46" s="140"/>
      <c r="P46" s="140"/>
      <c r="Q46" s="140"/>
      <c r="R46" s="140"/>
      <c r="S46" s="140"/>
      <c r="T46" s="140"/>
    </row>
    <row r="47" spans="1:20" s="128" customFormat="1" ht="15" thickBot="1" x14ac:dyDescent="0.35">
      <c r="A47" s="386" t="s">
        <v>897</v>
      </c>
      <c r="B47" s="138">
        <f>SUMIF('PUR-RMC'!$L$7:$L$500,A47:A52,'PUR-RMC'!$M$7:$M$500)</f>
        <v>0</v>
      </c>
      <c r="C47" s="138">
        <f>SUMIF('PUR-RMC'!$L$7:$L$500,A47:A52,'PUR-RMC'!$O$7:$O$500)</f>
        <v>0</v>
      </c>
      <c r="D47" s="142">
        <f t="shared" si="46"/>
        <v>0</v>
      </c>
      <c r="E47" s="142"/>
      <c r="F47" s="142"/>
      <c r="G47" s="142"/>
      <c r="H47" s="142">
        <f t="shared" si="43"/>
        <v>0</v>
      </c>
      <c r="I47" s="142">
        <f t="shared" si="44"/>
        <v>0</v>
      </c>
      <c r="J47" s="142">
        <f t="shared" si="45"/>
        <v>0</v>
      </c>
      <c r="K47" s="386" t="s">
        <v>897</v>
      </c>
      <c r="L47" s="142"/>
      <c r="M47" s="142"/>
      <c r="N47" s="142"/>
      <c r="O47" s="142"/>
      <c r="P47" s="142"/>
      <c r="Q47" s="142"/>
      <c r="R47" s="142"/>
      <c r="S47" s="142"/>
      <c r="T47" s="142"/>
    </row>
    <row r="48" spans="1:20" s="128" customFormat="1" ht="15" thickBot="1" x14ac:dyDescent="0.35">
      <c r="A48" s="387" t="s">
        <v>653</v>
      </c>
      <c r="B48" s="389">
        <f t="shared" ref="B48:J48" si="47">SUM(B42:B47)</f>
        <v>0</v>
      </c>
      <c r="C48" s="133">
        <f t="shared" si="47"/>
        <v>0</v>
      </c>
      <c r="D48" s="133">
        <f t="shared" si="47"/>
        <v>0</v>
      </c>
      <c r="E48" s="133">
        <f t="shared" si="47"/>
        <v>0</v>
      </c>
      <c r="F48" s="133">
        <f t="shared" si="47"/>
        <v>0</v>
      </c>
      <c r="G48" s="133">
        <f t="shared" si="47"/>
        <v>0</v>
      </c>
      <c r="H48" s="133">
        <f t="shared" si="47"/>
        <v>0</v>
      </c>
      <c r="I48" s="133">
        <f t="shared" si="47"/>
        <v>0</v>
      </c>
      <c r="J48" s="390">
        <f t="shared" si="47"/>
        <v>0</v>
      </c>
      <c r="K48" s="387" t="s">
        <v>653</v>
      </c>
      <c r="L48" s="389">
        <f t="shared" ref="L48:T48" si="48">SUM(L42:L47)</f>
        <v>0</v>
      </c>
      <c r="M48" s="133">
        <f t="shared" si="48"/>
        <v>0</v>
      </c>
      <c r="N48" s="133">
        <f t="shared" si="48"/>
        <v>0</v>
      </c>
      <c r="O48" s="133">
        <f t="shared" si="48"/>
        <v>0</v>
      </c>
      <c r="P48" s="133">
        <f t="shared" si="48"/>
        <v>0</v>
      </c>
      <c r="Q48" s="133">
        <f t="shared" si="48"/>
        <v>0</v>
      </c>
      <c r="R48" s="133">
        <f t="shared" si="48"/>
        <v>0</v>
      </c>
      <c r="S48" s="133">
        <f t="shared" si="48"/>
        <v>0</v>
      </c>
      <c r="T48" s="390">
        <f t="shared" si="48"/>
        <v>0</v>
      </c>
    </row>
    <row r="49" spans="1:20" ht="15" thickBot="1" x14ac:dyDescent="0.35"/>
    <row r="50" spans="1:20" s="128" customFormat="1" ht="15" thickBot="1" x14ac:dyDescent="0.35">
      <c r="A50" s="301" t="s">
        <v>910</v>
      </c>
      <c r="B50" s="525" t="s">
        <v>839</v>
      </c>
      <c r="C50" s="535"/>
      <c r="D50" s="535"/>
      <c r="E50" s="535"/>
      <c r="F50" s="535"/>
      <c r="G50" s="535"/>
      <c r="H50" s="535"/>
      <c r="I50" s="536"/>
      <c r="J50" s="391"/>
      <c r="K50" s="301" t="s">
        <v>910</v>
      </c>
      <c r="L50" s="525" t="s">
        <v>839</v>
      </c>
      <c r="M50" s="535"/>
      <c r="N50" s="535"/>
      <c r="O50" s="535"/>
      <c r="P50" s="535"/>
      <c r="Q50" s="535"/>
      <c r="R50" s="535"/>
      <c r="S50" s="536"/>
      <c r="T50" s="391"/>
    </row>
    <row r="51" spans="1:20" s="128" customFormat="1" ht="15" thickBot="1" x14ac:dyDescent="0.35">
      <c r="A51" s="301" t="s">
        <v>0</v>
      </c>
      <c r="B51" s="523" t="s">
        <v>72</v>
      </c>
      <c r="C51" s="524"/>
      <c r="D51" s="384"/>
      <c r="E51" s="523" t="s">
        <v>841</v>
      </c>
      <c r="F51" s="524"/>
      <c r="G51" s="384"/>
      <c r="H51" s="525" t="s">
        <v>899</v>
      </c>
      <c r="I51" s="526"/>
      <c r="J51" s="380" t="s">
        <v>93</v>
      </c>
      <c r="K51" s="301" t="s">
        <v>0</v>
      </c>
      <c r="L51" s="523" t="s">
        <v>72</v>
      </c>
      <c r="M51" s="524"/>
      <c r="N51" s="384"/>
      <c r="O51" s="523" t="s">
        <v>841</v>
      </c>
      <c r="P51" s="524"/>
      <c r="Q51" s="384"/>
      <c r="R51" s="525" t="s">
        <v>899</v>
      </c>
      <c r="S51" s="526"/>
      <c r="T51" s="380" t="s">
        <v>93</v>
      </c>
    </row>
    <row r="52" spans="1:20" s="128" customFormat="1" ht="15" thickBot="1" x14ac:dyDescent="0.35">
      <c r="A52" s="388" t="s">
        <v>646</v>
      </c>
      <c r="B52" s="137" t="s">
        <v>909</v>
      </c>
      <c r="C52" s="137" t="s">
        <v>78</v>
      </c>
      <c r="D52" s="137" t="s">
        <v>93</v>
      </c>
      <c r="E52" s="137" t="s">
        <v>909</v>
      </c>
      <c r="F52" s="137" t="s">
        <v>78</v>
      </c>
      <c r="G52" s="137" t="s">
        <v>93</v>
      </c>
      <c r="H52" s="137" t="s">
        <v>909</v>
      </c>
      <c r="I52" s="137" t="s">
        <v>78</v>
      </c>
      <c r="J52" s="383"/>
      <c r="K52" s="388" t="s">
        <v>646</v>
      </c>
      <c r="L52" s="137" t="s">
        <v>909</v>
      </c>
      <c r="M52" s="137" t="s">
        <v>78</v>
      </c>
      <c r="N52" s="137" t="s">
        <v>93</v>
      </c>
      <c r="O52" s="137" t="s">
        <v>909</v>
      </c>
      <c r="P52" s="137" t="s">
        <v>78</v>
      </c>
      <c r="Q52" s="137" t="s">
        <v>93</v>
      </c>
      <c r="R52" s="137" t="s">
        <v>909</v>
      </c>
      <c r="S52" s="137" t="s">
        <v>78</v>
      </c>
      <c r="T52" s="383"/>
    </row>
    <row r="53" spans="1:20" s="128" customFormat="1" ht="15" thickBot="1" x14ac:dyDescent="0.35">
      <c r="A53" s="386" t="s">
        <v>901</v>
      </c>
      <c r="B53" s="138">
        <f>SUMIF('PUR-RMC'!$L$7:$L$500,A53:A58,'PUR-RMC'!$M$7:$M$500)</f>
        <v>0</v>
      </c>
      <c r="C53" s="138">
        <f>SUMIF('PUR-RMC'!$L$7:$L$500,A53:A58,'PUR-RMC'!$P$7:$P$500)</f>
        <v>0</v>
      </c>
      <c r="D53" s="138">
        <f>+C53+B53</f>
        <v>0</v>
      </c>
      <c r="E53" s="138"/>
      <c r="F53" s="138"/>
      <c r="G53" s="138">
        <f t="shared" ref="G53:G58" si="49">+E53+F53</f>
        <v>0</v>
      </c>
      <c r="H53" s="138">
        <f t="shared" ref="H53:H58" si="50">+B53-E53</f>
        <v>0</v>
      </c>
      <c r="I53" s="138">
        <f t="shared" ref="I53:I58" si="51">+E53-F53</f>
        <v>0</v>
      </c>
      <c r="J53" s="138">
        <f t="shared" ref="J53:J58" si="52">+I53+H53</f>
        <v>0</v>
      </c>
      <c r="K53" s="386" t="s">
        <v>901</v>
      </c>
      <c r="L53" s="138">
        <f ca="1">SUMIF(PURCHASE!$W$6:$W$458,$A$29:$A$34,PURCHASE!$K$7:$K$458)</f>
        <v>0</v>
      </c>
      <c r="M53" s="138">
        <f>SUMIF(PURCHASE!$W$6:$W$458,$A$29:$A$34,PURCHASE!$N$6:$N$458)</f>
        <v>0</v>
      </c>
      <c r="N53" s="138">
        <f ca="1">+M53+L53</f>
        <v>0</v>
      </c>
      <c r="O53" s="138">
        <f>SUMIF('PURCHASE RETURN'!$X$5:$X$500,K53:K58,'PURCHASE RETURN'!$L$5:$L$500)</f>
        <v>0</v>
      </c>
      <c r="P53" s="138">
        <f>SUMIF('PURCHASE RETURN'!$X$5:$X$500,K53:K58,'PURCHASE RETURN'!$O$5:$O$500)</f>
        <v>0</v>
      </c>
      <c r="Q53" s="138">
        <f t="shared" ref="Q53:Q58" si="53">+O53+P53</f>
        <v>0</v>
      </c>
      <c r="R53" s="138">
        <f t="shared" ref="R53:R58" ca="1" si="54">+L53-O53</f>
        <v>0</v>
      </c>
      <c r="S53" s="138">
        <f t="shared" ref="S53:S58" si="55">+O53-P53</f>
        <v>0</v>
      </c>
      <c r="T53" s="138">
        <f t="shared" ref="T53:T58" ca="1" si="56">+S53+R53</f>
        <v>0</v>
      </c>
    </row>
    <row r="54" spans="1:20" s="128" customFormat="1" ht="15" thickBot="1" x14ac:dyDescent="0.35">
      <c r="A54" s="386" t="s">
        <v>900</v>
      </c>
      <c r="B54" s="138">
        <f>SUMIF('PUR-RMC'!$L$7:$L$500,A54:A59,'PUR-RMC'!$M$7:$M$500)</f>
        <v>0</v>
      </c>
      <c r="C54" s="138">
        <f>SUMIF('PUR-RMC'!$L$7:$L$500,A54:A59,'PUR-RMC'!$P$7:$P$500)</f>
        <v>0</v>
      </c>
      <c r="D54" s="140">
        <f t="shared" ref="D54:D58" si="57">+C54+B54</f>
        <v>0</v>
      </c>
      <c r="E54" s="140"/>
      <c r="F54" s="140"/>
      <c r="G54" s="140">
        <f t="shared" si="49"/>
        <v>0</v>
      </c>
      <c r="H54" s="140">
        <f t="shared" si="50"/>
        <v>0</v>
      </c>
      <c r="I54" s="140">
        <f t="shared" si="51"/>
        <v>0</v>
      </c>
      <c r="J54" s="140">
        <f t="shared" si="52"/>
        <v>0</v>
      </c>
      <c r="K54" s="386" t="s">
        <v>900</v>
      </c>
      <c r="L54" s="140">
        <f ca="1">SUMIF(PURCHASE!$W$6:$W$458,$A$29:$A$34,PURCHASE!$K$7:$K$458)</f>
        <v>0</v>
      </c>
      <c r="M54" s="140">
        <f>SUMIF(PURCHASE!$W$6:$W$458,$A$29:$A$34,PURCHASE!$N$6:$N$458)</f>
        <v>0</v>
      </c>
      <c r="N54" s="140">
        <f t="shared" ref="N54:N58" ca="1" si="58">+M54+L54</f>
        <v>0</v>
      </c>
      <c r="O54" s="140">
        <f>SUMIF('PURCHASE RETURN'!$X$5:$X$500,K54:K59,'PURCHASE RETURN'!$L$5:$L$500)</f>
        <v>0</v>
      </c>
      <c r="P54" s="140">
        <f>SUMIF('PURCHASE RETURN'!$X$5:$X$500,K54:K59,'PURCHASE RETURN'!$O$5:$O$500)</f>
        <v>0</v>
      </c>
      <c r="Q54" s="140">
        <f t="shared" si="53"/>
        <v>0</v>
      </c>
      <c r="R54" s="140">
        <f t="shared" ca="1" si="54"/>
        <v>0</v>
      </c>
      <c r="S54" s="140">
        <f t="shared" si="55"/>
        <v>0</v>
      </c>
      <c r="T54" s="140">
        <f t="shared" ca="1" si="56"/>
        <v>0</v>
      </c>
    </row>
    <row r="55" spans="1:20" s="128" customFormat="1" ht="15" thickBot="1" x14ac:dyDescent="0.35">
      <c r="A55" s="386" t="s">
        <v>898</v>
      </c>
      <c r="B55" s="138">
        <f>SUMIF('PUR-RMC'!$L$7:$L$500,A55:A60,'PUR-RMC'!$M$7:$M$500)</f>
        <v>0</v>
      </c>
      <c r="C55" s="138">
        <f>SUMIF('PUR-RMC'!$L$7:$L$500,A55:A60,'PUR-RMC'!$P$7:$P$500)</f>
        <v>0</v>
      </c>
      <c r="D55" s="140">
        <f t="shared" si="57"/>
        <v>0</v>
      </c>
      <c r="E55" s="140"/>
      <c r="F55" s="140"/>
      <c r="G55" s="140">
        <f t="shared" si="49"/>
        <v>0</v>
      </c>
      <c r="H55" s="140">
        <f t="shared" si="50"/>
        <v>0</v>
      </c>
      <c r="I55" s="140">
        <f t="shared" si="51"/>
        <v>0</v>
      </c>
      <c r="J55" s="140">
        <f t="shared" si="52"/>
        <v>0</v>
      </c>
      <c r="K55" s="386" t="s">
        <v>898</v>
      </c>
      <c r="L55" s="140">
        <f ca="1">SUMIF(PURCHASE!$W$6:$W$458,$A$29:$A$34,PURCHASE!$K$7:$K$458)</f>
        <v>0</v>
      </c>
      <c r="M55" s="140">
        <f>SUMIF(PURCHASE!$W$6:$W$458,$A$29:$A$34,PURCHASE!$N$6:$N$458)</f>
        <v>0</v>
      </c>
      <c r="N55" s="140">
        <f t="shared" ca="1" si="58"/>
        <v>0</v>
      </c>
      <c r="O55" s="140">
        <f>SUMIF('PURCHASE RETURN'!$X$5:$X$500,K55:K60,'PURCHASE RETURN'!$L$5:$L$500)</f>
        <v>0</v>
      </c>
      <c r="P55" s="140">
        <f>SUMIF('PURCHASE RETURN'!$X$5:$X$500,K55:K60,'PURCHASE RETURN'!$O$5:$O$500)</f>
        <v>0</v>
      </c>
      <c r="Q55" s="140">
        <f t="shared" si="53"/>
        <v>0</v>
      </c>
      <c r="R55" s="140">
        <f t="shared" ca="1" si="54"/>
        <v>0</v>
      </c>
      <c r="S55" s="140">
        <f t="shared" si="55"/>
        <v>0</v>
      </c>
      <c r="T55" s="140">
        <f t="shared" ca="1" si="56"/>
        <v>0</v>
      </c>
    </row>
    <row r="56" spans="1:20" s="128" customFormat="1" ht="15" thickBot="1" x14ac:dyDescent="0.35">
      <c r="A56" s="386" t="s">
        <v>902</v>
      </c>
      <c r="B56" s="138">
        <f>SUMIF('PUR-RMC'!$L$7:$L$500,A56:A61,'PUR-RMC'!$M$7:$M$500)</f>
        <v>0</v>
      </c>
      <c r="C56" s="138">
        <f>SUMIF('PUR-RMC'!$L$7:$L$500,A56:A61,'PUR-RMC'!$P$7:$P$500)</f>
        <v>0</v>
      </c>
      <c r="D56" s="140">
        <f t="shared" si="57"/>
        <v>0</v>
      </c>
      <c r="E56" s="140"/>
      <c r="F56" s="140"/>
      <c r="G56" s="140">
        <f t="shared" si="49"/>
        <v>0</v>
      </c>
      <c r="H56" s="140">
        <f t="shared" si="50"/>
        <v>0</v>
      </c>
      <c r="I56" s="140">
        <f t="shared" si="51"/>
        <v>0</v>
      </c>
      <c r="J56" s="140">
        <f t="shared" si="52"/>
        <v>0</v>
      </c>
      <c r="K56" s="386" t="s">
        <v>902</v>
      </c>
      <c r="L56" s="140">
        <f ca="1">SUMIF(PURCHASE!$W$6:$W$458,$A$29:$A$34,PURCHASE!$K$7:$K$458)</f>
        <v>0</v>
      </c>
      <c r="M56" s="140">
        <f>SUMIF(PURCHASE!$W$6:$W$458,$A$29:$A$34,PURCHASE!$N$6:$N$458)</f>
        <v>0</v>
      </c>
      <c r="N56" s="140">
        <f t="shared" ca="1" si="58"/>
        <v>0</v>
      </c>
      <c r="O56" s="140">
        <f>SUMIF('PURCHASE RETURN'!$X$5:$X$500,K56:K61,'PURCHASE RETURN'!$L$5:$L$500)</f>
        <v>0</v>
      </c>
      <c r="P56" s="140">
        <f>SUMIF('PURCHASE RETURN'!$X$5:$X$500,K56:K61,'PURCHASE RETURN'!$O$5:$O$500)</f>
        <v>0</v>
      </c>
      <c r="Q56" s="140">
        <f t="shared" si="53"/>
        <v>0</v>
      </c>
      <c r="R56" s="140">
        <f t="shared" ca="1" si="54"/>
        <v>0</v>
      </c>
      <c r="S56" s="140">
        <f t="shared" si="55"/>
        <v>0</v>
      </c>
      <c r="T56" s="140">
        <f t="shared" ca="1" si="56"/>
        <v>0</v>
      </c>
    </row>
    <row r="57" spans="1:20" s="128" customFormat="1" ht="15" thickBot="1" x14ac:dyDescent="0.35">
      <c r="A57" s="386" t="s">
        <v>894</v>
      </c>
      <c r="B57" s="138">
        <f>SUMIF('PUR-RMC'!$L$7:$L$500,A57:A62,'PUR-RMC'!$M$7:$M$500)</f>
        <v>0</v>
      </c>
      <c r="C57" s="138">
        <f>SUMIF('PUR-RMC'!$L$7:$L$500,A57:A62,'PUR-RMC'!$P$7:$P$500)</f>
        <v>0</v>
      </c>
      <c r="D57" s="140">
        <f t="shared" si="57"/>
        <v>0</v>
      </c>
      <c r="E57" s="140"/>
      <c r="F57" s="140"/>
      <c r="G57" s="140">
        <f t="shared" si="49"/>
        <v>0</v>
      </c>
      <c r="H57" s="140">
        <f t="shared" si="50"/>
        <v>0</v>
      </c>
      <c r="I57" s="140">
        <f t="shared" si="51"/>
        <v>0</v>
      </c>
      <c r="J57" s="140">
        <f t="shared" si="52"/>
        <v>0</v>
      </c>
      <c r="K57" s="386" t="s">
        <v>894</v>
      </c>
      <c r="L57" s="140">
        <f ca="1">SUMIF(PURCHASE!$W$6:$W$458,$A$29:$A$34,PURCHASE!$K$7:$K$458)</f>
        <v>0</v>
      </c>
      <c r="M57" s="140">
        <f>SUMIF(PURCHASE!$W$6:$W$458,$A$29:$A$34,PURCHASE!$N$6:$N$458)</f>
        <v>0</v>
      </c>
      <c r="N57" s="140">
        <f t="shared" ca="1" si="58"/>
        <v>0</v>
      </c>
      <c r="O57" s="140">
        <f>SUMIF('PURCHASE RETURN'!$X$5:$X$500,K57:K62,'PURCHASE RETURN'!$L$5:$L$500)</f>
        <v>0</v>
      </c>
      <c r="P57" s="140">
        <f>SUMIF('PURCHASE RETURN'!$X$5:$X$500,K57:K62,'PURCHASE RETURN'!$O$5:$O$500)</f>
        <v>0</v>
      </c>
      <c r="Q57" s="140">
        <f t="shared" si="53"/>
        <v>0</v>
      </c>
      <c r="R57" s="140">
        <f t="shared" ca="1" si="54"/>
        <v>0</v>
      </c>
      <c r="S57" s="140">
        <f t="shared" si="55"/>
        <v>0</v>
      </c>
      <c r="T57" s="140">
        <f t="shared" ca="1" si="56"/>
        <v>0</v>
      </c>
    </row>
    <row r="58" spans="1:20" s="128" customFormat="1" ht="15" thickBot="1" x14ac:dyDescent="0.35">
      <c r="A58" s="386" t="s">
        <v>897</v>
      </c>
      <c r="B58" s="138">
        <f>SUMIF('PUR-RMC'!$L$7:$L$500,A58:A63,'PUR-RMC'!$M$7:$M$500)</f>
        <v>0</v>
      </c>
      <c r="C58" s="138">
        <f>SUMIF('PUR-RMC'!$L$7:$L$500,A58:A63,'PUR-RMC'!$P$7:$P$500)</f>
        <v>0</v>
      </c>
      <c r="D58" s="142">
        <f t="shared" si="57"/>
        <v>0</v>
      </c>
      <c r="E58" s="142"/>
      <c r="F58" s="142"/>
      <c r="G58" s="142">
        <f t="shared" si="49"/>
        <v>0</v>
      </c>
      <c r="H58" s="142">
        <f t="shared" si="50"/>
        <v>0</v>
      </c>
      <c r="I58" s="142">
        <f t="shared" si="51"/>
        <v>0</v>
      </c>
      <c r="J58" s="142">
        <f t="shared" si="52"/>
        <v>0</v>
      </c>
      <c r="K58" s="386" t="s">
        <v>897</v>
      </c>
      <c r="L58" s="142">
        <f ca="1">SUMIF(PURCHASE!$W$6:$W$458,$A$29:$A$34,PURCHASE!$K$7:$K$458)</f>
        <v>0</v>
      </c>
      <c r="M58" s="142">
        <f>SUMIF(PURCHASE!$W$6:$W$458,$A$29:$A$34,PURCHASE!$N$6:$N$458)</f>
        <v>0</v>
      </c>
      <c r="N58" s="142">
        <f t="shared" ca="1" si="58"/>
        <v>0</v>
      </c>
      <c r="O58" s="142">
        <f>SUMIF('PURCHASE RETURN'!$X$5:$X$500,K58:K63,'PURCHASE RETURN'!$L$5:$L$500)</f>
        <v>0</v>
      </c>
      <c r="P58" s="142">
        <f>SUMIF('PURCHASE RETURN'!$X$5:$X$500,K58:K63,'PURCHASE RETURN'!$O$5:$O$500)</f>
        <v>0</v>
      </c>
      <c r="Q58" s="142">
        <f t="shared" si="53"/>
        <v>0</v>
      </c>
      <c r="R58" s="142">
        <f t="shared" ca="1" si="54"/>
        <v>0</v>
      </c>
      <c r="S58" s="142">
        <f t="shared" si="55"/>
        <v>0</v>
      </c>
      <c r="T58" s="142">
        <f t="shared" ca="1" si="56"/>
        <v>0</v>
      </c>
    </row>
    <row r="59" spans="1:20" s="128" customFormat="1" ht="15" thickBot="1" x14ac:dyDescent="0.35">
      <c r="A59" s="387" t="s">
        <v>653</v>
      </c>
      <c r="B59" s="389">
        <f t="shared" ref="B59:J59" si="59">SUM(B53:B58)</f>
        <v>0</v>
      </c>
      <c r="C59" s="133">
        <f t="shared" si="59"/>
        <v>0</v>
      </c>
      <c r="D59" s="133">
        <f t="shared" si="59"/>
        <v>0</v>
      </c>
      <c r="E59" s="133">
        <f t="shared" si="59"/>
        <v>0</v>
      </c>
      <c r="F59" s="133">
        <f t="shared" si="59"/>
        <v>0</v>
      </c>
      <c r="G59" s="133">
        <f t="shared" si="59"/>
        <v>0</v>
      </c>
      <c r="H59" s="133">
        <f t="shared" si="59"/>
        <v>0</v>
      </c>
      <c r="I59" s="133">
        <f t="shared" si="59"/>
        <v>0</v>
      </c>
      <c r="J59" s="390">
        <f t="shared" si="59"/>
        <v>0</v>
      </c>
      <c r="K59" s="387" t="s">
        <v>653</v>
      </c>
      <c r="L59" s="389">
        <f t="shared" ref="L59:T59" ca="1" si="60">SUM(L53:L58)</f>
        <v>0</v>
      </c>
      <c r="M59" s="133">
        <f t="shared" si="60"/>
        <v>0</v>
      </c>
      <c r="N59" s="133">
        <f t="shared" ca="1" si="60"/>
        <v>0</v>
      </c>
      <c r="O59" s="133">
        <f t="shared" si="60"/>
        <v>0</v>
      </c>
      <c r="P59" s="133">
        <f t="shared" si="60"/>
        <v>0</v>
      </c>
      <c r="Q59" s="133">
        <f t="shared" si="60"/>
        <v>0</v>
      </c>
      <c r="R59" s="133">
        <f t="shared" ca="1" si="60"/>
        <v>0</v>
      </c>
      <c r="S59" s="133">
        <f t="shared" si="60"/>
        <v>0</v>
      </c>
      <c r="T59" s="390">
        <f t="shared" ca="1" si="60"/>
        <v>0</v>
      </c>
    </row>
  </sheetData>
  <mergeCells count="41">
    <mergeCell ref="B50:I50"/>
    <mergeCell ref="L50:S50"/>
    <mergeCell ref="B51:C51"/>
    <mergeCell ref="E51:F51"/>
    <mergeCell ref="H51:I51"/>
    <mergeCell ref="L51:M51"/>
    <mergeCell ref="O51:P51"/>
    <mergeCell ref="R51:S51"/>
    <mergeCell ref="B40:C40"/>
    <mergeCell ref="E40:F40"/>
    <mergeCell ref="H40:I40"/>
    <mergeCell ref="L40:M40"/>
    <mergeCell ref="O40:P40"/>
    <mergeCell ref="R40:S40"/>
    <mergeCell ref="L26:S26"/>
    <mergeCell ref="L27:M27"/>
    <mergeCell ref="O27:P27"/>
    <mergeCell ref="R27:S27"/>
    <mergeCell ref="B39:I39"/>
    <mergeCell ref="L39:S39"/>
    <mergeCell ref="A5:I5"/>
    <mergeCell ref="K5:Q5"/>
    <mergeCell ref="L6:S6"/>
    <mergeCell ref="R7:S7"/>
    <mergeCell ref="L16:S16"/>
    <mergeCell ref="L17:M17"/>
    <mergeCell ref="O17:P17"/>
    <mergeCell ref="R17:S17"/>
    <mergeCell ref="B16:I16"/>
    <mergeCell ref="B17:C17"/>
    <mergeCell ref="E17:F17"/>
    <mergeCell ref="H17:I17"/>
    <mergeCell ref="B26:I26"/>
    <mergeCell ref="B27:C27"/>
    <mergeCell ref="E27:F27"/>
    <mergeCell ref="H27:I27"/>
    <mergeCell ref="H7:I7"/>
    <mergeCell ref="A1:Q1"/>
    <mergeCell ref="A2:C2"/>
    <mergeCell ref="A4:S4"/>
    <mergeCell ref="B6:I6"/>
  </mergeCells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'SALE MASTER'!$N$2:$N$10</xm:f>
          </x14:formula1>
          <xm:sqref>S1</xm:sqref>
        </x14:dataValidation>
        <x14:dataValidation type="list" allowBlank="1" showInputMessage="1" showErrorMessage="1">
          <x14:formula1>
            <xm:f>'SALE MASTER'!$M$2:$M$13</xm:f>
          </x14:formula1>
          <xm:sqref>S3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8"/>
  <sheetViews>
    <sheetView topLeftCell="A28" workbookViewId="0">
      <selection activeCell="B72" sqref="B72"/>
    </sheetView>
  </sheetViews>
  <sheetFormatPr defaultColWidth="8.88671875" defaultRowHeight="13.2" x14ac:dyDescent="0.25"/>
  <cols>
    <col min="1" max="1" width="9" style="127" bestFit="1" customWidth="1"/>
    <col min="2" max="2" width="13.6640625" style="127" customWidth="1"/>
    <col min="3" max="3" width="10.6640625" style="127" customWidth="1"/>
    <col min="4" max="4" width="12" style="127" customWidth="1"/>
    <col min="5" max="5" width="9" style="127" bestFit="1" customWidth="1"/>
    <col min="6" max="6" width="13.109375" style="127" customWidth="1"/>
    <col min="7" max="7" width="10.21875" style="127" customWidth="1"/>
    <col min="8" max="8" width="12.77734375" style="127" customWidth="1"/>
    <col min="9" max="9" width="11" style="127" customWidth="1"/>
    <col min="10" max="10" width="9.6640625" style="127" customWidth="1"/>
    <col min="11" max="11" width="10.44140625" style="127" customWidth="1"/>
    <col min="12" max="12" width="12.44140625" style="127" customWidth="1"/>
    <col min="13" max="13" width="15.21875" style="127" customWidth="1"/>
    <col min="14" max="14" width="13.77734375" style="127" bestFit="1" customWidth="1"/>
    <col min="15" max="15" width="11.44140625" style="127" bestFit="1" customWidth="1"/>
    <col min="16" max="16384" width="8.88671875" style="127"/>
  </cols>
  <sheetData>
    <row r="1" spans="1:13" ht="19.2" thickTop="1" thickBot="1" x14ac:dyDescent="0.4">
      <c r="A1" s="527" t="s">
        <v>636</v>
      </c>
      <c r="B1" s="528"/>
      <c r="C1" s="528"/>
      <c r="D1" s="528"/>
      <c r="E1" s="528"/>
      <c r="F1" s="528"/>
      <c r="G1" s="528"/>
      <c r="H1" s="528"/>
      <c r="I1" s="528"/>
      <c r="J1" s="528"/>
      <c r="K1" s="233" t="s">
        <v>637</v>
      </c>
      <c r="L1" s="231"/>
      <c r="M1" s="234" t="s">
        <v>288</v>
      </c>
    </row>
    <row r="2" spans="1:13" ht="16.8" thickTop="1" thickBot="1" x14ac:dyDescent="0.35">
      <c r="A2" s="529" t="s">
        <v>640</v>
      </c>
      <c r="B2" s="530"/>
      <c r="C2" s="530"/>
      <c r="D2" s="531"/>
      <c r="E2" s="457" t="s">
        <v>650</v>
      </c>
      <c r="F2" s="134"/>
      <c r="G2" s="134"/>
      <c r="H2" s="134"/>
      <c r="I2" s="134"/>
      <c r="J2" s="134"/>
      <c r="K2" s="237"/>
      <c r="L2" s="238"/>
      <c r="M2" s="239"/>
    </row>
    <row r="3" spans="1:13" ht="16.2" customHeight="1" thickBot="1" x14ac:dyDescent="0.35">
      <c r="A3" s="181" t="s">
        <v>638</v>
      </c>
      <c r="B3" s="135"/>
      <c r="C3" s="135"/>
      <c r="D3" s="136"/>
      <c r="E3" s="241" t="s">
        <v>639</v>
      </c>
      <c r="F3" s="135"/>
      <c r="G3" s="135"/>
      <c r="H3" s="135"/>
      <c r="I3" s="135"/>
      <c r="J3" s="135"/>
      <c r="K3" s="235" t="s">
        <v>281</v>
      </c>
      <c r="L3" s="232"/>
      <c r="M3" s="236" t="s">
        <v>293</v>
      </c>
    </row>
    <row r="4" spans="1:13" ht="13.8" thickBot="1" x14ac:dyDescent="0.3">
      <c r="A4" s="592" t="s">
        <v>641</v>
      </c>
      <c r="B4" s="593"/>
      <c r="C4" s="593"/>
      <c r="D4" s="593"/>
      <c r="E4" s="593"/>
      <c r="F4" s="593"/>
      <c r="G4" s="593"/>
      <c r="H4" s="593"/>
      <c r="I4" s="593"/>
      <c r="J4" s="593"/>
      <c r="K4" s="593"/>
      <c r="L4" s="593"/>
      <c r="M4" s="594"/>
    </row>
    <row r="5" spans="1:13" ht="13.8" thickBot="1" x14ac:dyDescent="0.3">
      <c r="A5" s="537" t="s">
        <v>651</v>
      </c>
      <c r="B5" s="535"/>
      <c r="C5" s="535"/>
      <c r="D5" s="535"/>
      <c r="E5" s="535"/>
      <c r="F5" s="535"/>
      <c r="G5" s="535"/>
      <c r="H5" s="535"/>
      <c r="I5" s="535"/>
      <c r="J5" s="535"/>
      <c r="K5" s="535"/>
      <c r="L5" s="535"/>
      <c r="M5" s="526"/>
    </row>
    <row r="6" spans="1:13" ht="15" customHeight="1" thickBot="1" x14ac:dyDescent="0.3">
      <c r="A6" s="243" t="s">
        <v>652</v>
      </c>
      <c r="B6" s="580" t="s">
        <v>1</v>
      </c>
      <c r="C6" s="580"/>
      <c r="D6" s="580" t="s">
        <v>837</v>
      </c>
      <c r="E6" s="580"/>
      <c r="F6" s="580" t="s">
        <v>838</v>
      </c>
      <c r="G6" s="580"/>
      <c r="H6" s="580" t="s">
        <v>839</v>
      </c>
      <c r="I6" s="580"/>
      <c r="J6" s="580" t="s">
        <v>840</v>
      </c>
      <c r="K6" s="580"/>
      <c r="L6" s="244" t="s">
        <v>93</v>
      </c>
      <c r="M6" s="242" t="s">
        <v>93</v>
      </c>
    </row>
    <row r="7" spans="1:13" ht="13.8" thickBot="1" x14ac:dyDescent="0.3">
      <c r="A7" s="152" t="s">
        <v>646</v>
      </c>
      <c r="B7" s="137" t="s">
        <v>72</v>
      </c>
      <c r="C7" s="137" t="s">
        <v>841</v>
      </c>
      <c r="D7" s="137" t="s">
        <v>72</v>
      </c>
      <c r="E7" s="137" t="s">
        <v>841</v>
      </c>
      <c r="F7" s="137" t="s">
        <v>72</v>
      </c>
      <c r="G7" s="137" t="s">
        <v>841</v>
      </c>
      <c r="H7" s="137" t="s">
        <v>72</v>
      </c>
      <c r="I7" s="137" t="s">
        <v>841</v>
      </c>
      <c r="J7" s="137" t="s">
        <v>72</v>
      </c>
      <c r="K7" s="137" t="s">
        <v>841</v>
      </c>
      <c r="L7" s="137" t="s">
        <v>836</v>
      </c>
      <c r="M7" s="153" t="s">
        <v>842</v>
      </c>
    </row>
    <row r="8" spans="1:13" x14ac:dyDescent="0.25">
      <c r="A8" s="146">
        <v>0</v>
      </c>
      <c r="B8" s="138">
        <f>SUMIF(SALE!$J$6:$J$493,$A$8:$A$13,SALE!$K$6:$K$493)</f>
        <v>0</v>
      </c>
      <c r="C8" s="138">
        <f>SUMIF('SALES RETURN'!$K$9:$K$513,$A$8:$A$13,'SALES RETURN'!$L$9:$L$513)</f>
        <v>0</v>
      </c>
      <c r="D8" s="138">
        <f>SUMIF(SALE!$J$6:$J$493,$A$8:$A$13,SALE!$M$6:$M$493)</f>
        <v>0</v>
      </c>
      <c r="E8" s="138">
        <f>SUMIF('SALES RETURN'!$K$9:$K$513,$A$8:$A$13,'SALES RETURN'!$O$9:$OM$513)</f>
        <v>0</v>
      </c>
      <c r="F8" s="138">
        <f>SUMIF(SALE!$J$6:$J$493,$A$8:$A$13,SALE!$N$6:$N$493)</f>
        <v>0</v>
      </c>
      <c r="G8" s="138">
        <f>SUMIF('SALES RETURN'!$K$9:$K$513,$A$8:$A$13,'SALES RETURN'!$P$9:$PM$513)</f>
        <v>0</v>
      </c>
      <c r="H8" s="138">
        <f>SUMIF(SALE!$J$6:$J$493,$A$8:$A$13,SALE!$O$6:$O$493)</f>
        <v>0</v>
      </c>
      <c r="I8" s="138">
        <f>SUMIF('SALES RETURN'!$K$9:$K$513,$A$8:$A$13,'SALES RETURN'!$Q$9:$QM$513)</f>
        <v>0</v>
      </c>
      <c r="J8" s="138">
        <f>SUMIF(SALE!$J$6:$J$493,$A$8:$A$13,SALE!$L$6:$L$493)</f>
        <v>0</v>
      </c>
      <c r="K8" s="229">
        <f>SUMIF('SALES RETURN'!$K$9:$K$513,$A$8:$A$13,'SALES RETURN'!$M$9:$MM$513)</f>
        <v>0</v>
      </c>
      <c r="L8" s="139">
        <f>+D8+F8+H8+J8-E8-G8-I8-K8</f>
        <v>0</v>
      </c>
      <c r="M8" s="147">
        <f>+B8-C8+L8</f>
        <v>0</v>
      </c>
    </row>
    <row r="9" spans="1:13" x14ac:dyDescent="0.25">
      <c r="A9" s="148">
        <v>3</v>
      </c>
      <c r="B9" s="140">
        <f>SUMIF(SALE!$J$6:$J$493,$A$8:$A$13,SALE!$K$6:$K$493)</f>
        <v>0</v>
      </c>
      <c r="C9" s="140">
        <f>SUMIF('SALES RETURN'!$K$9:$K$513,$A$8:$A$13,'SALES RETURN'!$L$9:$L$513)</f>
        <v>0</v>
      </c>
      <c r="D9" s="140">
        <f>SUMIF(SALE!$J$6:$J$493,$A$8:$A$13,SALE!$M$6:$M$493)</f>
        <v>0</v>
      </c>
      <c r="E9" s="140">
        <f>SUMIF('SALES RETURN'!$K$9:$K$513,$A$8:$A$13,'SALES RETURN'!$O$9:$OM$513)</f>
        <v>0</v>
      </c>
      <c r="F9" s="140">
        <f>SUMIF(SALE!$J$6:$J$493,$A$8:$A$13,SALE!$N$6:$N$493)</f>
        <v>0</v>
      </c>
      <c r="G9" s="140">
        <f>SUMIF('SALES RETURN'!$K$9:$K$513,$A$8:$A$13,'SALES RETURN'!$P$9:$PM$513)</f>
        <v>0</v>
      </c>
      <c r="H9" s="140">
        <f>SUMIF(SALE!$J$6:$J$493,$A$8:$A$13,SALE!$O$6:$O$493)</f>
        <v>0</v>
      </c>
      <c r="I9" s="140">
        <f>SUMIF('SALES RETURN'!$K$9:$K$513,$A$8:$A$13,'SALES RETURN'!$Q$9:$QM$513)</f>
        <v>0</v>
      </c>
      <c r="J9" s="140">
        <f>SUMIF(SALE!$J$6:$J$493,$A$8:$A$13,SALE!$L$6:$L$493)</f>
        <v>0</v>
      </c>
      <c r="K9" s="226">
        <f>SUMIF('SALES RETURN'!$K$9:$K$513,$A$8:$A$13,'SALES RETURN'!$M$9:$MM$513)</f>
        <v>0</v>
      </c>
      <c r="L9" s="141">
        <f t="shared" ref="L9:L13" si="0">+D9+F9+H9+J9-E9-G9-I9-K9</f>
        <v>0</v>
      </c>
      <c r="M9" s="149">
        <f>+B9-C9+L9</f>
        <v>0</v>
      </c>
    </row>
    <row r="10" spans="1:13" x14ac:dyDescent="0.25">
      <c r="A10" s="148">
        <v>5</v>
      </c>
      <c r="B10" s="140">
        <f>SUMIF(SALE!$J$6:$J$493,$A$8:$A$13,SALE!$K$6:$K$493)</f>
        <v>0</v>
      </c>
      <c r="C10" s="140">
        <f>SUMIF('SALES RETURN'!$K$9:$K$513,$A$8:$A$13,'SALES RETURN'!$L$9:$L$513)</f>
        <v>0</v>
      </c>
      <c r="D10" s="140">
        <f>SUMIF(SALE!$J$6:$J$493,$A$8:$A$13,SALE!$M$6:$M$493)</f>
        <v>0</v>
      </c>
      <c r="E10" s="140">
        <f>SUMIF('SALES RETURN'!$K$9:$K$513,$A$8:$A$13,'SALES RETURN'!$O$9:$OM$513)</f>
        <v>0</v>
      </c>
      <c r="F10" s="140">
        <f>SUMIF(SALE!$J$6:$J$493,$A$8:$A$13,SALE!$N$6:$N$493)</f>
        <v>0</v>
      </c>
      <c r="G10" s="140">
        <f>SUMIF('SALES RETURN'!$K$9:$K$513,$A$8:$A$13,'SALES RETURN'!$P$9:$PM$513)</f>
        <v>0</v>
      </c>
      <c r="H10" s="140">
        <f>SUMIF(SALE!$J$6:$J$493,$A$8:$A$13,SALE!$O$6:$O$493)</f>
        <v>0</v>
      </c>
      <c r="I10" s="140">
        <f>SUMIF('SALES RETURN'!$K$9:$K$513,$A$8:$A$13,'SALES RETURN'!$Q$9:$QM$513)</f>
        <v>0</v>
      </c>
      <c r="J10" s="140">
        <f>SUMIF(SALE!$J$6:$J$493,$A$8:$A$13,SALE!$L$6:$L$493)</f>
        <v>0</v>
      </c>
      <c r="K10" s="226">
        <f>SUMIF('SALES RETURN'!$K$9:$K$513,$A$8:$A$13,'SALES RETURN'!$M$9:$MM$513)</f>
        <v>0</v>
      </c>
      <c r="L10" s="141">
        <f t="shared" si="0"/>
        <v>0</v>
      </c>
      <c r="M10" s="149">
        <f t="shared" ref="M10:M13" si="1">+B10-C10+L10</f>
        <v>0</v>
      </c>
    </row>
    <row r="11" spans="1:13" x14ac:dyDescent="0.25">
      <c r="A11" s="148">
        <v>12</v>
      </c>
      <c r="B11" s="140">
        <f>SUMIF(SALE!$J$6:$J$493,$A$8:$A$13,SALE!$K$6:$K$493)</f>
        <v>0</v>
      </c>
      <c r="C11" s="140">
        <f>SUMIF('SALES RETURN'!$K$9:$K$513,$A$8:$A$13,'SALES RETURN'!$L$9:$L$513)</f>
        <v>0</v>
      </c>
      <c r="D11" s="140">
        <f>SUMIF(SALE!$J$6:$J$493,$A$8:$A$13,SALE!$M$6:$M$493)</f>
        <v>0</v>
      </c>
      <c r="E11" s="140">
        <f>SUMIF('SALES RETURN'!$K$9:$K$513,$A$8:$A$13,'SALES RETURN'!$O$9:$OM$513)</f>
        <v>0</v>
      </c>
      <c r="F11" s="140">
        <f>SUMIF(SALE!$J$6:$J$493,$A$8:$A$13,SALE!$N$6:$N$493)</f>
        <v>0</v>
      </c>
      <c r="G11" s="140">
        <f>SUMIF('SALES RETURN'!$K$9:$K$513,$A$8:$A$13,'SALES RETURN'!$P$9:$PM$513)</f>
        <v>0</v>
      </c>
      <c r="H11" s="140">
        <f>SUMIF(SALE!$J$6:$J$493,$A$8:$A$13,SALE!$O$6:$O$493)</f>
        <v>0</v>
      </c>
      <c r="I11" s="140">
        <f>SUMIF('SALES RETURN'!$K$9:$K$513,$A$8:$A$13,'SALES RETURN'!$Q$9:$QM$513)</f>
        <v>0</v>
      </c>
      <c r="J11" s="140">
        <f>SUMIF(SALE!$J$6:$J$493,$A$8:$A$13,SALE!$L$6:$L$493)</f>
        <v>0</v>
      </c>
      <c r="K11" s="226">
        <f>SUMIF('SALES RETURN'!$K$9:$K$513,$A$8:$A$13,'SALES RETURN'!$M$9:$MM$513)</f>
        <v>0</v>
      </c>
      <c r="L11" s="141">
        <f t="shared" si="0"/>
        <v>0</v>
      </c>
      <c r="M11" s="149">
        <f t="shared" si="1"/>
        <v>0</v>
      </c>
    </row>
    <row r="12" spans="1:13" x14ac:dyDescent="0.25">
      <c r="A12" s="148">
        <v>18</v>
      </c>
      <c r="B12" s="140">
        <f>SUMIF(SALE!$J$6:$J$493,$A$8:$A$13,SALE!$K$6:$K$493)</f>
        <v>2069263.2099999993</v>
      </c>
      <c r="C12" s="140">
        <f>SUMIF('SALES RETURN'!$K$9:$K$513,$A$8:$A$13,'SALES RETURN'!$L$9:$L$513)</f>
        <v>0</v>
      </c>
      <c r="D12" s="140">
        <f>SUMIF(SALE!$J$6:$J$493,$A$8:$A$13,SALE!$M$6:$M$493)</f>
        <v>4555.3176000000003</v>
      </c>
      <c r="E12" s="140">
        <f>SUMIF('SALES RETURN'!$K$9:$K$513,$A$8:$A$13,'SALES RETURN'!$O$9:$OM$513)</f>
        <v>0</v>
      </c>
      <c r="F12" s="140">
        <f>SUMIF(SALE!$J$6:$J$493,$A$8:$A$13,SALE!$N$6:$N$493)</f>
        <v>183956.03009999995</v>
      </c>
      <c r="G12" s="140">
        <f>SUMIF('SALES RETURN'!$K$9:$K$513,$A$8:$A$13,'SALES RETURN'!$P$9:$PM$513)</f>
        <v>0</v>
      </c>
      <c r="H12" s="140">
        <f>SUMIF(SALE!$J$6:$J$493,$A$8:$A$13,SALE!$O$6:$O$493)</f>
        <v>183956.03009999995</v>
      </c>
      <c r="I12" s="140">
        <f>SUMIF('SALES RETURN'!$K$9:$K$513,$A$8:$A$13,'SALES RETURN'!$Q$9:$QM$513)</f>
        <v>0</v>
      </c>
      <c r="J12" s="140">
        <f>SUMIF(SALE!$J$6:$J$493,$A$8:$A$13,SALE!$L$6:$L$493)</f>
        <v>0</v>
      </c>
      <c r="K12" s="226">
        <f>SUMIF('SALES RETURN'!$K$9:$K$513,$A$8:$A$13,'SALES RETURN'!$M$9:$MM$513)</f>
        <v>0</v>
      </c>
      <c r="L12" s="141">
        <f t="shared" si="0"/>
        <v>372467.3777999999</v>
      </c>
      <c r="M12" s="149">
        <f t="shared" si="1"/>
        <v>2441730.5877999989</v>
      </c>
    </row>
    <row r="13" spans="1:13" ht="13.8" thickBot="1" x14ac:dyDescent="0.3">
      <c r="A13" s="150">
        <v>28</v>
      </c>
      <c r="B13" s="142">
        <f>SUMIF(SALE!$J$6:$J$493,$A$8:$A$13,SALE!$K$6:$K$493)</f>
        <v>6403508.9200000009</v>
      </c>
      <c r="C13" s="142">
        <f>SUMIF('SALES RETURN'!$K$9:$K$513,$A$8:$A$13,'SALES RETURN'!$L$9:$L$513)</f>
        <v>0</v>
      </c>
      <c r="D13" s="142">
        <f>SUMIF(SALE!$J$6:$J$493,$A$8:$A$13,SALE!$M$6:$M$493)</f>
        <v>104261.03799999999</v>
      </c>
      <c r="E13" s="142">
        <f>SUMIF('SALES RETURN'!$K$9:$K$513,$A$8:$A$13,'SALES RETURN'!$O$9:$OM$513)</f>
        <v>0</v>
      </c>
      <c r="F13" s="142">
        <f>SUMIF(SALE!$J$6:$J$493,$A$8:$A$13,SALE!$N$6:$N$493)</f>
        <v>844360.72979999997</v>
      </c>
      <c r="G13" s="142">
        <f>SUMIF('SALES RETURN'!$K$9:$K$513,$A$8:$A$13,'SALES RETURN'!$P$9:$PM$513)</f>
        <v>0</v>
      </c>
      <c r="H13" s="142">
        <f>SUMIF(SALE!$J$6:$J$493,$A$8:$A$13,SALE!$O$6:$O$493)</f>
        <v>844360.72979999997</v>
      </c>
      <c r="I13" s="142">
        <f>SUMIF('SALES RETURN'!$K$9:$K$513,$A$8:$A$13,'SALES RETURN'!$Q$9:$QM$513)</f>
        <v>0</v>
      </c>
      <c r="J13" s="142">
        <f>SUMIF(SALE!$J$6:$J$493,$A$8:$A$13,SALE!$L$6:$L$493)</f>
        <v>0</v>
      </c>
      <c r="K13" s="227">
        <f>SUMIF('SALES RETURN'!$K$9:$K$513,$A$8:$A$13,'SALES RETURN'!$M$9:$MM$513)</f>
        <v>0</v>
      </c>
      <c r="L13" s="143">
        <f t="shared" si="0"/>
        <v>1792982.4975999999</v>
      </c>
      <c r="M13" s="149">
        <f t="shared" si="1"/>
        <v>8196491.4176000003</v>
      </c>
    </row>
    <row r="14" spans="1:13" ht="13.8" thickBot="1" x14ac:dyDescent="0.3">
      <c r="A14" s="151" t="s">
        <v>653</v>
      </c>
      <c r="B14" s="133">
        <f t="shared" ref="B14:M14" si="2">SUM(B8:B13)</f>
        <v>8472772.1300000008</v>
      </c>
      <c r="C14" s="133">
        <f t="shared" ref="C14" si="3">SUM(C8:C13)</f>
        <v>0</v>
      </c>
      <c r="D14" s="133">
        <f t="shared" si="2"/>
        <v>108816.35559999998</v>
      </c>
      <c r="E14" s="133">
        <f t="shared" ref="E14" si="4">SUM(E8:E13)</f>
        <v>0</v>
      </c>
      <c r="F14" s="133">
        <f t="shared" si="2"/>
        <v>1028316.7598999999</v>
      </c>
      <c r="G14" s="133">
        <f t="shared" ref="G14" si="5">SUM(G8:G13)</f>
        <v>0</v>
      </c>
      <c r="H14" s="133">
        <f t="shared" si="2"/>
        <v>1028316.7598999999</v>
      </c>
      <c r="I14" s="133">
        <f t="shared" ref="I14" si="6">SUM(I8:I13)</f>
        <v>0</v>
      </c>
      <c r="J14" s="133">
        <f t="shared" si="2"/>
        <v>0</v>
      </c>
      <c r="K14" s="133">
        <f t="shared" ref="K14" si="7">SUM(K8:K13)</f>
        <v>0</v>
      </c>
      <c r="L14" s="230">
        <f t="shared" si="2"/>
        <v>2165449.8753999998</v>
      </c>
      <c r="M14" s="155">
        <f t="shared" si="2"/>
        <v>10638222.005399998</v>
      </c>
    </row>
    <row r="15" spans="1:13" ht="13.8" thickBot="1" x14ac:dyDescent="0.3">
      <c r="A15" s="537" t="s">
        <v>1479</v>
      </c>
      <c r="B15" s="535"/>
      <c r="C15" s="535"/>
      <c r="D15" s="535"/>
      <c r="E15" s="535"/>
      <c r="F15" s="535"/>
      <c r="G15" s="535"/>
      <c r="H15" s="535"/>
      <c r="I15" s="535"/>
      <c r="J15" s="535"/>
      <c r="K15" s="535"/>
      <c r="L15" s="535"/>
      <c r="M15" s="526"/>
    </row>
    <row r="16" spans="1:13" ht="15" customHeight="1" thickBot="1" x14ac:dyDescent="0.3">
      <c r="A16" s="243" t="s">
        <v>652</v>
      </c>
      <c r="B16" s="580" t="s">
        <v>1</v>
      </c>
      <c r="C16" s="580"/>
      <c r="D16" s="580" t="s">
        <v>837</v>
      </c>
      <c r="E16" s="580"/>
      <c r="F16" s="580" t="s">
        <v>838</v>
      </c>
      <c r="G16" s="580"/>
      <c r="H16" s="580" t="s">
        <v>839</v>
      </c>
      <c r="I16" s="580"/>
      <c r="J16" s="580" t="s">
        <v>840</v>
      </c>
      <c r="K16" s="580"/>
      <c r="L16" s="515" t="s">
        <v>93</v>
      </c>
      <c r="M16" s="242" t="s">
        <v>93</v>
      </c>
    </row>
    <row r="17" spans="1:13" ht="13.8" thickBot="1" x14ac:dyDescent="0.3">
      <c r="A17" s="152" t="s">
        <v>646</v>
      </c>
      <c r="B17" s="137" t="s">
        <v>72</v>
      </c>
      <c r="C17" s="137" t="s">
        <v>841</v>
      </c>
      <c r="D17" s="137" t="s">
        <v>72</v>
      </c>
      <c r="E17" s="137" t="s">
        <v>841</v>
      </c>
      <c r="F17" s="137" t="s">
        <v>72</v>
      </c>
      <c r="G17" s="137" t="s">
        <v>841</v>
      </c>
      <c r="H17" s="137" t="s">
        <v>72</v>
      </c>
      <c r="I17" s="137" t="s">
        <v>841</v>
      </c>
      <c r="J17" s="137" t="s">
        <v>72</v>
      </c>
      <c r="K17" s="137" t="s">
        <v>841</v>
      </c>
      <c r="L17" s="137" t="s">
        <v>836</v>
      </c>
      <c r="M17" s="153" t="s">
        <v>842</v>
      </c>
    </row>
    <row r="18" spans="1:13" x14ac:dyDescent="0.25">
      <c r="A18" s="146">
        <v>0</v>
      </c>
      <c r="B18" s="138">
        <f>SUMIF(SALE!$J$6:$J$493,$A$8:$A$13,SALE!$K$6:$K$493)</f>
        <v>0</v>
      </c>
      <c r="C18" s="138">
        <f>SUMIF('SALES RETURN'!$K$9:$K$513,$A$8:$A$13,'SALES RETURN'!$L$9:$L$513)</f>
        <v>0</v>
      </c>
      <c r="D18" s="138">
        <f>SUMIF(SALE!$J$6:$J$493,$A$8:$A$13,SALE!$M$6:$M$493)</f>
        <v>0</v>
      </c>
      <c r="E18" s="138">
        <f>SUMIF('SALES RETURN'!$K$9:$K$513,$A$8:$A$13,'SALES RETURN'!$O$9:$OM$513)</f>
        <v>0</v>
      </c>
      <c r="F18" s="138">
        <f>SUMIF(SALE!$J$6:$J$493,$A$8:$A$13,SALE!$N$6:$N$493)</f>
        <v>0</v>
      </c>
      <c r="G18" s="138">
        <f>SUMIF('SALES RETURN'!$K$9:$K$513,$A$8:$A$13,'SALES RETURN'!$P$9:$PM$513)</f>
        <v>0</v>
      </c>
      <c r="H18" s="138">
        <f>SUMIF(SALE!$J$6:$J$493,$A$8:$A$13,SALE!$O$6:$O$493)</f>
        <v>0</v>
      </c>
      <c r="I18" s="138">
        <f>SUMIF('SALES RETURN'!$K$9:$K$513,$A$8:$A$13,'SALES RETURN'!$Q$9:$QM$513)</f>
        <v>0</v>
      </c>
      <c r="J18" s="138">
        <f>SUMIF(SALE!$J$6:$J$493,$A$8:$A$13,SALE!$L$6:$L$493)</f>
        <v>0</v>
      </c>
      <c r="K18" s="229">
        <f>SUMIF('SALES RETURN'!$K$9:$K$513,$A$8:$A$13,'SALES RETURN'!$M$9:$MM$513)</f>
        <v>0</v>
      </c>
      <c r="L18" s="139">
        <f>+D18+F18+H18+J18-E18-G18-I18-K18</f>
        <v>0</v>
      </c>
      <c r="M18" s="147">
        <f>+B18-C18+L18</f>
        <v>0</v>
      </c>
    </row>
    <row r="19" spans="1:13" x14ac:dyDescent="0.25">
      <c r="A19" s="148">
        <v>3</v>
      </c>
      <c r="B19" s="140">
        <f>SUMIF(SALE!$J$6:$J$493,$A$8:$A$13,SALE!$K$6:$K$493)</f>
        <v>0</v>
      </c>
      <c r="C19" s="140">
        <f>SUMIF('SALES RETURN'!$K$9:$K$513,$A$8:$A$13,'SALES RETURN'!$L$9:$L$513)</f>
        <v>0</v>
      </c>
      <c r="D19" s="140">
        <f>SUMIF(SALE!$J$6:$J$493,$A$8:$A$13,SALE!$M$6:$M$493)</f>
        <v>0</v>
      </c>
      <c r="E19" s="140">
        <f>SUMIF('SALES RETURN'!$K$9:$K$513,$A$8:$A$13,'SALES RETURN'!$O$9:$OM$513)</f>
        <v>0</v>
      </c>
      <c r="F19" s="140">
        <f>SUMIF(SALE!$J$6:$J$493,$A$8:$A$13,SALE!$N$6:$N$493)</f>
        <v>0</v>
      </c>
      <c r="G19" s="140">
        <f>SUMIF('SALES RETURN'!$K$9:$K$513,$A$8:$A$13,'SALES RETURN'!$P$9:$PM$513)</f>
        <v>0</v>
      </c>
      <c r="H19" s="140">
        <f>SUMIF(SALE!$J$6:$J$493,$A$8:$A$13,SALE!$O$6:$O$493)</f>
        <v>0</v>
      </c>
      <c r="I19" s="140">
        <f>SUMIF('SALES RETURN'!$K$9:$K$513,$A$8:$A$13,'SALES RETURN'!$Q$9:$QM$513)</f>
        <v>0</v>
      </c>
      <c r="J19" s="140">
        <f>SUMIF(SALE!$J$6:$J$493,$A$8:$A$13,SALE!$L$6:$L$493)</f>
        <v>0</v>
      </c>
      <c r="K19" s="226">
        <f>SUMIF('SALES RETURN'!$K$9:$K$513,$A$8:$A$13,'SALES RETURN'!$M$9:$MM$513)</f>
        <v>0</v>
      </c>
      <c r="L19" s="141">
        <f t="shared" ref="L19:L23" si="8">+D19+F19+H19+J19-E19-G19-I19-K19</f>
        <v>0</v>
      </c>
      <c r="M19" s="149">
        <f>+B19-C19+L19</f>
        <v>0</v>
      </c>
    </row>
    <row r="20" spans="1:13" x14ac:dyDescent="0.25">
      <c r="A20" s="148">
        <v>5</v>
      </c>
      <c r="B20" s="140">
        <f>SUMIF(SALE!$J$6:$J$493,$A$8:$A$13,SALE!$K$6:$K$493)</f>
        <v>0</v>
      </c>
      <c r="C20" s="140">
        <f>SUMIF('SALES RETURN'!$K$9:$K$513,$A$8:$A$13,'SALES RETURN'!$L$9:$L$513)</f>
        <v>0</v>
      </c>
      <c r="D20" s="140">
        <f>SUMIF(SALE!$J$6:$J$493,$A$8:$A$13,SALE!$M$6:$M$493)</f>
        <v>0</v>
      </c>
      <c r="E20" s="140">
        <f>SUMIF('SALES RETURN'!$K$9:$K$513,$A$8:$A$13,'SALES RETURN'!$O$9:$OM$513)</f>
        <v>0</v>
      </c>
      <c r="F20" s="140">
        <f>SUMIF(SALE!$J$6:$J$493,$A$8:$A$13,SALE!$N$6:$N$493)</f>
        <v>0</v>
      </c>
      <c r="G20" s="140">
        <f>SUMIF('SALES RETURN'!$K$9:$K$513,$A$8:$A$13,'SALES RETURN'!$P$9:$PM$513)</f>
        <v>0</v>
      </c>
      <c r="H20" s="140">
        <f>SUMIF(SALE!$J$6:$J$493,$A$8:$A$13,SALE!$O$6:$O$493)</f>
        <v>0</v>
      </c>
      <c r="I20" s="140">
        <f>SUMIF('SALES RETURN'!$K$9:$K$513,$A$8:$A$13,'SALES RETURN'!$Q$9:$QM$513)</f>
        <v>0</v>
      </c>
      <c r="J20" s="140">
        <f>SUMIF(SALE!$J$6:$J$493,$A$8:$A$13,SALE!$L$6:$L$493)</f>
        <v>0</v>
      </c>
      <c r="K20" s="226">
        <f>SUMIF('SALES RETURN'!$K$9:$K$513,$A$8:$A$13,'SALES RETURN'!$M$9:$MM$513)</f>
        <v>0</v>
      </c>
      <c r="L20" s="141">
        <f t="shared" si="8"/>
        <v>0</v>
      </c>
      <c r="M20" s="149">
        <f t="shared" ref="M20:M23" si="9">+B20-C20+L20</f>
        <v>0</v>
      </c>
    </row>
    <row r="21" spans="1:13" x14ac:dyDescent="0.25">
      <c r="A21" s="148">
        <v>12</v>
      </c>
      <c r="B21" s="140">
        <f>SUMIF(SALE!$J$6:$J$493,$A$8:$A$13,SALE!$K$6:$K$493)</f>
        <v>0</v>
      </c>
      <c r="C21" s="140">
        <f>SUMIF('SALES RETURN'!$K$9:$K$513,$A$8:$A$13,'SALES RETURN'!$L$9:$L$513)</f>
        <v>0</v>
      </c>
      <c r="D21" s="140">
        <f>SUMIF(SALE!$J$6:$J$493,$A$8:$A$13,SALE!$M$6:$M$493)</f>
        <v>0</v>
      </c>
      <c r="E21" s="140">
        <f>SUMIF('SALES RETURN'!$K$9:$K$513,$A$8:$A$13,'SALES RETURN'!$O$9:$OM$513)</f>
        <v>0</v>
      </c>
      <c r="F21" s="140">
        <f>SUMIF(SALE!$J$6:$J$493,$A$8:$A$13,SALE!$N$6:$N$493)</f>
        <v>0</v>
      </c>
      <c r="G21" s="140">
        <f>SUMIF('SALES RETURN'!$K$9:$K$513,$A$8:$A$13,'SALES RETURN'!$P$9:$PM$513)</f>
        <v>0</v>
      </c>
      <c r="H21" s="140">
        <f>SUMIF(SALE!$J$6:$J$493,$A$8:$A$13,SALE!$O$6:$O$493)</f>
        <v>0</v>
      </c>
      <c r="I21" s="140">
        <f>SUMIF('SALES RETURN'!$K$9:$K$513,$A$8:$A$13,'SALES RETURN'!$Q$9:$QM$513)</f>
        <v>0</v>
      </c>
      <c r="J21" s="140">
        <f>SUMIF(SALE!$J$6:$J$493,$A$8:$A$13,SALE!$L$6:$L$493)</f>
        <v>0</v>
      </c>
      <c r="K21" s="226">
        <f>SUMIF('SALES RETURN'!$K$9:$K$513,$A$8:$A$13,'SALES RETURN'!$M$9:$MM$513)</f>
        <v>0</v>
      </c>
      <c r="L21" s="141">
        <f t="shared" si="8"/>
        <v>0</v>
      </c>
      <c r="M21" s="149">
        <f t="shared" si="9"/>
        <v>0</v>
      </c>
    </row>
    <row r="22" spans="1:13" x14ac:dyDescent="0.25">
      <c r="A22" s="148">
        <v>18</v>
      </c>
      <c r="B22" s="140">
        <f>SUMIF(SALE!$J$6:$J$493,$A$8:$A$13,SALE!$K$6:$K$493)</f>
        <v>0</v>
      </c>
      <c r="C22" s="140">
        <f>SUMIF('SALES RETURN'!$K$9:$K$513,$A$8:$A$13,'SALES RETURN'!$L$9:$L$513)</f>
        <v>0</v>
      </c>
      <c r="D22" s="140">
        <f>SUMIF(SALE!$J$6:$J$493,$A$8:$A$13,SALE!$M$6:$M$493)</f>
        <v>0</v>
      </c>
      <c r="E22" s="140">
        <f>SUMIF('SALES RETURN'!$K$9:$K$513,$A$8:$A$13,'SALES RETURN'!$O$9:$OM$513)</f>
        <v>0</v>
      </c>
      <c r="F22" s="140">
        <f>SUMIF(SALE!$J$6:$J$493,$A$8:$A$13,SALE!$N$6:$N$493)</f>
        <v>0</v>
      </c>
      <c r="G22" s="140">
        <f>SUMIF('SALES RETURN'!$K$9:$K$513,$A$8:$A$13,'SALES RETURN'!$P$9:$PM$513)</f>
        <v>0</v>
      </c>
      <c r="H22" s="140">
        <f>SUMIF(SALE!$J$6:$J$493,$A$8:$A$13,SALE!$O$6:$O$493)</f>
        <v>0</v>
      </c>
      <c r="I22" s="140">
        <f>SUMIF('SALES RETURN'!$K$9:$K$513,$A$8:$A$13,'SALES RETURN'!$Q$9:$QM$513)</f>
        <v>0</v>
      </c>
      <c r="J22" s="140">
        <f>SUMIF(SALE!$J$6:$J$493,$A$8:$A$13,SALE!$L$6:$L$493)</f>
        <v>0</v>
      </c>
      <c r="K22" s="226">
        <f>SUMIF('SALES RETURN'!$K$9:$K$513,$A$8:$A$13,'SALES RETURN'!$M$9:$MM$513)</f>
        <v>0</v>
      </c>
      <c r="L22" s="141">
        <f t="shared" si="8"/>
        <v>0</v>
      </c>
      <c r="M22" s="149">
        <f t="shared" si="9"/>
        <v>0</v>
      </c>
    </row>
    <row r="23" spans="1:13" ht="13.8" thickBot="1" x14ac:dyDescent="0.3">
      <c r="A23" s="150">
        <v>28</v>
      </c>
      <c r="B23" s="142">
        <f>SUMIF(SALE!$J$6:$J$493,$A$8:$A$13,SALE!$K$6:$K$493)</f>
        <v>0</v>
      </c>
      <c r="C23" s="142">
        <f>SUMIF('SALES RETURN'!$K$9:$K$513,$A$8:$A$13,'SALES RETURN'!$L$9:$L$513)</f>
        <v>0</v>
      </c>
      <c r="D23" s="142">
        <f>SUMIF(SALE!$J$6:$J$493,$A$8:$A$13,SALE!$M$6:$M$493)</f>
        <v>0</v>
      </c>
      <c r="E23" s="142">
        <f>SUMIF('SALES RETURN'!$K$9:$K$513,$A$8:$A$13,'SALES RETURN'!$O$9:$OM$513)</f>
        <v>0</v>
      </c>
      <c r="F23" s="142">
        <f>SUMIF(SALE!$J$6:$J$493,$A$8:$A$13,SALE!$N$6:$N$493)</f>
        <v>0</v>
      </c>
      <c r="G23" s="142">
        <f>SUMIF('SALES RETURN'!$K$9:$K$513,$A$8:$A$13,'SALES RETURN'!$P$9:$PM$513)</f>
        <v>0</v>
      </c>
      <c r="H23" s="142">
        <f>SUMIF(SALE!$J$6:$J$493,$A$8:$A$13,SALE!$O$6:$O$493)</f>
        <v>0</v>
      </c>
      <c r="I23" s="142">
        <f>SUMIF('SALES RETURN'!$K$9:$K$513,$A$8:$A$13,'SALES RETURN'!$Q$9:$QM$513)</f>
        <v>0</v>
      </c>
      <c r="J23" s="142">
        <f>SUMIF(SALE!$J$6:$J$493,$A$8:$A$13,SALE!$L$6:$L$493)</f>
        <v>0</v>
      </c>
      <c r="K23" s="227">
        <f>SUMIF('SALES RETURN'!$K$9:$K$513,$A$8:$A$13,'SALES RETURN'!$M$9:$MM$513)</f>
        <v>0</v>
      </c>
      <c r="L23" s="143">
        <f t="shared" si="8"/>
        <v>0</v>
      </c>
      <c r="M23" s="149">
        <f t="shared" si="9"/>
        <v>0</v>
      </c>
    </row>
    <row r="24" spans="1:13" ht="13.8" thickBot="1" x14ac:dyDescent="0.3">
      <c r="A24" s="151" t="s">
        <v>653</v>
      </c>
      <c r="B24" s="133">
        <f t="shared" ref="B24" si="10">SUM(B18:B23)</f>
        <v>0</v>
      </c>
      <c r="C24" s="133">
        <f t="shared" ref="C24" si="11">SUM(C18:C23)</f>
        <v>0</v>
      </c>
      <c r="D24" s="133">
        <f t="shared" ref="D24" si="12">SUM(D18:D23)</f>
        <v>0</v>
      </c>
      <c r="E24" s="133">
        <f t="shared" ref="E24" si="13">SUM(E18:E23)</f>
        <v>0</v>
      </c>
      <c r="F24" s="133">
        <f t="shared" ref="F24" si="14">SUM(F18:F23)</f>
        <v>0</v>
      </c>
      <c r="G24" s="133">
        <f t="shared" ref="G24" si="15">SUM(G18:G23)</f>
        <v>0</v>
      </c>
      <c r="H24" s="133">
        <f t="shared" ref="H24" si="16">SUM(H18:H23)</f>
        <v>0</v>
      </c>
      <c r="I24" s="133">
        <f t="shared" ref="I24" si="17">SUM(I18:I23)</f>
        <v>0</v>
      </c>
      <c r="J24" s="133">
        <f t="shared" ref="J24" si="18">SUM(J18:J23)</f>
        <v>0</v>
      </c>
      <c r="K24" s="133">
        <f t="shared" ref="K24" si="19">SUM(K18:K23)</f>
        <v>0</v>
      </c>
      <c r="L24" s="230">
        <f t="shared" ref="L24:M24" si="20">SUM(L18:L23)</f>
        <v>0</v>
      </c>
      <c r="M24" s="155">
        <f t="shared" si="20"/>
        <v>0</v>
      </c>
    </row>
    <row r="25" spans="1:13" x14ac:dyDescent="0.25">
      <c r="A25" s="614" t="s">
        <v>642</v>
      </c>
      <c r="B25" s="615"/>
      <c r="C25" s="615"/>
      <c r="D25" s="615"/>
      <c r="E25" s="615"/>
      <c r="F25" s="615"/>
      <c r="G25" s="615"/>
      <c r="H25" s="615"/>
      <c r="I25" s="453" t="s">
        <v>97</v>
      </c>
      <c r="J25" s="454" t="s">
        <v>88</v>
      </c>
      <c r="K25" s="455" t="s">
        <v>89</v>
      </c>
      <c r="L25" s="455" t="s">
        <v>90</v>
      </c>
      <c r="M25" s="456" t="s">
        <v>98</v>
      </c>
    </row>
    <row r="26" spans="1:13" x14ac:dyDescent="0.25">
      <c r="A26" s="583" t="s">
        <v>681</v>
      </c>
      <c r="B26" s="584"/>
      <c r="C26" s="584"/>
      <c r="D26" s="584"/>
      <c r="E26" s="584"/>
      <c r="F26" s="584"/>
      <c r="G26" s="584"/>
      <c r="H26" s="584"/>
      <c r="I26" s="159">
        <f>+B14-C14</f>
        <v>8472772.1300000008</v>
      </c>
      <c r="J26" s="159">
        <f>+D14-E14</f>
        <v>108816.35559999998</v>
      </c>
      <c r="K26" s="159">
        <f>+F14-G14</f>
        <v>1028316.7598999999</v>
      </c>
      <c r="L26" s="160">
        <f>K26</f>
        <v>1028316.7598999999</v>
      </c>
      <c r="M26" s="161">
        <f>+J14-K14</f>
        <v>0</v>
      </c>
    </row>
    <row r="27" spans="1:13" x14ac:dyDescent="0.25">
      <c r="A27" s="583" t="s">
        <v>682</v>
      </c>
      <c r="B27" s="584"/>
      <c r="C27" s="584"/>
      <c r="D27" s="584"/>
      <c r="E27" s="584"/>
      <c r="F27" s="584"/>
      <c r="G27" s="584"/>
      <c r="H27" s="584"/>
      <c r="I27" s="159">
        <f>+'SALE NIL EXP ZERO '!B6+'SALE NIL EXP ZERO '!B7+'SALE NIL EXP ZERO '!B8+'SALE NIL EXP ZERO '!B9</f>
        <v>0</v>
      </c>
      <c r="J27" s="159">
        <v>0</v>
      </c>
      <c r="K27" s="606"/>
      <c r="L27" s="606"/>
      <c r="M27" s="161">
        <v>0</v>
      </c>
    </row>
    <row r="28" spans="1:13" ht="13.8" thickBot="1" x14ac:dyDescent="0.3">
      <c r="A28" s="583" t="s">
        <v>683</v>
      </c>
      <c r="B28" s="584"/>
      <c r="C28" s="584"/>
      <c r="D28" s="584"/>
      <c r="E28" s="584"/>
      <c r="F28" s="584"/>
      <c r="G28" s="584"/>
      <c r="H28" s="584"/>
      <c r="I28" s="159">
        <f>+'SALE NIL EXP ZERO '!C6+'SALE NIL EXP ZERO '!C7+'SALE NIL EXP ZERO '!C8+'SALE NIL EXP ZERO '!C9</f>
        <v>0</v>
      </c>
      <c r="J28" s="607"/>
      <c r="K28" s="608"/>
      <c r="L28" s="608"/>
      <c r="M28" s="609"/>
    </row>
    <row r="29" spans="1:13" ht="13.8" thickBot="1" x14ac:dyDescent="0.3">
      <c r="A29" s="537" t="s">
        <v>859</v>
      </c>
      <c r="B29" s="535"/>
      <c r="C29" s="535"/>
      <c r="D29" s="535"/>
      <c r="E29" s="535"/>
      <c r="F29" s="535"/>
      <c r="G29" s="535"/>
      <c r="H29" s="535"/>
      <c r="I29" s="535"/>
      <c r="J29" s="535"/>
      <c r="K29" s="535"/>
      <c r="L29" s="535"/>
      <c r="M29" s="526"/>
    </row>
    <row r="30" spans="1:13" ht="15" customHeight="1" thickBot="1" x14ac:dyDescent="0.3">
      <c r="A30" s="243" t="s">
        <v>652</v>
      </c>
      <c r="B30" s="580" t="s">
        <v>1</v>
      </c>
      <c r="C30" s="580"/>
      <c r="D30" s="580" t="s">
        <v>837</v>
      </c>
      <c r="E30" s="580"/>
      <c r="F30" s="580" t="s">
        <v>838</v>
      </c>
      <c r="G30" s="580"/>
      <c r="H30" s="580" t="s">
        <v>839</v>
      </c>
      <c r="I30" s="580"/>
      <c r="J30" s="580" t="s">
        <v>840</v>
      </c>
      <c r="K30" s="580"/>
      <c r="L30" s="245" t="s">
        <v>93</v>
      </c>
      <c r="M30" s="242" t="s">
        <v>93</v>
      </c>
    </row>
    <row r="31" spans="1:13" ht="13.8" thickBot="1" x14ac:dyDescent="0.3">
      <c r="A31" s="152" t="s">
        <v>646</v>
      </c>
      <c r="B31" s="137" t="s">
        <v>72</v>
      </c>
      <c r="C31" s="137" t="s">
        <v>841</v>
      </c>
      <c r="D31" s="137" t="s">
        <v>72</v>
      </c>
      <c r="E31" s="137" t="s">
        <v>841</v>
      </c>
      <c r="F31" s="137" t="s">
        <v>72</v>
      </c>
      <c r="G31" s="137" t="s">
        <v>841</v>
      </c>
      <c r="H31" s="137" t="s">
        <v>72</v>
      </c>
      <c r="I31" s="137" t="s">
        <v>841</v>
      </c>
      <c r="J31" s="137" t="s">
        <v>72</v>
      </c>
      <c r="K31" s="137" t="s">
        <v>841</v>
      </c>
      <c r="L31" s="137" t="s">
        <v>836</v>
      </c>
      <c r="M31" s="153" t="s">
        <v>842</v>
      </c>
    </row>
    <row r="32" spans="1:13" x14ac:dyDescent="0.25">
      <c r="A32" s="146">
        <v>0</v>
      </c>
      <c r="B32" s="138">
        <f>SUMIF(SALE!$J$6:$J$493,$A$8:$A$13,SALE!$K$6:$K$493)</f>
        <v>0</v>
      </c>
      <c r="C32" s="138">
        <f>SUMIF('SALES RETURN'!$K$9:$K$513,$A$8:$A$13,'SALES RETURN'!$L$9:$L$513)</f>
        <v>0</v>
      </c>
      <c r="D32" s="138">
        <f>SUMIF(SALE!$J$6:$J$493,$A$8:$A$13,SALE!$M$6:$M$493)</f>
        <v>0</v>
      </c>
      <c r="E32" s="138">
        <f>SUMIF('SALES RETURN'!$K$9:$K$513,$A$8:$A$13,'SALES RETURN'!$O$9:$OM$513)</f>
        <v>0</v>
      </c>
      <c r="F32" s="138">
        <f>SUMIF(SALE!$J$6:$J$493,$A$8:$A$13,SALE!$N$6:$N$493)</f>
        <v>0</v>
      </c>
      <c r="G32" s="138">
        <f>SUMIF('SALES RETURN'!$K$9:$K$513,$A$8:$A$13,'SALES RETURN'!$P$9:$PM$513)</f>
        <v>0</v>
      </c>
      <c r="H32" s="138">
        <f>SUMIF(SALE!$J$6:$J$493,$A$8:$A$13,SALE!$O$6:$O$493)</f>
        <v>0</v>
      </c>
      <c r="I32" s="138">
        <f>SUMIF('SALES RETURN'!$K$9:$K$513,$A$8:$A$13,'SALES RETURN'!$Q$9:$QM$513)</f>
        <v>0</v>
      </c>
      <c r="J32" s="138">
        <f>SUMIF(SALE!$J$6:$J$493,$A$8:$A$13,SALE!$L$6:$L$493)</f>
        <v>0</v>
      </c>
      <c r="K32" s="229">
        <f>SUMIF('SALES RETURN'!$K$9:$K$513,$A$8:$A$13,'SALES RETURN'!$M$9:$MM$513)</f>
        <v>0</v>
      </c>
      <c r="L32" s="139">
        <f>+D32+F32+H32+J32-E32-G32-I32-K32</f>
        <v>0</v>
      </c>
      <c r="M32" s="147">
        <f>+B32-C32+L32</f>
        <v>0</v>
      </c>
    </row>
    <row r="33" spans="1:13" x14ac:dyDescent="0.25">
      <c r="A33" s="148">
        <v>3</v>
      </c>
      <c r="B33" s="140">
        <f>SUMIF(SALE!$J$6:$J$493,$A$8:$A$13,SALE!$K$6:$K$493)</f>
        <v>0</v>
      </c>
      <c r="C33" s="140">
        <f>SUMIF('SALES RETURN'!$K$9:$K$513,$A$8:$A$13,'SALES RETURN'!$L$9:$L$513)</f>
        <v>0</v>
      </c>
      <c r="D33" s="140">
        <f>SUMIF(SALE!$J$6:$J$493,$A$8:$A$13,SALE!$M$6:$M$493)</f>
        <v>0</v>
      </c>
      <c r="E33" s="140">
        <f>SUMIF('SALES RETURN'!$K$9:$K$513,$A$8:$A$13,'SALES RETURN'!$O$9:$OM$513)</f>
        <v>0</v>
      </c>
      <c r="F33" s="140">
        <f>SUMIF(SALE!$J$6:$J$493,$A$8:$A$13,SALE!$N$6:$N$493)</f>
        <v>0</v>
      </c>
      <c r="G33" s="140">
        <f>SUMIF('SALES RETURN'!$K$9:$K$513,$A$8:$A$13,'SALES RETURN'!$P$9:$PM$513)</f>
        <v>0</v>
      </c>
      <c r="H33" s="140">
        <f>SUMIF(SALE!$J$6:$J$493,$A$8:$A$13,SALE!$O$6:$O$493)</f>
        <v>0</v>
      </c>
      <c r="I33" s="140">
        <f>SUMIF('SALES RETURN'!$K$9:$K$513,$A$8:$A$13,'SALES RETURN'!$Q$9:$QM$513)</f>
        <v>0</v>
      </c>
      <c r="J33" s="140">
        <f>SUMIF(SALE!$J$6:$J$493,$A$8:$A$13,SALE!$L$6:$L$493)</f>
        <v>0</v>
      </c>
      <c r="K33" s="226">
        <f>SUMIF('SALES RETURN'!$K$9:$K$513,$A$8:$A$13,'SALES RETURN'!$M$9:$MM$513)</f>
        <v>0</v>
      </c>
      <c r="L33" s="141">
        <f t="shared" ref="L33:L37" si="21">+D33+F33+H33+J33-E33-G33-I33-K33</f>
        <v>0</v>
      </c>
      <c r="M33" s="149">
        <f>+B33-C33+L33</f>
        <v>0</v>
      </c>
    </row>
    <row r="34" spans="1:13" x14ac:dyDescent="0.25">
      <c r="A34" s="148">
        <v>5</v>
      </c>
      <c r="B34" s="140">
        <f>SUMIF(SALE!$J$6:$J$493,$A$8:$A$13,SALE!$K$6:$K$493)</f>
        <v>0</v>
      </c>
      <c r="C34" s="140">
        <f>SUMIF('SALES RETURN'!$K$9:$K$513,$A$8:$A$13,'SALES RETURN'!$L$9:$L$513)</f>
        <v>0</v>
      </c>
      <c r="D34" s="140">
        <f>SUMIF(SALE!$J$6:$J$493,$A$8:$A$13,SALE!$M$6:$M$493)</f>
        <v>0</v>
      </c>
      <c r="E34" s="140">
        <f>SUMIF('SALES RETURN'!$K$9:$K$513,$A$8:$A$13,'SALES RETURN'!$O$9:$OM$513)</f>
        <v>0</v>
      </c>
      <c r="F34" s="140">
        <f>SUMIF(SALE!$J$6:$J$493,$A$8:$A$13,SALE!$N$6:$N$493)</f>
        <v>0</v>
      </c>
      <c r="G34" s="140">
        <f>SUMIF('SALES RETURN'!$K$9:$K$513,$A$8:$A$13,'SALES RETURN'!$P$9:$PM$513)</f>
        <v>0</v>
      </c>
      <c r="H34" s="140">
        <f>SUMIF(SALE!$J$6:$J$493,$A$8:$A$13,SALE!$O$6:$O$493)</f>
        <v>0</v>
      </c>
      <c r="I34" s="140">
        <f>SUMIF('SALES RETURN'!$K$9:$K$513,$A$8:$A$13,'SALES RETURN'!$Q$9:$QM$513)</f>
        <v>0</v>
      </c>
      <c r="J34" s="140">
        <f>SUMIF(SALE!$J$6:$J$493,$A$8:$A$13,SALE!$L$6:$L$493)</f>
        <v>0</v>
      </c>
      <c r="K34" s="226">
        <f>SUMIF('SALES RETURN'!$K$9:$K$513,$A$8:$A$13,'SALES RETURN'!$M$9:$MM$513)</f>
        <v>0</v>
      </c>
      <c r="L34" s="141">
        <f t="shared" si="21"/>
        <v>0</v>
      </c>
      <c r="M34" s="149">
        <f t="shared" ref="M34:M37" si="22">+B34-C34+L34</f>
        <v>0</v>
      </c>
    </row>
    <row r="35" spans="1:13" x14ac:dyDescent="0.25">
      <c r="A35" s="148">
        <v>12</v>
      </c>
      <c r="B35" s="140">
        <f>SUMIF(SALE!$J$6:$J$493,$A$8:$A$13,SALE!$K$6:$K$493)</f>
        <v>0</v>
      </c>
      <c r="C35" s="140">
        <f>SUMIF('SALES RETURN'!$K$9:$K$513,$A$8:$A$13,'SALES RETURN'!$L$9:$L$513)</f>
        <v>0</v>
      </c>
      <c r="D35" s="140">
        <f>SUMIF(SALE!$J$6:$J$493,$A$8:$A$13,SALE!$M$6:$M$493)</f>
        <v>0</v>
      </c>
      <c r="E35" s="140">
        <f>SUMIF('SALES RETURN'!$K$9:$K$513,$A$8:$A$13,'SALES RETURN'!$O$9:$OM$513)</f>
        <v>0</v>
      </c>
      <c r="F35" s="140">
        <f>SUMIF(SALE!$J$6:$J$493,$A$8:$A$13,SALE!$N$6:$N$493)</f>
        <v>0</v>
      </c>
      <c r="G35" s="140">
        <f>SUMIF('SALES RETURN'!$K$9:$K$513,$A$8:$A$13,'SALES RETURN'!$P$9:$PM$513)</f>
        <v>0</v>
      </c>
      <c r="H35" s="140">
        <f>SUMIF(SALE!$J$6:$J$493,$A$8:$A$13,SALE!$O$6:$O$493)</f>
        <v>0</v>
      </c>
      <c r="I35" s="140">
        <f>SUMIF('SALES RETURN'!$K$9:$K$513,$A$8:$A$13,'SALES RETURN'!$Q$9:$QM$513)</f>
        <v>0</v>
      </c>
      <c r="J35" s="140">
        <f>SUMIF(SALE!$J$6:$J$493,$A$8:$A$13,SALE!$L$6:$L$493)</f>
        <v>0</v>
      </c>
      <c r="K35" s="226">
        <f>SUMIF('SALES RETURN'!$K$9:$K$513,$A$8:$A$13,'SALES RETURN'!$M$9:$MM$513)</f>
        <v>0</v>
      </c>
      <c r="L35" s="141">
        <f t="shared" si="21"/>
        <v>0</v>
      </c>
      <c r="M35" s="149">
        <f t="shared" si="22"/>
        <v>0</v>
      </c>
    </row>
    <row r="36" spans="1:13" x14ac:dyDescent="0.25">
      <c r="A36" s="148">
        <v>18</v>
      </c>
      <c r="B36" s="140">
        <f>SUMIF(SALE!$J$6:$J$493,$A$8:$A$13,SALE!$K$6:$K$493)</f>
        <v>0</v>
      </c>
      <c r="C36" s="140">
        <f>SUMIF('SALES RETURN'!$K$9:$K$513,$A$8:$A$13,'SALES RETURN'!$L$9:$L$513)</f>
        <v>0</v>
      </c>
      <c r="D36" s="140">
        <f>SUMIF(SALE!$J$6:$J$493,$A$8:$A$13,SALE!$M$6:$M$493)</f>
        <v>0</v>
      </c>
      <c r="E36" s="140">
        <f>SUMIF('SALES RETURN'!$K$9:$K$513,$A$8:$A$13,'SALES RETURN'!$O$9:$OM$513)</f>
        <v>0</v>
      </c>
      <c r="F36" s="140">
        <f>SUMIF(SALE!$J$6:$J$493,$A$8:$A$13,SALE!$N$6:$N$493)</f>
        <v>0</v>
      </c>
      <c r="G36" s="140">
        <f>SUMIF('SALES RETURN'!$K$9:$K$513,$A$8:$A$13,'SALES RETURN'!$P$9:$PM$513)</f>
        <v>0</v>
      </c>
      <c r="H36" s="140">
        <f>SUMIF(SALE!$J$6:$J$493,$A$8:$A$13,SALE!$O$6:$O$493)</f>
        <v>0</v>
      </c>
      <c r="I36" s="140">
        <f>SUMIF('SALES RETURN'!$K$9:$K$513,$A$8:$A$13,'SALES RETURN'!$Q$9:$QM$513)</f>
        <v>0</v>
      </c>
      <c r="J36" s="140">
        <f>SUMIF(SALE!$J$6:$J$493,$A$8:$A$13,SALE!$L$6:$L$493)</f>
        <v>0</v>
      </c>
      <c r="K36" s="226">
        <f>SUMIF('SALES RETURN'!$K$9:$K$513,$A$8:$A$13,'SALES RETURN'!$M$9:$MM$513)</f>
        <v>0</v>
      </c>
      <c r="L36" s="141">
        <f t="shared" si="21"/>
        <v>0</v>
      </c>
      <c r="M36" s="149">
        <f t="shared" si="22"/>
        <v>0</v>
      </c>
    </row>
    <row r="37" spans="1:13" ht="13.8" thickBot="1" x14ac:dyDescent="0.3">
      <c r="A37" s="150">
        <v>28</v>
      </c>
      <c r="B37" s="142">
        <f>SUMIF(SALE!$J$6:$J$493,$A$8:$A$13,SALE!$K$6:$K$493)</f>
        <v>0</v>
      </c>
      <c r="C37" s="142">
        <f>SUMIF('SALES RETURN'!$K$9:$K$513,$A$8:$A$13,'SALES RETURN'!$L$9:$L$513)</f>
        <v>0</v>
      </c>
      <c r="D37" s="142">
        <f>SUMIF(SALE!$J$6:$J$493,$A$8:$A$13,SALE!$M$6:$M$493)</f>
        <v>0</v>
      </c>
      <c r="E37" s="142">
        <f>SUMIF('SALES RETURN'!$K$9:$K$513,$A$8:$A$13,'SALES RETURN'!$O$9:$OM$513)</f>
        <v>0</v>
      </c>
      <c r="F37" s="142">
        <f>SUMIF(SALE!$J$6:$J$493,$A$8:$A$13,SALE!$N$6:$N$493)</f>
        <v>0</v>
      </c>
      <c r="G37" s="142">
        <f>SUMIF('SALES RETURN'!$K$9:$K$513,$A$8:$A$13,'SALES RETURN'!$P$9:$PM$513)</f>
        <v>0</v>
      </c>
      <c r="H37" s="142">
        <f>SUMIF(SALE!$J$6:$J$493,$A$8:$A$13,SALE!$O$6:$O$493)</f>
        <v>0</v>
      </c>
      <c r="I37" s="142">
        <f>SUMIF('SALES RETURN'!$K$9:$K$513,$A$8:$A$13,'SALES RETURN'!$Q$9:$QM$513)</f>
        <v>0</v>
      </c>
      <c r="J37" s="142">
        <f>SUMIF(SALE!$J$6:$J$493,$A$8:$A$13,SALE!$L$6:$L$493)</f>
        <v>0</v>
      </c>
      <c r="K37" s="227">
        <f>SUMIF('SALES RETURN'!$K$9:$K$513,$A$8:$A$13,'SALES RETURN'!$M$9:$MM$513)</f>
        <v>0</v>
      </c>
      <c r="L37" s="143">
        <f t="shared" si="21"/>
        <v>0</v>
      </c>
      <c r="M37" s="149">
        <f t="shared" si="22"/>
        <v>0</v>
      </c>
    </row>
    <row r="38" spans="1:13" ht="13.8" thickBot="1" x14ac:dyDescent="0.3">
      <c r="A38" s="151" t="s">
        <v>653</v>
      </c>
      <c r="B38" s="133">
        <f t="shared" ref="B38" si="23">SUM(B32:B37)</f>
        <v>0</v>
      </c>
      <c r="C38" s="133">
        <f t="shared" ref="C38" si="24">SUM(C32:C37)</f>
        <v>0</v>
      </c>
      <c r="D38" s="133">
        <f t="shared" ref="D38" si="25">SUM(D32:D37)</f>
        <v>0</v>
      </c>
      <c r="E38" s="133">
        <f t="shared" ref="E38" si="26">SUM(E32:E37)</f>
        <v>0</v>
      </c>
      <c r="F38" s="133">
        <f t="shared" ref="F38" si="27">SUM(F32:F37)</f>
        <v>0</v>
      </c>
      <c r="G38" s="133">
        <f t="shared" ref="G38" si="28">SUM(G32:G37)</f>
        <v>0</v>
      </c>
      <c r="H38" s="133">
        <f t="shared" ref="H38" si="29">SUM(H32:H37)</f>
        <v>0</v>
      </c>
      <c r="I38" s="133">
        <f t="shared" ref="I38" si="30">SUM(I32:I37)</f>
        <v>0</v>
      </c>
      <c r="J38" s="133">
        <f t="shared" ref="J38" si="31">SUM(J32:J37)</f>
        <v>0</v>
      </c>
      <c r="K38" s="133">
        <f t="shared" ref="K38" si="32">SUM(K32:K37)</f>
        <v>0</v>
      </c>
      <c r="L38" s="230">
        <f t="shared" ref="L38:M38" si="33">SUM(L32:L37)</f>
        <v>0</v>
      </c>
      <c r="M38" s="155">
        <f t="shared" si="33"/>
        <v>0</v>
      </c>
    </row>
    <row r="39" spans="1:13" x14ac:dyDescent="0.25">
      <c r="A39" s="583" t="s">
        <v>684</v>
      </c>
      <c r="B39" s="584"/>
      <c r="C39" s="584"/>
      <c r="D39" s="584"/>
      <c r="E39" s="584"/>
      <c r="F39" s="584"/>
      <c r="G39" s="584"/>
      <c r="H39" s="584"/>
      <c r="I39" s="159">
        <f>+I56</f>
        <v>0</v>
      </c>
      <c r="J39" s="159">
        <f>+J56</f>
        <v>0</v>
      </c>
      <c r="K39" s="159">
        <f>+K56</f>
        <v>0</v>
      </c>
      <c r="L39" s="162">
        <f>K39</f>
        <v>0</v>
      </c>
      <c r="M39" s="161">
        <f>+M56</f>
        <v>0</v>
      </c>
    </row>
    <row r="40" spans="1:13" ht="13.8" thickBot="1" x14ac:dyDescent="0.3">
      <c r="A40" s="583" t="s">
        <v>685</v>
      </c>
      <c r="B40" s="584"/>
      <c r="C40" s="584"/>
      <c r="D40" s="584"/>
      <c r="E40" s="584"/>
      <c r="F40" s="584"/>
      <c r="G40" s="584"/>
      <c r="H40" s="584"/>
      <c r="I40" s="159">
        <f>+'SALE NIL EXP ZERO '!D6+'SALE NIL EXP ZERO '!D7+'SALE NIL EXP ZERO '!D8+'SALE NIL EXP ZERO '!D9</f>
        <v>0</v>
      </c>
      <c r="J40" s="610"/>
      <c r="K40" s="610"/>
      <c r="L40" s="610"/>
      <c r="M40" s="611"/>
    </row>
    <row r="41" spans="1:13" ht="13.8" thickBot="1" x14ac:dyDescent="0.3">
      <c r="A41" s="612" t="s">
        <v>93</v>
      </c>
      <c r="B41" s="613"/>
      <c r="C41" s="613"/>
      <c r="D41" s="613"/>
      <c r="E41" s="613"/>
      <c r="F41" s="613"/>
      <c r="G41" s="613"/>
      <c r="H41" s="613"/>
      <c r="I41" s="163">
        <f>SUM(I26:I40)</f>
        <v>8472772.1300000008</v>
      </c>
      <c r="J41" s="163">
        <f>SUM(J26:J27) + J39</f>
        <v>108816.35559999998</v>
      </c>
      <c r="K41" s="163">
        <f>K26 + K39</f>
        <v>1028316.7598999999</v>
      </c>
      <c r="L41" s="163">
        <f>L26 + L39</f>
        <v>1028316.7598999999</v>
      </c>
      <c r="M41" s="164">
        <f>SUM(M26:M27) + M39</f>
        <v>0</v>
      </c>
    </row>
    <row r="42" spans="1:13" ht="10.199999999999999" customHeight="1" thickBot="1" x14ac:dyDescent="0.3">
      <c r="A42" s="616" t="s">
        <v>647</v>
      </c>
      <c r="B42" s="617"/>
      <c r="C42" s="617"/>
      <c r="D42" s="617"/>
      <c r="E42" s="617"/>
      <c r="F42" s="617"/>
      <c r="G42" s="617"/>
      <c r="H42" s="617"/>
      <c r="I42" s="449" t="s">
        <v>97</v>
      </c>
      <c r="J42" s="450" t="s">
        <v>88</v>
      </c>
      <c r="K42" s="451" t="s">
        <v>89</v>
      </c>
      <c r="L42" s="451" t="s">
        <v>90</v>
      </c>
      <c r="M42" s="452" t="s">
        <v>98</v>
      </c>
    </row>
    <row r="43" spans="1:13" ht="15" customHeight="1" x14ac:dyDescent="0.25">
      <c r="A43" s="618" t="s">
        <v>686</v>
      </c>
      <c r="B43" s="619"/>
      <c r="C43" s="619"/>
      <c r="D43" s="619"/>
      <c r="E43" s="619"/>
      <c r="F43" s="619"/>
      <c r="G43" s="619"/>
      <c r="H43" s="619"/>
      <c r="I43" s="165"/>
      <c r="J43" s="166"/>
      <c r="K43" s="166"/>
      <c r="L43" s="166"/>
      <c r="M43" s="167"/>
    </row>
    <row r="44" spans="1:13" ht="15" customHeight="1" x14ac:dyDescent="0.25">
      <c r="A44" s="583" t="s">
        <v>687</v>
      </c>
      <c r="B44" s="584"/>
      <c r="C44" s="584"/>
      <c r="D44" s="584"/>
      <c r="E44" s="584"/>
      <c r="F44" s="584"/>
      <c r="G44" s="584"/>
      <c r="H44" s="584"/>
      <c r="I44" s="168"/>
      <c r="J44" s="169">
        <f>+'PUR-IMPORT GOODS'!I20</f>
        <v>0</v>
      </c>
      <c r="K44" s="170"/>
      <c r="L44" s="170"/>
      <c r="M44" s="171">
        <f>+'PUR-IMPORT GOODS'!L20</f>
        <v>0</v>
      </c>
    </row>
    <row r="45" spans="1:13" ht="15" customHeight="1" thickBot="1" x14ac:dyDescent="0.3">
      <c r="A45" s="583" t="s">
        <v>688</v>
      </c>
      <c r="B45" s="584"/>
      <c r="C45" s="584"/>
      <c r="D45" s="584"/>
      <c r="E45" s="584"/>
      <c r="F45" s="584"/>
      <c r="G45" s="584"/>
      <c r="H45" s="584"/>
      <c r="I45" s="168"/>
      <c r="J45" s="169">
        <f>+'PUR-IMPORT SERVICE'!G19</f>
        <v>0</v>
      </c>
      <c r="K45" s="172"/>
      <c r="L45" s="172"/>
      <c r="M45" s="171">
        <f>+'PUR-IMPORT SERVICE'!J19</f>
        <v>0</v>
      </c>
    </row>
    <row r="46" spans="1:13" ht="13.8" thickBot="1" x14ac:dyDescent="0.3">
      <c r="A46" s="537" t="s">
        <v>858</v>
      </c>
      <c r="B46" s="535"/>
      <c r="C46" s="535"/>
      <c r="D46" s="535"/>
      <c r="E46" s="535"/>
      <c r="F46" s="535"/>
      <c r="G46" s="535"/>
      <c r="H46" s="535"/>
      <c r="I46" s="535"/>
      <c r="J46" s="535"/>
      <c r="K46" s="535"/>
      <c r="L46" s="535"/>
      <c r="M46" s="526"/>
    </row>
    <row r="47" spans="1:13" ht="15" customHeight="1" thickBot="1" x14ac:dyDescent="0.3">
      <c r="A47" s="243" t="s">
        <v>652</v>
      </c>
      <c r="B47" s="580" t="s">
        <v>1</v>
      </c>
      <c r="C47" s="580"/>
      <c r="D47" s="580" t="s">
        <v>837</v>
      </c>
      <c r="E47" s="580"/>
      <c r="F47" s="580" t="s">
        <v>838</v>
      </c>
      <c r="G47" s="580"/>
      <c r="H47" s="580" t="s">
        <v>839</v>
      </c>
      <c r="I47" s="580"/>
      <c r="J47" s="580" t="s">
        <v>840</v>
      </c>
      <c r="K47" s="580"/>
      <c r="L47" s="252" t="s">
        <v>93</v>
      </c>
      <c r="M47" s="242" t="s">
        <v>93</v>
      </c>
    </row>
    <row r="48" spans="1:13" ht="13.8" thickBot="1" x14ac:dyDescent="0.3">
      <c r="A48" s="152" t="s">
        <v>646</v>
      </c>
      <c r="B48" s="137" t="s">
        <v>72</v>
      </c>
      <c r="C48" s="137" t="s">
        <v>841</v>
      </c>
      <c r="D48" s="137" t="s">
        <v>72</v>
      </c>
      <c r="E48" s="137" t="s">
        <v>841</v>
      </c>
      <c r="F48" s="137" t="s">
        <v>72</v>
      </c>
      <c r="G48" s="137" t="s">
        <v>841</v>
      </c>
      <c r="H48" s="137" t="s">
        <v>72</v>
      </c>
      <c r="I48" s="137" t="s">
        <v>841</v>
      </c>
      <c r="J48" s="137" t="s">
        <v>72</v>
      </c>
      <c r="K48" s="137" t="s">
        <v>841</v>
      </c>
      <c r="L48" s="137" t="s">
        <v>836</v>
      </c>
      <c r="M48" s="153" t="s">
        <v>854</v>
      </c>
    </row>
    <row r="49" spans="1:13" x14ac:dyDescent="0.25">
      <c r="A49" s="146">
        <v>0</v>
      </c>
      <c r="B49" s="138">
        <f>SUMIF('PUR-RMC'!$K$7:$K$110,$A$49:$A$54,'PUR-RMC'!$M$7:$M$280)</f>
        <v>0</v>
      </c>
      <c r="C49" s="138"/>
      <c r="D49" s="138">
        <f>SUMIF('PUR-RMC'!$K$7:$K$110,$A$49:$A$54,'PUR-RMC'!$N$7:$N$280)</f>
        <v>0</v>
      </c>
      <c r="E49" s="138"/>
      <c r="F49" s="138">
        <f>SUMIF('PUR-RMC'!$K$7:$K$110,$A$49:$A$54,'PUR-RMC'!$O$7:$O$280)</f>
        <v>0</v>
      </c>
      <c r="G49" s="138"/>
      <c r="H49" s="138">
        <f>SUMIF('PUR-RMC'!$K$7:$K$110,$A$49:$A$54,'PUR-RMC'!$P$7:$P$280)</f>
        <v>0</v>
      </c>
      <c r="I49" s="138"/>
      <c r="J49" s="138">
        <f>SUMIF(SALE!$J$6:$J$493,$A$8:$A$13,SALE!$P$6:$P$493)</f>
        <v>0</v>
      </c>
      <c r="K49" s="229"/>
      <c r="L49" s="139">
        <f>+D49+F49+H49+J49-E49-G49-I49-K49</f>
        <v>0</v>
      </c>
      <c r="M49" s="147">
        <f>+B49-C49+L49</f>
        <v>0</v>
      </c>
    </row>
    <row r="50" spans="1:13" x14ac:dyDescent="0.25">
      <c r="A50" s="148">
        <v>3</v>
      </c>
      <c r="B50" s="140">
        <f>SUMIF('PUR-RMC'!$K$7:$K$110,$A$49:$A$54,'PUR-RMC'!$M$7:$M$280)</f>
        <v>0</v>
      </c>
      <c r="C50" s="140"/>
      <c r="D50" s="140">
        <f>SUMIF('PUR-RMC'!$K$7:$K$110,$A$49:$A$54,'PUR-RMC'!$N$7:$N$280)</f>
        <v>0</v>
      </c>
      <c r="E50" s="140"/>
      <c r="F50" s="140">
        <f>SUMIF('PUR-RMC'!$K$7:$K$110,$A$49:$A$54,'PUR-RMC'!$O$7:$O$280)</f>
        <v>0</v>
      </c>
      <c r="G50" s="140"/>
      <c r="H50" s="140">
        <f>SUMIF('PUR-RMC'!$K$7:$K$110,$A$49:$A$54,'PUR-RMC'!$P$7:$P$280)</f>
        <v>0</v>
      </c>
      <c r="I50" s="140"/>
      <c r="J50" s="140">
        <f>SUMIF(SALE!$J$6:$J$493,$A$8:$A$13,SALE!$P$6:$P$493)</f>
        <v>0</v>
      </c>
      <c r="K50" s="226"/>
      <c r="L50" s="141">
        <f t="shared" ref="L50:L54" si="34">+D50+F50+H50+J50-E50-G50-I50-K50</f>
        <v>0</v>
      </c>
      <c r="M50" s="149">
        <f>+B50-C50+L50</f>
        <v>0</v>
      </c>
    </row>
    <row r="51" spans="1:13" x14ac:dyDescent="0.25">
      <c r="A51" s="148">
        <v>5</v>
      </c>
      <c r="B51" s="140">
        <f>SUMIF('PUR-RMC'!$K$7:$K$110,$A$49:$A$54,'PUR-RMC'!$M$7:$M$280)</f>
        <v>0</v>
      </c>
      <c r="C51" s="140"/>
      <c r="D51" s="140">
        <f>SUMIF('PUR-RMC'!$K$7:$K$110,$A$49:$A$54,'PUR-RMC'!$N$7:$N$280)</f>
        <v>0</v>
      </c>
      <c r="E51" s="140"/>
      <c r="F51" s="140">
        <f>SUMIF('PUR-RMC'!$K$7:$K$110,$A$49:$A$54,'PUR-RMC'!$O$7:$O$280)</f>
        <v>0</v>
      </c>
      <c r="G51" s="140"/>
      <c r="H51" s="140">
        <f>SUMIF('PUR-RMC'!$K$7:$K$110,$A$49:$A$54,'PUR-RMC'!$P$7:$P$280)</f>
        <v>0</v>
      </c>
      <c r="I51" s="140"/>
      <c r="J51" s="140">
        <f>SUMIF(SALE!$J$6:$J$493,$A$8:$A$13,SALE!$P$6:$P$493)</f>
        <v>0</v>
      </c>
      <c r="K51" s="226"/>
      <c r="L51" s="141">
        <f t="shared" si="34"/>
        <v>0</v>
      </c>
      <c r="M51" s="149">
        <f t="shared" ref="M51:M54" si="35">+B51-C51+L51</f>
        <v>0</v>
      </c>
    </row>
    <row r="52" spans="1:13" x14ac:dyDescent="0.25">
      <c r="A52" s="148">
        <v>12</v>
      </c>
      <c r="B52" s="140">
        <f>SUMIF('PUR-RMC'!$K$7:$K$110,$A$49:$A$54,'PUR-RMC'!$M$7:$M$280)</f>
        <v>0</v>
      </c>
      <c r="C52" s="140"/>
      <c r="D52" s="140">
        <f>SUMIF('PUR-RMC'!$K$7:$K$110,$A$49:$A$54,'PUR-RMC'!$N$7:$N$280)</f>
        <v>0</v>
      </c>
      <c r="E52" s="140"/>
      <c r="F52" s="140">
        <f>SUMIF('PUR-RMC'!$K$7:$K$110,$A$49:$A$54,'PUR-RMC'!$O$7:$O$280)</f>
        <v>0</v>
      </c>
      <c r="G52" s="140"/>
      <c r="H52" s="140">
        <f>SUMIF('PUR-RMC'!$K$7:$K$110,$A$49:$A$54,'PUR-RMC'!$P$7:$P$280)</f>
        <v>0</v>
      </c>
      <c r="I52" s="140"/>
      <c r="J52" s="140">
        <f>SUMIF(SALE!$J$6:$J$493,$A$8:$A$13,SALE!$P$6:$P$493)</f>
        <v>0</v>
      </c>
      <c r="K52" s="226"/>
      <c r="L52" s="141">
        <f t="shared" si="34"/>
        <v>0</v>
      </c>
      <c r="M52" s="149">
        <f t="shared" si="35"/>
        <v>0</v>
      </c>
    </row>
    <row r="53" spans="1:13" x14ac:dyDescent="0.25">
      <c r="A53" s="148">
        <v>18</v>
      </c>
      <c r="B53" s="140">
        <f>SUMIF('PUR-RMC'!$K$7:$K$110,$A$49:$A$54,'PUR-RMC'!$M$7:$M$280)</f>
        <v>0</v>
      </c>
      <c r="C53" s="140"/>
      <c r="D53" s="140">
        <f>SUMIF('PUR-RMC'!$K$7:$K$110,$A$49:$A$54,'PUR-RMC'!$N$7:$N$280)</f>
        <v>0</v>
      </c>
      <c r="E53" s="140"/>
      <c r="F53" s="140">
        <f>SUMIF('PUR-RMC'!$K$7:$K$110,$A$49:$A$54,'PUR-RMC'!$O$7:$O$280)</f>
        <v>0</v>
      </c>
      <c r="G53" s="140"/>
      <c r="H53" s="140">
        <f>SUMIF('PUR-RMC'!$K$7:$K$110,$A$49:$A$54,'PUR-RMC'!$P$7:$P$280)</f>
        <v>0</v>
      </c>
      <c r="I53" s="140"/>
      <c r="J53" s="140">
        <f>SUMIF(SALE!$J$6:$J$493,$A$8:$A$13,SALE!$P$6:$P$493)</f>
        <v>0</v>
      </c>
      <c r="K53" s="226"/>
      <c r="L53" s="141">
        <f t="shared" si="34"/>
        <v>0</v>
      </c>
      <c r="M53" s="149">
        <f t="shared" si="35"/>
        <v>0</v>
      </c>
    </row>
    <row r="54" spans="1:13" ht="13.8" thickBot="1" x14ac:dyDescent="0.3">
      <c r="A54" s="150">
        <v>28</v>
      </c>
      <c r="B54" s="140">
        <f>SUMIF('PUR-RMC'!$K$7:$K$110,$A$49:$A$54,'PUR-RMC'!$M$7:$M$280)</f>
        <v>0</v>
      </c>
      <c r="C54" s="142"/>
      <c r="D54" s="140">
        <f>SUMIF('PUR-RMC'!$K$7:$K$110,$A$49:$A$54,'PUR-RMC'!$N$7:$N$280)</f>
        <v>0</v>
      </c>
      <c r="E54" s="142"/>
      <c r="F54" s="140">
        <f>SUMIF('PUR-RMC'!$K$7:$K$110,$A$49:$A$54,'PUR-RMC'!$O$7:$O$280)</f>
        <v>0</v>
      </c>
      <c r="G54" s="142"/>
      <c r="H54" s="140">
        <f>SUMIF('PUR-RMC'!$K$7:$K$110,$A$49:$A$54,'PUR-RMC'!$P$7:$P$280)</f>
        <v>0</v>
      </c>
      <c r="I54" s="142"/>
      <c r="J54" s="140">
        <f>SUMIF(SALE!$J$6:$J$493,$A$8:$A$13,SALE!$P$6:$P$493)</f>
        <v>0</v>
      </c>
      <c r="K54" s="227"/>
      <c r="L54" s="143">
        <f t="shared" si="34"/>
        <v>0</v>
      </c>
      <c r="M54" s="149">
        <f t="shared" si="35"/>
        <v>0</v>
      </c>
    </row>
    <row r="55" spans="1:13" ht="13.8" thickBot="1" x14ac:dyDescent="0.3">
      <c r="A55" s="151" t="s">
        <v>653</v>
      </c>
      <c r="B55" s="133">
        <f t="shared" ref="B55" si="36">SUM(B49:B54)</f>
        <v>0</v>
      </c>
      <c r="C55" s="133">
        <f t="shared" ref="C55:M55" si="37">SUM(C49:C54)</f>
        <v>0</v>
      </c>
      <c r="D55" s="133">
        <f t="shared" si="37"/>
        <v>0</v>
      </c>
      <c r="E55" s="133">
        <f t="shared" si="37"/>
        <v>0</v>
      </c>
      <c r="F55" s="133">
        <f t="shared" si="37"/>
        <v>0</v>
      </c>
      <c r="G55" s="133">
        <f t="shared" si="37"/>
        <v>0</v>
      </c>
      <c r="H55" s="133">
        <f t="shared" si="37"/>
        <v>0</v>
      </c>
      <c r="I55" s="133">
        <f t="shared" si="37"/>
        <v>0</v>
      </c>
      <c r="J55" s="133">
        <f t="shared" si="37"/>
        <v>0</v>
      </c>
      <c r="K55" s="133">
        <f t="shared" si="37"/>
        <v>0</v>
      </c>
      <c r="L55" s="230">
        <f t="shared" si="37"/>
        <v>0</v>
      </c>
      <c r="M55" s="155">
        <f t="shared" si="37"/>
        <v>0</v>
      </c>
    </row>
    <row r="56" spans="1:13" ht="22.95" customHeight="1" x14ac:dyDescent="0.3">
      <c r="A56" s="583" t="s">
        <v>689</v>
      </c>
      <c r="B56" s="584"/>
      <c r="C56" s="584"/>
      <c r="D56" s="584"/>
      <c r="E56" s="584"/>
      <c r="F56" s="584"/>
      <c r="G56" s="584"/>
      <c r="H56" s="584"/>
      <c r="I56" s="297">
        <f>+B55</f>
        <v>0</v>
      </c>
      <c r="J56" s="169">
        <f>+D55</f>
        <v>0</v>
      </c>
      <c r="K56" s="169">
        <f>+F55</f>
        <v>0</v>
      </c>
      <c r="L56" s="169">
        <f>+H55</f>
        <v>0</v>
      </c>
      <c r="M56" s="171">
        <f>+J55</f>
        <v>0</v>
      </c>
    </row>
    <row r="57" spans="1:13" ht="15" customHeight="1" x14ac:dyDescent="0.25">
      <c r="A57" s="583" t="s">
        <v>690</v>
      </c>
      <c r="B57" s="584"/>
      <c r="C57" s="584"/>
      <c r="D57" s="584"/>
      <c r="E57" s="584"/>
      <c r="F57" s="584"/>
      <c r="G57" s="584"/>
      <c r="H57" s="584"/>
      <c r="I57" s="168"/>
      <c r="J57" s="169">
        <v>0</v>
      </c>
      <c r="K57" s="169">
        <v>0</v>
      </c>
      <c r="L57" s="173">
        <f>K57</f>
        <v>0</v>
      </c>
      <c r="M57" s="171">
        <v>0</v>
      </c>
    </row>
    <row r="58" spans="1:13" ht="15" customHeight="1" thickBot="1" x14ac:dyDescent="0.3">
      <c r="A58" s="567" t="s">
        <v>691</v>
      </c>
      <c r="B58" s="568"/>
      <c r="C58" s="568"/>
      <c r="D58" s="568"/>
      <c r="E58" s="568"/>
      <c r="F58" s="568"/>
      <c r="G58" s="568"/>
      <c r="H58" s="568"/>
      <c r="I58" s="168"/>
      <c r="J58" s="169">
        <f>+D68-E68</f>
        <v>10923.0576</v>
      </c>
      <c r="K58" s="448">
        <f>+F68-G68</f>
        <v>1146691.6666000001</v>
      </c>
      <c r="L58" s="173">
        <f>K58</f>
        <v>1146691.6666000001</v>
      </c>
      <c r="M58" s="171">
        <f>+J68-K68</f>
        <v>0</v>
      </c>
    </row>
    <row r="59" spans="1:13" ht="15" customHeight="1" thickBot="1" x14ac:dyDescent="0.3">
      <c r="A59" s="537" t="s">
        <v>654</v>
      </c>
      <c r="B59" s="535"/>
      <c r="C59" s="535"/>
      <c r="D59" s="535"/>
      <c r="E59" s="535"/>
      <c r="F59" s="535"/>
      <c r="G59" s="535"/>
      <c r="H59" s="535"/>
      <c r="I59" s="585"/>
      <c r="J59" s="535"/>
      <c r="K59" s="535"/>
      <c r="L59" s="535"/>
      <c r="M59" s="526"/>
    </row>
    <row r="60" spans="1:13" ht="15" customHeight="1" thickBot="1" x14ac:dyDescent="0.3">
      <c r="A60" s="243" t="s">
        <v>652</v>
      </c>
      <c r="B60" s="580" t="s">
        <v>1</v>
      </c>
      <c r="C60" s="580"/>
      <c r="D60" s="580" t="s">
        <v>837</v>
      </c>
      <c r="E60" s="580"/>
      <c r="F60" s="580" t="s">
        <v>838</v>
      </c>
      <c r="G60" s="580"/>
      <c r="H60" s="580" t="s">
        <v>839</v>
      </c>
      <c r="I60" s="580"/>
      <c r="J60" s="580" t="s">
        <v>840</v>
      </c>
      <c r="K60" s="580"/>
      <c r="L60" s="244" t="s">
        <v>93</v>
      </c>
      <c r="M60" s="242" t="s">
        <v>93</v>
      </c>
    </row>
    <row r="61" spans="1:13" ht="13.8" thickBot="1" x14ac:dyDescent="0.3">
      <c r="A61" s="152" t="s">
        <v>646</v>
      </c>
      <c r="B61" s="137" t="s">
        <v>72</v>
      </c>
      <c r="C61" s="137" t="s">
        <v>841</v>
      </c>
      <c r="D61" s="137" t="s">
        <v>72</v>
      </c>
      <c r="E61" s="137" t="s">
        <v>841</v>
      </c>
      <c r="F61" s="137" t="s">
        <v>72</v>
      </c>
      <c r="G61" s="137" t="s">
        <v>841</v>
      </c>
      <c r="H61" s="137" t="s">
        <v>72</v>
      </c>
      <c r="I61" s="137" t="s">
        <v>841</v>
      </c>
      <c r="J61" s="137" t="s">
        <v>72</v>
      </c>
      <c r="K61" s="137" t="s">
        <v>841</v>
      </c>
      <c r="L61" s="137" t="s">
        <v>836</v>
      </c>
      <c r="M61" s="153" t="s">
        <v>843</v>
      </c>
    </row>
    <row r="62" spans="1:13" ht="15" customHeight="1" x14ac:dyDescent="0.25">
      <c r="A62" s="148">
        <v>0</v>
      </c>
      <c r="B62" s="140">
        <f>SUMIF(PURCHASE!$J$6:$J$446,$A62:$A$67,PURCHASE!$K$6:$K$446)</f>
        <v>480</v>
      </c>
      <c r="C62" s="140">
        <f>SUMIF('PURCHASE RETURN'!$K$5:$K$500,$A62:$A$67,'PURCHASE RETURN'!$L$5:$L$500)</f>
        <v>0</v>
      </c>
      <c r="D62" s="140">
        <f>SUMIF(PURCHASE!$J$6:$J$446,$A62:$A$67,PURCHASE!$L$6:$L$446)</f>
        <v>0</v>
      </c>
      <c r="E62" s="140">
        <f>SUMIF('PURCHASE RETURN'!$K$5:$K$500,$A62:$A$67,'PURCHASE RETURN'!$M$5:$M$500)</f>
        <v>0</v>
      </c>
      <c r="F62" s="140">
        <f>SUMIF(PURCHASE!$J$6:$J$446,$A62:$A$67,PURCHASE!$M$6:$M$446)</f>
        <v>0</v>
      </c>
      <c r="G62" s="140">
        <f>SUMIF('PURCHASE RETURN'!$K$5:$K$500,$A62:$A$67,'PURCHASE RETURN'!$N$5:$N$500)</f>
        <v>0</v>
      </c>
      <c r="H62" s="140">
        <f>SUMIF(PURCHASE!$J$6:$J$446,$A62:$A$67,PURCHASE!$N$6:$N$446)</f>
        <v>0</v>
      </c>
      <c r="I62" s="140">
        <f>SUMIF('PURCHASE RETURN'!$K$5:$K$500,$A62:$A$67,'PURCHASE RETURN'!$O$5:$O$500)</f>
        <v>0</v>
      </c>
      <c r="J62" s="140">
        <f>SUMIF(PURCHASE!$J$6:$J$446,$A62:$A$67,PURCHASE!$O$6:$O$446)</f>
        <v>0</v>
      </c>
      <c r="K62" s="140">
        <f>SUMIF('PURCHASE RETURN'!$K$5:$K$500,$A62:$A$67,'PURCHASE RETURN'!$P$5:$P$500)</f>
        <v>0</v>
      </c>
      <c r="L62" s="139">
        <f>+D62+F62+H62+J62-E62-G62-I62-K62</f>
        <v>0</v>
      </c>
      <c r="M62" s="149">
        <f t="shared" ref="M62:M67" si="38">+B62-C62+L62</f>
        <v>480</v>
      </c>
    </row>
    <row r="63" spans="1:13" ht="15" customHeight="1" x14ac:dyDescent="0.25">
      <c r="A63" s="148">
        <v>3</v>
      </c>
      <c r="B63" s="140">
        <f>SUMIF(PURCHASE!$J$6:$J$446,$A63:$A$67,PURCHASE!$K$6:$K$446)</f>
        <v>0</v>
      </c>
      <c r="C63" s="140">
        <f>SUMIF('PURCHASE RETURN'!$K$5:$K$500,$A63:$A$67,'PURCHASE RETURN'!$L$5:$L$500)</f>
        <v>0</v>
      </c>
      <c r="D63" s="140">
        <f>SUMIF(PURCHASE!$J$6:$J$446,$A63:$A$67,PURCHASE!$L$6:$L$446)</f>
        <v>0</v>
      </c>
      <c r="E63" s="140">
        <f>SUMIF('PURCHASE RETURN'!$K$5:$K$500,$A63:$A$67,'PURCHASE RETURN'!$M$5:$M$500)</f>
        <v>0</v>
      </c>
      <c r="F63" s="140">
        <f>SUMIF(PURCHASE!$J$6:$J$446,$A63:$A$67,PURCHASE!$M$6:$M$446)</f>
        <v>0</v>
      </c>
      <c r="G63" s="140">
        <f>SUMIF('PURCHASE RETURN'!$K$5:$K$500,$A63:$A$67,'PURCHASE RETURN'!$N$5:$N$500)</f>
        <v>0</v>
      </c>
      <c r="H63" s="140">
        <f>SUMIF(PURCHASE!$J$6:$J$446,$A63:$A$67,PURCHASE!$N$6:$N$446)</f>
        <v>0</v>
      </c>
      <c r="I63" s="140">
        <f>SUMIF('PURCHASE RETURN'!$K$5:$K$500,$A63:$A$67,'PURCHASE RETURN'!$O$5:$O$500)</f>
        <v>0</v>
      </c>
      <c r="J63" s="140">
        <f>SUMIF(PURCHASE!$J$6:$J$446,$A63:$A$67,PURCHASE!$O$6:$O$446)</f>
        <v>0</v>
      </c>
      <c r="K63" s="140">
        <f>SUMIF('PURCHASE RETURN'!$K$5:$K$500,$A63:$A$67,'PURCHASE RETURN'!$P$5:$P$500)</f>
        <v>0</v>
      </c>
      <c r="L63" s="228">
        <f t="shared" ref="L63:L67" si="39">+D63+F63+H63+J63-E63-G63-I63-K63</f>
        <v>0</v>
      </c>
      <c r="M63" s="149">
        <f t="shared" si="38"/>
        <v>0</v>
      </c>
    </row>
    <row r="64" spans="1:13" ht="15" customHeight="1" x14ac:dyDescent="0.25">
      <c r="A64" s="148">
        <v>5</v>
      </c>
      <c r="B64" s="140">
        <f>SUMIF(PURCHASE!$J$6:$J$446,$A64:$A$67,PURCHASE!$K$6:$K$446)</f>
        <v>40775</v>
      </c>
      <c r="C64" s="140">
        <f>SUMIF('PURCHASE RETURN'!$K$5:$K$500,$A64:$A$67,'PURCHASE RETURN'!$L$5:$L$500)</f>
        <v>0</v>
      </c>
      <c r="D64" s="140">
        <f>SUMIF(PURCHASE!$J$6:$J$446,$A64:$A$67,PURCHASE!$L$6:$L$446)</f>
        <v>0</v>
      </c>
      <c r="E64" s="140">
        <f>SUMIF('PURCHASE RETURN'!$K$5:$K$500,$A64:$A$67,'PURCHASE RETURN'!$M$5:$M$500)</f>
        <v>0</v>
      </c>
      <c r="F64" s="140">
        <f>SUMIF(PURCHASE!$J$6:$J$446,$A64:$A$67,PURCHASE!$M$6:$M$446)</f>
        <v>1019.375</v>
      </c>
      <c r="G64" s="140">
        <f>SUMIF('PURCHASE RETURN'!$K$5:$K$500,$A64:$A$67,'PURCHASE RETURN'!$N$5:$N$500)</f>
        <v>0</v>
      </c>
      <c r="H64" s="140">
        <f>SUMIF(PURCHASE!$J$6:$J$446,$A64:$A$67,PURCHASE!$N$6:$N$446)</f>
        <v>1019.375</v>
      </c>
      <c r="I64" s="140">
        <f>SUMIF('PURCHASE RETURN'!$K$5:$K$500,$A64:$A$67,'PURCHASE RETURN'!$O$5:$O$500)</f>
        <v>0</v>
      </c>
      <c r="J64" s="140">
        <f>SUMIF(PURCHASE!$J$6:$J$446,$A64:$A$67,PURCHASE!$O$6:$O$446)</f>
        <v>0</v>
      </c>
      <c r="K64" s="140">
        <f>SUMIF('PURCHASE RETURN'!$K$5:$K$500,$A64:$A$67,'PURCHASE RETURN'!$P$5:$P$500)</f>
        <v>0</v>
      </c>
      <c r="L64" s="228">
        <f t="shared" si="39"/>
        <v>2038.75</v>
      </c>
      <c r="M64" s="149">
        <f t="shared" si="38"/>
        <v>42813.75</v>
      </c>
    </row>
    <row r="65" spans="1:13" ht="15" customHeight="1" x14ac:dyDescent="0.25">
      <c r="A65" s="148">
        <v>12</v>
      </c>
      <c r="B65" s="140">
        <f>SUMIF(PURCHASE!$J$6:$J$446,$A65:$A$67,PURCHASE!$K$6:$K$446)</f>
        <v>86342.5</v>
      </c>
      <c r="C65" s="140">
        <f>SUMIF('PURCHASE RETURN'!$K$5:$K$500,$A65:$A$67,'PURCHASE RETURN'!$L$5:$L$500)</f>
        <v>0</v>
      </c>
      <c r="D65" s="140">
        <f>SUMIF(PURCHASE!$J$6:$J$446,$A65:$A$67,PURCHASE!$L$6:$L$446)</f>
        <v>0</v>
      </c>
      <c r="E65" s="140">
        <f>SUMIF('PURCHASE RETURN'!$K$5:$K$500,$A65:$A$67,'PURCHASE RETURN'!$M$5:$M$500)</f>
        <v>0</v>
      </c>
      <c r="F65" s="140">
        <f>SUMIF(PURCHASE!$J$6:$J$446,$A65:$A$67,PURCHASE!$M$6:$M$446)</f>
        <v>5180.55</v>
      </c>
      <c r="G65" s="140">
        <f>SUMIF('PURCHASE RETURN'!$K$5:$K$500,$A65:$A$67,'PURCHASE RETURN'!$N$5:$N$500)</f>
        <v>0</v>
      </c>
      <c r="H65" s="140">
        <f>SUMIF(PURCHASE!$J$6:$J$446,$A65:$A$67,PURCHASE!$N$6:$N$446)</f>
        <v>5180.55</v>
      </c>
      <c r="I65" s="140">
        <f>SUMIF('PURCHASE RETURN'!$K$5:$K$500,$A65:$A$67,'PURCHASE RETURN'!$O$5:$O$500)</f>
        <v>0</v>
      </c>
      <c r="J65" s="140">
        <f>SUMIF(PURCHASE!$J$6:$J$446,$A65:$A$67,PURCHASE!$O$6:$O$446)</f>
        <v>0</v>
      </c>
      <c r="K65" s="140">
        <f>SUMIF('PURCHASE RETURN'!$K$5:$K$500,$A65:$A$67,'PURCHASE RETURN'!$P$5:$P$500)</f>
        <v>0</v>
      </c>
      <c r="L65" s="228">
        <f t="shared" si="39"/>
        <v>10361.1</v>
      </c>
      <c r="M65" s="149">
        <f t="shared" si="38"/>
        <v>96703.6</v>
      </c>
    </row>
    <row r="66" spans="1:13" ht="15" customHeight="1" x14ac:dyDescent="0.25">
      <c r="A66" s="148">
        <v>18</v>
      </c>
      <c r="B66" s="140">
        <f>SUMIF(PURCHASE!$J$6:$J$446,$A66:$A$67,PURCHASE!$K$6:$K$446)</f>
        <v>6370080.8000000017</v>
      </c>
      <c r="C66" s="140">
        <f>SUMIF('PURCHASE RETURN'!$K$5:$K$500,$A66:$A$67,'PURCHASE RETURN'!$L$5:$L$500)</f>
        <v>0</v>
      </c>
      <c r="D66" s="140">
        <f>SUMIF(PURCHASE!$J$6:$J$446,$A66:$A$67,PURCHASE!$L$6:$L$446)</f>
        <v>0</v>
      </c>
      <c r="E66" s="140">
        <f>SUMIF('PURCHASE RETURN'!$K$5:$K$500,$A66:$A$67,'PURCHASE RETURN'!$M$5:$M$500)</f>
        <v>0</v>
      </c>
      <c r="F66" s="140">
        <f>SUMIF(PURCHASE!$J$6:$J$446,$A66:$A$67,PURCHASE!$M$6:$M$446)</f>
        <v>573307.27199999976</v>
      </c>
      <c r="G66" s="140">
        <f>SUMIF('PURCHASE RETURN'!$K$5:$K$500,$A66:$A$67,'PURCHASE RETURN'!$N$5:$N$500)</f>
        <v>0</v>
      </c>
      <c r="H66" s="140">
        <f>SUMIF(PURCHASE!$J$6:$J$446,$A66:$A$67,PURCHASE!$N$6:$N$446)</f>
        <v>573307.27199999976</v>
      </c>
      <c r="I66" s="140">
        <f>SUMIF('PURCHASE RETURN'!$K$5:$K$500,$A66:$A$67,'PURCHASE RETURN'!$O$5:$O$500)</f>
        <v>0</v>
      </c>
      <c r="J66" s="140">
        <f>SUMIF(PURCHASE!$J$6:$J$446,$A66:$A$67,PURCHASE!$O$6:$O$446)</f>
        <v>0</v>
      </c>
      <c r="K66" s="140">
        <f>SUMIF('PURCHASE RETURN'!$K$5:$K$500,$A66:$A$67,'PURCHASE RETURN'!$P$5:$P$500)</f>
        <v>0</v>
      </c>
      <c r="L66" s="228">
        <f t="shared" si="39"/>
        <v>1146614.5439999995</v>
      </c>
      <c r="M66" s="149">
        <f t="shared" si="38"/>
        <v>7516695.3440000014</v>
      </c>
    </row>
    <row r="67" spans="1:13" ht="15" customHeight="1" thickBot="1" x14ac:dyDescent="0.3">
      <c r="A67" s="148">
        <v>28</v>
      </c>
      <c r="B67" s="140">
        <f>SUMIF(PURCHASE!$J$6:$J$446,$A67:$A$67,PURCHASE!$K$6:$K$446)</f>
        <v>4090328.5599999991</v>
      </c>
      <c r="C67" s="140">
        <f>SUMIF('PURCHASE RETURN'!$K$5:$K$500,$A67:$A$67,'PURCHASE RETURN'!$L$5:$L$500)</f>
        <v>0</v>
      </c>
      <c r="D67" s="140">
        <f>SUMIF(PURCHASE!$J$6:$J$446,$A67:$A$67,PURCHASE!$L$6:$L$446)</f>
        <v>10923.0576</v>
      </c>
      <c r="E67" s="140">
        <f>SUMIF('PURCHASE RETURN'!$K$5:$K$500,$A67:$A$67,'PURCHASE RETURN'!$M$5:$M$500)</f>
        <v>0</v>
      </c>
      <c r="F67" s="140">
        <f>SUMIF(PURCHASE!$J$6:$J$446,$A67:$A$67,PURCHASE!$M$6:$M$446)</f>
        <v>567184.46960000019</v>
      </c>
      <c r="G67" s="140">
        <f>SUMIF('PURCHASE RETURN'!$K$5:$K$500,$A67:$A$67,'PURCHASE RETURN'!$N$5:$N$500)</f>
        <v>0</v>
      </c>
      <c r="H67" s="140">
        <f>SUMIF(PURCHASE!$J$6:$J$446,$A67:$A$67,PURCHASE!$N$6:$N$446)</f>
        <v>567184.46960000019</v>
      </c>
      <c r="I67" s="140">
        <f>SUMIF('PURCHASE RETURN'!$K$5:$K$500,$A67:$A$67,'PURCHASE RETURN'!$O$5:$O$500)</f>
        <v>0</v>
      </c>
      <c r="J67" s="140">
        <f>SUMIF(PURCHASE!$J$6:$J$446,$A67:$A$67,PURCHASE!$O$6:$O$446)</f>
        <v>0</v>
      </c>
      <c r="K67" s="140">
        <f>SUMIF('PURCHASE RETURN'!$K$5:$K$500,$A67:$A$67,'PURCHASE RETURN'!$P$5:$P$500)</f>
        <v>0</v>
      </c>
      <c r="L67" s="228">
        <f t="shared" si="39"/>
        <v>1145291.9968000003</v>
      </c>
      <c r="M67" s="149">
        <f t="shared" si="38"/>
        <v>5235620.5567999994</v>
      </c>
    </row>
    <row r="68" spans="1:13" ht="15" customHeight="1" thickBot="1" x14ac:dyDescent="0.3">
      <c r="A68" s="154" t="s">
        <v>655</v>
      </c>
      <c r="B68" s="144">
        <f>SUM(B62:B67)</f>
        <v>10588006.860000001</v>
      </c>
      <c r="C68" s="144">
        <f>SUM(C62:C67)</f>
        <v>0</v>
      </c>
      <c r="D68" s="144">
        <f t="shared" ref="D68:M68" si="40">SUM(D62:D67)</f>
        <v>10923.0576</v>
      </c>
      <c r="E68" s="144">
        <f t="shared" si="40"/>
        <v>0</v>
      </c>
      <c r="F68" s="144">
        <f t="shared" si="40"/>
        <v>1146691.6666000001</v>
      </c>
      <c r="G68" s="144">
        <f t="shared" si="40"/>
        <v>0</v>
      </c>
      <c r="H68" s="144">
        <f t="shared" si="40"/>
        <v>1146691.6666000001</v>
      </c>
      <c r="I68" s="144">
        <f t="shared" si="40"/>
        <v>0</v>
      </c>
      <c r="J68" s="144">
        <f t="shared" si="40"/>
        <v>0</v>
      </c>
      <c r="K68" s="144">
        <f t="shared" si="40"/>
        <v>0</v>
      </c>
      <c r="L68" s="144">
        <f t="shared" si="40"/>
        <v>2304306.3908000002</v>
      </c>
      <c r="M68" s="155">
        <f t="shared" si="40"/>
        <v>12892313.250800001</v>
      </c>
    </row>
    <row r="69" spans="1:13" ht="15" customHeight="1" thickBot="1" x14ac:dyDescent="0.3">
      <c r="A69" s="537" t="s">
        <v>1478</v>
      </c>
      <c r="B69" s="535"/>
      <c r="C69" s="535"/>
      <c r="D69" s="535"/>
      <c r="E69" s="535"/>
      <c r="F69" s="535"/>
      <c r="G69" s="535"/>
      <c r="H69" s="535"/>
      <c r="I69" s="585"/>
      <c r="J69" s="535"/>
      <c r="K69" s="535"/>
      <c r="L69" s="535"/>
      <c r="M69" s="526"/>
    </row>
    <row r="70" spans="1:13" ht="15" customHeight="1" thickBot="1" x14ac:dyDescent="0.3">
      <c r="A70" s="243" t="s">
        <v>652</v>
      </c>
      <c r="B70" s="580" t="s">
        <v>1</v>
      </c>
      <c r="C70" s="580"/>
      <c r="D70" s="580" t="s">
        <v>837</v>
      </c>
      <c r="E70" s="580"/>
      <c r="F70" s="580" t="s">
        <v>838</v>
      </c>
      <c r="G70" s="580"/>
      <c r="H70" s="580" t="s">
        <v>839</v>
      </c>
      <c r="I70" s="580"/>
      <c r="J70" s="580" t="s">
        <v>840</v>
      </c>
      <c r="K70" s="580"/>
      <c r="L70" s="515" t="s">
        <v>93</v>
      </c>
      <c r="M70" s="242" t="s">
        <v>93</v>
      </c>
    </row>
    <row r="71" spans="1:13" ht="13.8" thickBot="1" x14ac:dyDescent="0.3">
      <c r="A71" s="152" t="s">
        <v>646</v>
      </c>
      <c r="B71" s="137" t="s">
        <v>72</v>
      </c>
      <c r="C71" s="137" t="s">
        <v>841</v>
      </c>
      <c r="D71" s="137" t="s">
        <v>72</v>
      </c>
      <c r="E71" s="137" t="s">
        <v>841</v>
      </c>
      <c r="F71" s="137" t="s">
        <v>72</v>
      </c>
      <c r="G71" s="137" t="s">
        <v>841</v>
      </c>
      <c r="H71" s="137" t="s">
        <v>72</v>
      </c>
      <c r="I71" s="137" t="s">
        <v>841</v>
      </c>
      <c r="J71" s="137" t="s">
        <v>72</v>
      </c>
      <c r="K71" s="137" t="s">
        <v>841</v>
      </c>
      <c r="L71" s="137" t="s">
        <v>836</v>
      </c>
      <c r="M71" s="153" t="s">
        <v>843</v>
      </c>
    </row>
    <row r="72" spans="1:13" ht="15" customHeight="1" x14ac:dyDescent="0.25">
      <c r="A72" s="148">
        <v>0</v>
      </c>
      <c r="B72" s="140">
        <f>SUMIF(PURCHASE!$J$6:$J$446,$A$67:$A72,PURCHASE!$K$6:$K$446)</f>
        <v>480</v>
      </c>
      <c r="C72" s="140">
        <f>SUMIF('PURCHASE RETURN'!$K$5:$K$500,$A$67:$A72,'PURCHASE RETURN'!$L$5:$L$500)</f>
        <v>0</v>
      </c>
      <c r="D72" s="140">
        <f>SUMIF(PURCHASE!$J$6:$J$446,$A$67:$A72,PURCHASE!$L$6:$L$446)</f>
        <v>0</v>
      </c>
      <c r="E72" s="140">
        <f>SUMIF('PURCHASE RETURN'!$K$5:$K$500,$A$67:$A72,'PURCHASE RETURN'!$M$5:$M$500)</f>
        <v>0</v>
      </c>
      <c r="F72" s="140">
        <f>SUMIF(PURCHASE!$J$6:$J$446,$A$67:$A72,PURCHASE!$M$6:$M$446)</f>
        <v>0</v>
      </c>
      <c r="G72" s="140">
        <f>SUMIF('PURCHASE RETURN'!$K$5:$K$500,$A$67:$A72,'PURCHASE RETURN'!$N$5:$N$500)</f>
        <v>0</v>
      </c>
      <c r="H72" s="140">
        <f>SUMIF(PURCHASE!$J$6:$J$446,$A$67:$A72,PURCHASE!$N$6:$N$446)</f>
        <v>0</v>
      </c>
      <c r="I72" s="140">
        <f>SUMIF('PURCHASE RETURN'!$K$5:$K$500,$A$67:$A72,'PURCHASE RETURN'!$O$5:$O$500)</f>
        <v>0</v>
      </c>
      <c r="J72" s="140">
        <f>SUMIF(PURCHASE!$J$6:$J$446,$A$67:$A72,PURCHASE!$O$6:$O$446)</f>
        <v>0</v>
      </c>
      <c r="K72" s="140">
        <f>SUMIF('PURCHASE RETURN'!$K$5:$K$500,$A$67:$A72,'PURCHASE RETURN'!$P$5:$P$500)</f>
        <v>0</v>
      </c>
      <c r="L72" s="139">
        <f>+D72+F72+H72+J72-E72-G72-I72-K72</f>
        <v>0</v>
      </c>
      <c r="M72" s="149">
        <f t="shared" ref="M72:M77" si="41">+B72-C72+L72</f>
        <v>480</v>
      </c>
    </row>
    <row r="73" spans="1:13" ht="15" customHeight="1" x14ac:dyDescent="0.25">
      <c r="A73" s="148">
        <v>3</v>
      </c>
      <c r="B73" s="140">
        <f>SUMIF(PURCHASE!$J$6:$J$446,$A$67:$A73,PURCHASE!$K$6:$K$446)</f>
        <v>0</v>
      </c>
      <c r="C73" s="140">
        <f>SUMIF('PURCHASE RETURN'!$K$5:$K$500,$A$67:$A73,'PURCHASE RETURN'!$L$5:$L$500)</f>
        <v>0</v>
      </c>
      <c r="D73" s="140">
        <f>SUMIF(PURCHASE!$J$6:$J$446,$A$67:$A73,PURCHASE!$L$6:$L$446)</f>
        <v>0</v>
      </c>
      <c r="E73" s="140">
        <f>SUMIF('PURCHASE RETURN'!$K$5:$K$500,$A$67:$A73,'PURCHASE RETURN'!$M$5:$M$500)</f>
        <v>0</v>
      </c>
      <c r="F73" s="140">
        <f>SUMIF(PURCHASE!$J$6:$J$446,$A$67:$A73,PURCHASE!$M$6:$M$446)</f>
        <v>0</v>
      </c>
      <c r="G73" s="140">
        <f>SUMIF('PURCHASE RETURN'!$K$5:$K$500,$A$67:$A73,'PURCHASE RETURN'!$N$5:$N$500)</f>
        <v>0</v>
      </c>
      <c r="H73" s="140">
        <f>SUMIF(PURCHASE!$J$6:$J$446,$A$67:$A73,PURCHASE!$N$6:$N$446)</f>
        <v>0</v>
      </c>
      <c r="I73" s="140">
        <f>SUMIF('PURCHASE RETURN'!$K$5:$K$500,$A$67:$A73,'PURCHASE RETURN'!$O$5:$O$500)</f>
        <v>0</v>
      </c>
      <c r="J73" s="140">
        <f>SUMIF(PURCHASE!$J$6:$J$446,$A$67:$A73,PURCHASE!$O$6:$O$446)</f>
        <v>0</v>
      </c>
      <c r="K73" s="140">
        <f>SUMIF('PURCHASE RETURN'!$K$5:$K$500,$A$67:$A73,'PURCHASE RETURN'!$P$5:$P$500)</f>
        <v>0</v>
      </c>
      <c r="L73" s="228">
        <f t="shared" ref="L73:L77" si="42">+D73+F73+H73+J73-E73-G73-I73-K73</f>
        <v>0</v>
      </c>
      <c r="M73" s="149">
        <f t="shared" si="41"/>
        <v>0</v>
      </c>
    </row>
    <row r="74" spans="1:13" ht="15" customHeight="1" x14ac:dyDescent="0.25">
      <c r="A74" s="148">
        <v>5</v>
      </c>
      <c r="B74" s="140">
        <f>SUMIF(PURCHASE!$J$6:$J$446,$A$67:$A74,PURCHASE!$K$6:$K$446)</f>
        <v>40775</v>
      </c>
      <c r="C74" s="140">
        <f>SUMIF('PURCHASE RETURN'!$K$5:$K$500,$A$67:$A74,'PURCHASE RETURN'!$L$5:$L$500)</f>
        <v>0</v>
      </c>
      <c r="D74" s="140">
        <f>SUMIF(PURCHASE!$J$6:$J$446,$A$67:$A74,PURCHASE!$L$6:$L$446)</f>
        <v>0</v>
      </c>
      <c r="E74" s="140">
        <f>SUMIF('PURCHASE RETURN'!$K$5:$K$500,$A$67:$A74,'PURCHASE RETURN'!$M$5:$M$500)</f>
        <v>0</v>
      </c>
      <c r="F74" s="140">
        <f>SUMIF(PURCHASE!$J$6:$J$446,$A$67:$A74,PURCHASE!$M$6:$M$446)</f>
        <v>1019.375</v>
      </c>
      <c r="G74" s="140">
        <f>SUMIF('PURCHASE RETURN'!$K$5:$K$500,$A$67:$A74,'PURCHASE RETURN'!$N$5:$N$500)</f>
        <v>0</v>
      </c>
      <c r="H74" s="140">
        <f>SUMIF(PURCHASE!$J$6:$J$446,$A$67:$A74,PURCHASE!$N$6:$N$446)</f>
        <v>1019.375</v>
      </c>
      <c r="I74" s="140">
        <f>SUMIF('PURCHASE RETURN'!$K$5:$K$500,$A$67:$A74,'PURCHASE RETURN'!$O$5:$O$500)</f>
        <v>0</v>
      </c>
      <c r="J74" s="140">
        <f>SUMIF(PURCHASE!$J$6:$J$446,$A$67:$A74,PURCHASE!$O$6:$O$446)</f>
        <v>0</v>
      </c>
      <c r="K74" s="140">
        <f>SUMIF('PURCHASE RETURN'!$K$5:$K$500,$A$67:$A74,'PURCHASE RETURN'!$P$5:$P$500)</f>
        <v>0</v>
      </c>
      <c r="L74" s="228">
        <f t="shared" si="42"/>
        <v>2038.75</v>
      </c>
      <c r="M74" s="149">
        <f t="shared" si="41"/>
        <v>42813.75</v>
      </c>
    </row>
    <row r="75" spans="1:13" ht="15" customHeight="1" x14ac:dyDescent="0.25">
      <c r="A75" s="148">
        <v>12</v>
      </c>
      <c r="B75" s="140">
        <f>SUMIF(PURCHASE!$J$6:$J$446,$A$67:$A75,PURCHASE!$K$6:$K$446)</f>
        <v>86342.5</v>
      </c>
      <c r="C75" s="140">
        <f>SUMIF('PURCHASE RETURN'!$K$5:$K$500,$A$67:$A75,'PURCHASE RETURN'!$L$5:$L$500)</f>
        <v>0</v>
      </c>
      <c r="D75" s="140">
        <f>SUMIF(PURCHASE!$J$6:$J$446,$A$67:$A75,PURCHASE!$L$6:$L$446)</f>
        <v>0</v>
      </c>
      <c r="E75" s="140">
        <f>SUMIF('PURCHASE RETURN'!$K$5:$K$500,$A$67:$A75,'PURCHASE RETURN'!$M$5:$M$500)</f>
        <v>0</v>
      </c>
      <c r="F75" s="140">
        <f>SUMIF(PURCHASE!$J$6:$J$446,$A$67:$A75,PURCHASE!$M$6:$M$446)</f>
        <v>5180.55</v>
      </c>
      <c r="G75" s="140">
        <f>SUMIF('PURCHASE RETURN'!$K$5:$K$500,$A$67:$A75,'PURCHASE RETURN'!$N$5:$N$500)</f>
        <v>0</v>
      </c>
      <c r="H75" s="140">
        <f>SUMIF(PURCHASE!$J$6:$J$446,$A$67:$A75,PURCHASE!$N$6:$N$446)</f>
        <v>5180.55</v>
      </c>
      <c r="I75" s="140">
        <f>SUMIF('PURCHASE RETURN'!$K$5:$K$500,$A$67:$A75,'PURCHASE RETURN'!$O$5:$O$500)</f>
        <v>0</v>
      </c>
      <c r="J75" s="140">
        <f>SUMIF(PURCHASE!$J$6:$J$446,$A$67:$A75,PURCHASE!$O$6:$O$446)</f>
        <v>0</v>
      </c>
      <c r="K75" s="140">
        <f>SUMIF('PURCHASE RETURN'!$K$5:$K$500,$A$67:$A75,'PURCHASE RETURN'!$P$5:$P$500)</f>
        <v>0</v>
      </c>
      <c r="L75" s="228">
        <f t="shared" si="42"/>
        <v>10361.1</v>
      </c>
      <c r="M75" s="149">
        <f t="shared" si="41"/>
        <v>96703.6</v>
      </c>
    </row>
    <row r="76" spans="1:13" ht="15" customHeight="1" x14ac:dyDescent="0.25">
      <c r="A76" s="148">
        <v>18</v>
      </c>
      <c r="B76" s="140">
        <f>SUMIF(PURCHASE!$J$6:$J$446,$A$67:$A76,PURCHASE!$K$6:$K$446)</f>
        <v>6370080.8000000017</v>
      </c>
      <c r="C76" s="140">
        <f>SUMIF('PURCHASE RETURN'!$K$5:$K$500,$A$67:$A76,'PURCHASE RETURN'!$L$5:$L$500)</f>
        <v>0</v>
      </c>
      <c r="D76" s="140">
        <f>SUMIF(PURCHASE!$J$6:$J$446,$A$67:$A76,PURCHASE!$L$6:$L$446)</f>
        <v>0</v>
      </c>
      <c r="E76" s="140">
        <f>SUMIF('PURCHASE RETURN'!$K$5:$K$500,$A$67:$A76,'PURCHASE RETURN'!$M$5:$M$500)</f>
        <v>0</v>
      </c>
      <c r="F76" s="140">
        <f>SUMIF(PURCHASE!$J$6:$J$446,$A$67:$A76,PURCHASE!$M$6:$M$446)</f>
        <v>573307.27199999976</v>
      </c>
      <c r="G76" s="140">
        <f>SUMIF('PURCHASE RETURN'!$K$5:$K$500,$A$67:$A76,'PURCHASE RETURN'!$N$5:$N$500)</f>
        <v>0</v>
      </c>
      <c r="H76" s="140">
        <f>SUMIF(PURCHASE!$J$6:$J$446,$A$67:$A76,PURCHASE!$N$6:$N$446)</f>
        <v>573307.27199999976</v>
      </c>
      <c r="I76" s="140">
        <f>SUMIF('PURCHASE RETURN'!$K$5:$K$500,$A$67:$A76,'PURCHASE RETURN'!$O$5:$O$500)</f>
        <v>0</v>
      </c>
      <c r="J76" s="140">
        <f>SUMIF(PURCHASE!$J$6:$J$446,$A$67:$A76,PURCHASE!$O$6:$O$446)</f>
        <v>0</v>
      </c>
      <c r="K76" s="140">
        <f>SUMIF('PURCHASE RETURN'!$K$5:$K$500,$A$67:$A76,'PURCHASE RETURN'!$P$5:$P$500)</f>
        <v>0</v>
      </c>
      <c r="L76" s="228">
        <f t="shared" si="42"/>
        <v>1146614.5439999995</v>
      </c>
      <c r="M76" s="149">
        <f t="shared" si="41"/>
        <v>7516695.3440000014</v>
      </c>
    </row>
    <row r="77" spans="1:13" ht="15" customHeight="1" thickBot="1" x14ac:dyDescent="0.3">
      <c r="A77" s="148">
        <v>28</v>
      </c>
      <c r="B77" s="140">
        <f>SUMIF(PURCHASE!$J$6:$J$446,$A$67:$A77,PURCHASE!$K$6:$K$446)</f>
        <v>4090328.5599999991</v>
      </c>
      <c r="C77" s="140">
        <f>SUMIF('PURCHASE RETURN'!$K$5:$K$500,$A$67:$A77,'PURCHASE RETURN'!$L$5:$L$500)</f>
        <v>0</v>
      </c>
      <c r="D77" s="140">
        <f>SUMIF(PURCHASE!$J$6:$J$446,$A$67:$A77,PURCHASE!$L$6:$L$446)</f>
        <v>10923.0576</v>
      </c>
      <c r="E77" s="140">
        <f>SUMIF('PURCHASE RETURN'!$K$5:$K$500,$A$67:$A77,'PURCHASE RETURN'!$M$5:$M$500)</f>
        <v>0</v>
      </c>
      <c r="F77" s="140">
        <f>SUMIF(PURCHASE!$J$6:$J$446,$A$67:$A77,PURCHASE!$M$6:$M$446)</f>
        <v>567184.46960000019</v>
      </c>
      <c r="G77" s="140">
        <f>SUMIF('PURCHASE RETURN'!$K$5:$K$500,$A$67:$A77,'PURCHASE RETURN'!$N$5:$N$500)</f>
        <v>0</v>
      </c>
      <c r="H77" s="140">
        <f>SUMIF(PURCHASE!$J$6:$J$446,$A$67:$A77,PURCHASE!$N$6:$N$446)</f>
        <v>567184.46960000019</v>
      </c>
      <c r="I77" s="140">
        <f>SUMIF('PURCHASE RETURN'!$K$5:$K$500,$A$67:$A77,'PURCHASE RETURN'!$O$5:$O$500)</f>
        <v>0</v>
      </c>
      <c r="J77" s="140">
        <f>SUMIF(PURCHASE!$J$6:$J$446,$A$67:$A77,PURCHASE!$O$6:$O$446)</f>
        <v>0</v>
      </c>
      <c r="K77" s="140">
        <f>SUMIF('PURCHASE RETURN'!$K$5:$K$500,$A$67:$A77,'PURCHASE RETURN'!$P$5:$P$500)</f>
        <v>0</v>
      </c>
      <c r="L77" s="228">
        <f t="shared" si="42"/>
        <v>1145291.9968000003</v>
      </c>
      <c r="M77" s="149">
        <f t="shared" si="41"/>
        <v>5235620.5567999994</v>
      </c>
    </row>
    <row r="78" spans="1:13" ht="15" customHeight="1" thickBot="1" x14ac:dyDescent="0.3">
      <c r="A78" s="154" t="s">
        <v>655</v>
      </c>
      <c r="B78" s="144">
        <f>SUM(B72:B77)</f>
        <v>10588006.860000001</v>
      </c>
      <c r="C78" s="144">
        <f>SUM(C72:C77)</f>
        <v>0</v>
      </c>
      <c r="D78" s="144">
        <f t="shared" ref="D78:M78" si="43">SUM(D72:D77)</f>
        <v>10923.0576</v>
      </c>
      <c r="E78" s="144">
        <f t="shared" si="43"/>
        <v>0</v>
      </c>
      <c r="F78" s="144">
        <f t="shared" si="43"/>
        <v>1146691.6666000001</v>
      </c>
      <c r="G78" s="144">
        <f t="shared" si="43"/>
        <v>0</v>
      </c>
      <c r="H78" s="144">
        <f t="shared" si="43"/>
        <v>1146691.6666000001</v>
      </c>
      <c r="I78" s="144">
        <f t="shared" si="43"/>
        <v>0</v>
      </c>
      <c r="J78" s="144">
        <f t="shared" si="43"/>
        <v>0</v>
      </c>
      <c r="K78" s="144">
        <f t="shared" si="43"/>
        <v>0</v>
      </c>
      <c r="L78" s="144">
        <f t="shared" si="43"/>
        <v>2304306.3908000002</v>
      </c>
      <c r="M78" s="155">
        <f t="shared" si="43"/>
        <v>12892313.250800001</v>
      </c>
    </row>
    <row r="79" spans="1:13" ht="14.4" x14ac:dyDescent="0.3">
      <c r="A79" s="618" t="s">
        <v>829</v>
      </c>
      <c r="B79" s="619"/>
      <c r="C79" s="619"/>
      <c r="D79" s="619"/>
      <c r="E79" s="619"/>
      <c r="F79" s="619"/>
      <c r="G79" s="619"/>
      <c r="H79" s="619"/>
      <c r="I79" s="98" t="s">
        <v>97</v>
      </c>
      <c r="J79" s="99" t="s">
        <v>88</v>
      </c>
      <c r="K79" s="100" t="s">
        <v>89</v>
      </c>
      <c r="L79" s="100" t="s">
        <v>90</v>
      </c>
      <c r="M79" s="101" t="s">
        <v>98</v>
      </c>
    </row>
    <row r="80" spans="1:13" ht="15" customHeight="1" x14ac:dyDescent="0.25">
      <c r="A80" s="583" t="s">
        <v>692</v>
      </c>
      <c r="B80" s="584"/>
      <c r="C80" s="584"/>
      <c r="D80" s="584"/>
      <c r="E80" s="584"/>
      <c r="F80" s="584"/>
      <c r="G80" s="584"/>
      <c r="H80" s="584"/>
      <c r="I80" s="174"/>
      <c r="J80" s="169">
        <f>+'PUR-ITC RULE 37 42 43'!O4</f>
        <v>0</v>
      </c>
      <c r="K80" s="169">
        <f>+'PUR-ITC RULE 37 42 43'!P4</f>
        <v>0</v>
      </c>
      <c r="L80" s="169">
        <f>+'PUR-ITC RULE 37 42 43'!Q4</f>
        <v>0</v>
      </c>
      <c r="M80" s="171">
        <f>+'PUR-ITC RULE 37 42 43'!R4</f>
        <v>0</v>
      </c>
    </row>
    <row r="81" spans="1:15" ht="15" customHeight="1" thickBot="1" x14ac:dyDescent="0.3">
      <c r="A81" s="583" t="s">
        <v>693</v>
      </c>
      <c r="B81" s="584"/>
      <c r="C81" s="584"/>
      <c r="D81" s="584"/>
      <c r="E81" s="584"/>
      <c r="F81" s="584"/>
      <c r="G81" s="584"/>
      <c r="H81" s="584"/>
      <c r="I81" s="174"/>
      <c r="J81" s="169">
        <v>0</v>
      </c>
      <c r="K81" s="169">
        <v>0</v>
      </c>
      <c r="L81" s="169">
        <v>0</v>
      </c>
      <c r="M81" s="171">
        <v>0</v>
      </c>
    </row>
    <row r="82" spans="1:15" ht="15" customHeight="1" thickBot="1" x14ac:dyDescent="0.3">
      <c r="A82" s="581" t="s">
        <v>830</v>
      </c>
      <c r="B82" s="582"/>
      <c r="C82" s="582"/>
      <c r="D82" s="582"/>
      <c r="E82" s="582"/>
      <c r="F82" s="582"/>
      <c r="G82" s="582"/>
      <c r="H82" s="582"/>
      <c r="I82" s="174"/>
      <c r="J82" s="175">
        <f>+J44+J45+J56+J57+J58-J80-J81</f>
        <v>10923.0576</v>
      </c>
      <c r="K82" s="447">
        <f t="shared" ref="K82:M82" si="44">+K44+K45+K56+K57+K58-K80-K81</f>
        <v>1146691.6666000001</v>
      </c>
      <c r="L82" s="175">
        <f t="shared" si="44"/>
        <v>1146691.6666000001</v>
      </c>
      <c r="M82" s="175">
        <f t="shared" si="44"/>
        <v>0</v>
      </c>
      <c r="N82" s="300"/>
      <c r="O82" s="299"/>
    </row>
    <row r="83" spans="1:15" ht="15" customHeight="1" x14ac:dyDescent="0.25">
      <c r="A83" s="583" t="s">
        <v>831</v>
      </c>
      <c r="B83" s="584"/>
      <c r="C83" s="584"/>
      <c r="D83" s="584"/>
      <c r="E83" s="584"/>
      <c r="F83" s="584"/>
      <c r="G83" s="584"/>
      <c r="H83" s="584"/>
      <c r="I83" s="174"/>
      <c r="J83" s="166"/>
      <c r="K83" s="166"/>
      <c r="L83" s="166"/>
      <c r="M83" s="167"/>
    </row>
    <row r="84" spans="1:15" ht="15" customHeight="1" x14ac:dyDescent="0.25">
      <c r="A84" s="583" t="s">
        <v>694</v>
      </c>
      <c r="B84" s="584"/>
      <c r="C84" s="584"/>
      <c r="D84" s="584"/>
      <c r="E84" s="584"/>
      <c r="F84" s="584"/>
      <c r="G84" s="584"/>
      <c r="H84" s="584"/>
      <c r="I84" s="174"/>
      <c r="J84" s="169">
        <f>+'PUR-ITC-SEC -17'!L3</f>
        <v>0</v>
      </c>
      <c r="K84" s="169">
        <f>+'PUR-ITC-SEC -17'!M3</f>
        <v>0</v>
      </c>
      <c r="L84" s="169">
        <f>+'PUR-ITC-SEC -17'!N3</f>
        <v>0</v>
      </c>
      <c r="M84" s="171">
        <f>+'PUR-ITC-SEC -17'!O3</f>
        <v>0</v>
      </c>
    </row>
    <row r="85" spans="1:15" ht="15" customHeight="1" thickBot="1" x14ac:dyDescent="0.3">
      <c r="A85" s="567" t="s">
        <v>693</v>
      </c>
      <c r="B85" s="568"/>
      <c r="C85" s="568"/>
      <c r="D85" s="568"/>
      <c r="E85" s="568"/>
      <c r="F85" s="568"/>
      <c r="G85" s="568"/>
      <c r="H85" s="568"/>
      <c r="I85" s="176"/>
      <c r="J85" s="177">
        <v>0</v>
      </c>
      <c r="K85" s="177">
        <v>0</v>
      </c>
      <c r="L85" s="177">
        <v>0</v>
      </c>
      <c r="M85" s="178">
        <v>0</v>
      </c>
    </row>
    <row r="86" spans="1:15" ht="15" customHeight="1" thickBot="1" x14ac:dyDescent="0.3">
      <c r="A86" s="567" t="s">
        <v>855</v>
      </c>
      <c r="B86" s="568"/>
      <c r="C86" s="568"/>
      <c r="D86" s="568"/>
      <c r="E86" s="568"/>
      <c r="F86" s="568"/>
      <c r="G86" s="568"/>
      <c r="H86" s="568"/>
      <c r="I86" s="176"/>
      <c r="J86" s="177">
        <f>+J82-J84-J85</f>
        <v>10923.0576</v>
      </c>
      <c r="K86" s="177">
        <f t="shared" ref="K86:M86" si="45">+K82-K84-K85</f>
        <v>1146691.6666000001</v>
      </c>
      <c r="L86" s="177">
        <f t="shared" si="45"/>
        <v>1146691.6666000001</v>
      </c>
      <c r="M86" s="177">
        <f t="shared" si="45"/>
        <v>0</v>
      </c>
    </row>
    <row r="87" spans="1:15" ht="15" customHeight="1" thickBot="1" x14ac:dyDescent="0.3">
      <c r="A87" s="576" t="s">
        <v>695</v>
      </c>
      <c r="B87" s="577"/>
      <c r="C87" s="577"/>
      <c r="D87" s="577"/>
      <c r="E87" s="577"/>
      <c r="F87" s="577"/>
      <c r="G87" s="577"/>
      <c r="H87" s="577"/>
      <c r="I87" s="158"/>
      <c r="J87" s="158"/>
      <c r="K87" s="158"/>
      <c r="L87" s="158"/>
      <c r="M87" s="180"/>
    </row>
    <row r="88" spans="1:15" ht="13.8" thickBot="1" x14ac:dyDescent="0.3">
      <c r="A88" s="578" t="s">
        <v>648</v>
      </c>
      <c r="B88" s="579"/>
      <c r="C88" s="579"/>
      <c r="D88" s="579"/>
      <c r="E88" s="579"/>
      <c r="F88" s="579"/>
      <c r="G88" s="579"/>
      <c r="H88" s="579"/>
      <c r="I88" s="179"/>
      <c r="J88" s="548" t="s">
        <v>624</v>
      </c>
      <c r="K88" s="548"/>
      <c r="L88" s="548" t="s">
        <v>696</v>
      </c>
      <c r="M88" s="549"/>
    </row>
    <row r="89" spans="1:15" ht="15" customHeight="1" thickBot="1" x14ac:dyDescent="0.3">
      <c r="A89" s="571" t="s">
        <v>697</v>
      </c>
      <c r="B89" s="572"/>
      <c r="C89" s="572"/>
      <c r="D89" s="572"/>
      <c r="E89" s="572"/>
      <c r="F89" s="572"/>
      <c r="G89" s="572"/>
      <c r="H89" s="572"/>
      <c r="I89" s="573"/>
      <c r="J89" s="550">
        <f>+'PUR-EXEP NIL ZERO'!B5+'PUR-EXEP NIL ZERO'!C5+'PUR-EXEP NIL ZERO'!D5</f>
        <v>0</v>
      </c>
      <c r="K89" s="550"/>
      <c r="L89" s="550">
        <f>+'PUR-EXEP NIL ZERO'!B6+'PUR-EXEP NIL ZERO'!C6+'PUR-EXEP NIL ZERO'!D6</f>
        <v>725502.9</v>
      </c>
      <c r="M89" s="551"/>
    </row>
    <row r="90" spans="1:15" ht="15" customHeight="1" thickBot="1" x14ac:dyDescent="0.3">
      <c r="A90" s="574" t="s">
        <v>623</v>
      </c>
      <c r="B90" s="575"/>
      <c r="C90" s="575"/>
      <c r="D90" s="575"/>
      <c r="E90" s="575"/>
      <c r="F90" s="575"/>
      <c r="G90" s="575"/>
      <c r="H90" s="575"/>
      <c r="I90" s="575"/>
      <c r="J90" s="550">
        <f>+'PUR-EXEP NIL ZERO'!E5</f>
        <v>0</v>
      </c>
      <c r="K90" s="550"/>
      <c r="L90" s="550">
        <f>+'PUR-EXEP NIL ZERO'!E6</f>
        <v>0</v>
      </c>
      <c r="M90" s="551"/>
    </row>
    <row r="91" spans="1:15" ht="15" customHeight="1" thickBot="1" x14ac:dyDescent="0.3">
      <c r="A91" s="157"/>
      <c r="B91" s="158"/>
      <c r="C91" s="158"/>
      <c r="D91" s="158"/>
      <c r="E91" s="158"/>
      <c r="F91" s="158"/>
      <c r="G91" s="158"/>
      <c r="H91" s="569" t="s">
        <v>93</v>
      </c>
      <c r="I91" s="570"/>
      <c r="J91" s="552">
        <f>SUM(J89:J90)</f>
        <v>0</v>
      </c>
      <c r="K91" s="552"/>
      <c r="L91" s="552">
        <f>SUM(M89:M90)</f>
        <v>0</v>
      </c>
      <c r="M91" s="553"/>
      <c r="N91" s="300"/>
    </row>
    <row r="92" spans="1:15" ht="15" customHeight="1" thickBot="1" x14ac:dyDescent="0.3">
      <c r="A92" s="556" t="s">
        <v>649</v>
      </c>
      <c r="B92" s="557"/>
      <c r="C92" s="557"/>
      <c r="D92" s="557"/>
      <c r="E92" s="557"/>
      <c r="F92" s="557"/>
      <c r="G92" s="557"/>
      <c r="H92" s="557"/>
      <c r="I92" s="557"/>
      <c r="J92" s="557"/>
      <c r="K92" s="557"/>
      <c r="L92" s="557"/>
      <c r="M92" s="558"/>
    </row>
    <row r="93" spans="1:15" ht="15" customHeight="1" thickBot="1" x14ac:dyDescent="0.3">
      <c r="A93" s="543" t="s">
        <v>656</v>
      </c>
      <c r="B93" s="544"/>
      <c r="C93" s="458" t="s">
        <v>88</v>
      </c>
      <c r="D93" s="458" t="s">
        <v>89</v>
      </c>
      <c r="E93" s="458" t="s">
        <v>90</v>
      </c>
      <c r="F93" s="458" t="s">
        <v>98</v>
      </c>
      <c r="G93" s="458" t="s">
        <v>93</v>
      </c>
      <c r="H93" s="459" t="s">
        <v>662</v>
      </c>
      <c r="I93" s="460" t="s">
        <v>680</v>
      </c>
      <c r="J93" s="460"/>
      <c r="K93" s="461" t="s">
        <v>677</v>
      </c>
      <c r="L93" s="460" t="s">
        <v>679</v>
      </c>
      <c r="M93" s="460" t="s">
        <v>622</v>
      </c>
      <c r="N93" s="300"/>
    </row>
    <row r="94" spans="1:15" ht="15" customHeight="1" thickBot="1" x14ac:dyDescent="0.3">
      <c r="A94" s="597" t="s">
        <v>663</v>
      </c>
      <c r="B94" s="598"/>
      <c r="C94" s="462">
        <v>0</v>
      </c>
      <c r="D94" s="462">
        <v>0</v>
      </c>
      <c r="E94" s="462">
        <v>0</v>
      </c>
      <c r="F94" s="462">
        <v>0</v>
      </c>
      <c r="G94" s="463">
        <f>+F94+E94+D94+C94</f>
        <v>0</v>
      </c>
      <c r="H94" s="464"/>
      <c r="I94" s="554" t="s">
        <v>676</v>
      </c>
      <c r="J94" s="555"/>
      <c r="K94" s="465" t="s">
        <v>678</v>
      </c>
      <c r="L94" s="466" t="s">
        <v>676</v>
      </c>
      <c r="M94" s="466" t="s">
        <v>832</v>
      </c>
    </row>
    <row r="95" spans="1:15" ht="14.4" customHeight="1" x14ac:dyDescent="0.25">
      <c r="A95" s="561" t="s">
        <v>664</v>
      </c>
      <c r="B95" s="562"/>
      <c r="C95" s="462">
        <f>+D14-E14</f>
        <v>108816.35559999998</v>
      </c>
      <c r="D95" s="462">
        <f>+F14-G14</f>
        <v>1028316.7598999999</v>
      </c>
      <c r="E95" s="467">
        <f>+H14-I14</f>
        <v>1028316.7598999999</v>
      </c>
      <c r="F95" s="462">
        <f>+J14-K14</f>
        <v>0</v>
      </c>
      <c r="G95" s="463">
        <f>+F95+E95+D95+C95</f>
        <v>2165449.8753999998</v>
      </c>
      <c r="H95" s="468"/>
      <c r="I95" s="469" t="s">
        <v>88</v>
      </c>
      <c r="J95" s="470">
        <v>0</v>
      </c>
      <c r="K95" s="471">
        <v>0</v>
      </c>
      <c r="L95" s="472">
        <v>0</v>
      </c>
      <c r="M95" s="473">
        <f>+J95+K95-L95</f>
        <v>0</v>
      </c>
    </row>
    <row r="96" spans="1:15" ht="14.4" customHeight="1" x14ac:dyDescent="0.25">
      <c r="A96" s="561" t="s">
        <v>665</v>
      </c>
      <c r="B96" s="562"/>
      <c r="C96" s="462">
        <f>+J56</f>
        <v>0</v>
      </c>
      <c r="D96" s="462">
        <f>+K56</f>
        <v>0</v>
      </c>
      <c r="E96" s="462">
        <f>+L56</f>
        <v>0</v>
      </c>
      <c r="F96" s="462">
        <f>+M56</f>
        <v>0</v>
      </c>
      <c r="G96" s="463">
        <f>+F96+E96+D96+C96</f>
        <v>0</v>
      </c>
      <c r="H96" s="468"/>
      <c r="I96" s="474" t="s">
        <v>89</v>
      </c>
      <c r="J96" s="462">
        <v>0</v>
      </c>
      <c r="K96" s="462">
        <v>0</v>
      </c>
      <c r="L96" s="475">
        <f t="shared" ref="L96:L98" si="46">+K96+J96</f>
        <v>0</v>
      </c>
      <c r="M96" s="476">
        <f t="shared" ref="M96:M97" si="47">+J96+K96-L96</f>
        <v>0</v>
      </c>
    </row>
    <row r="97" spans="1:13" ht="15" customHeight="1" thickBot="1" x14ac:dyDescent="0.3">
      <c r="A97" s="563" t="s">
        <v>666</v>
      </c>
      <c r="B97" s="564"/>
      <c r="C97" s="462">
        <f>+D68-E68-J80-J81-J84-J85</f>
        <v>10923.0576</v>
      </c>
      <c r="D97" s="462">
        <f>+F68-G68-K80-K81-K84-K85</f>
        <v>1146691.6666000001</v>
      </c>
      <c r="E97" s="467">
        <f>+H68-I68-L80-L81-L84-L85</f>
        <v>1146691.6666000001</v>
      </c>
      <c r="F97" s="462">
        <f>+J68-K68-M80-M81-M84-M85</f>
        <v>0</v>
      </c>
      <c r="G97" s="463">
        <f>+F97+E97+D97+C97</f>
        <v>2304306.3908000002</v>
      </c>
      <c r="H97" s="477"/>
      <c r="I97" s="474" t="s">
        <v>90</v>
      </c>
      <c r="J97" s="462">
        <v>0</v>
      </c>
      <c r="K97" s="462">
        <v>0</v>
      </c>
      <c r="L97" s="475">
        <f t="shared" si="46"/>
        <v>0</v>
      </c>
      <c r="M97" s="476">
        <f t="shared" si="47"/>
        <v>0</v>
      </c>
    </row>
    <row r="98" spans="1:13" ht="15" customHeight="1" thickBot="1" x14ac:dyDescent="0.3">
      <c r="A98" s="565" t="s">
        <v>667</v>
      </c>
      <c r="B98" s="566"/>
      <c r="C98" s="478">
        <f>+C97+C96+C94</f>
        <v>10923.0576</v>
      </c>
      <c r="D98" s="478">
        <f t="shared" ref="D98:F98" si="48">+D97+D96+D94</f>
        <v>1146691.6666000001</v>
      </c>
      <c r="E98" s="478">
        <f t="shared" si="48"/>
        <v>1146691.6666000001</v>
      </c>
      <c r="F98" s="478">
        <f t="shared" si="48"/>
        <v>0</v>
      </c>
      <c r="G98" s="478"/>
      <c r="H98" s="479">
        <f>+G95+G96-G94-G97</f>
        <v>-138856.51540000038</v>
      </c>
      <c r="I98" s="480" t="s">
        <v>98</v>
      </c>
      <c r="J98" s="481">
        <v>0</v>
      </c>
      <c r="K98" s="481">
        <v>0</v>
      </c>
      <c r="L98" s="482">
        <f t="shared" si="46"/>
        <v>0</v>
      </c>
      <c r="M98" s="483">
        <f>+L98+L97+L96+L95</f>
        <v>0</v>
      </c>
    </row>
    <row r="99" spans="1:13" ht="13.8" thickBot="1" x14ac:dyDescent="0.3">
      <c r="A99" s="602"/>
      <c r="B99" s="603"/>
      <c r="C99" s="599" t="s">
        <v>668</v>
      </c>
      <c r="D99" s="601" t="s">
        <v>669</v>
      </c>
      <c r="E99" s="601"/>
      <c r="F99" s="601"/>
      <c r="G99" s="601"/>
      <c r="H99" s="600" t="s">
        <v>833</v>
      </c>
      <c r="I99" s="600"/>
      <c r="J99" s="484" t="s">
        <v>622</v>
      </c>
      <c r="K99" s="559" t="s">
        <v>670</v>
      </c>
      <c r="L99" s="559"/>
      <c r="M99" s="560"/>
    </row>
    <row r="100" spans="1:13" x14ac:dyDescent="0.25">
      <c r="A100" s="604"/>
      <c r="B100" s="605"/>
      <c r="C100" s="599"/>
      <c r="D100" s="485" t="s">
        <v>88</v>
      </c>
      <c r="E100" s="485" t="s">
        <v>89</v>
      </c>
      <c r="F100" s="485" t="s">
        <v>90</v>
      </c>
      <c r="G100" s="485" t="s">
        <v>98</v>
      </c>
      <c r="H100" s="459" t="s">
        <v>662</v>
      </c>
      <c r="I100" s="464" t="s">
        <v>676</v>
      </c>
      <c r="J100" s="486" t="s">
        <v>834</v>
      </c>
      <c r="K100" s="487" t="s">
        <v>671</v>
      </c>
      <c r="L100" s="487" t="s">
        <v>672</v>
      </c>
      <c r="M100" s="488" t="s">
        <v>673</v>
      </c>
    </row>
    <row r="101" spans="1:13" ht="14.4" customHeight="1" x14ac:dyDescent="0.25">
      <c r="A101" s="563" t="s">
        <v>88</v>
      </c>
      <c r="B101" s="564"/>
      <c r="C101" s="489">
        <f>+C95+C96</f>
        <v>108816.35559999998</v>
      </c>
      <c r="D101" s="490">
        <f>+C98</f>
        <v>10923.0576</v>
      </c>
      <c r="E101" s="491">
        <v>0</v>
      </c>
      <c r="F101" s="491">
        <v>0</v>
      </c>
      <c r="G101" s="492"/>
      <c r="H101" s="490">
        <f>+C101-D101-E101-F101</f>
        <v>97893.297999999981</v>
      </c>
      <c r="I101" s="490">
        <f>+L95</f>
        <v>0</v>
      </c>
      <c r="J101" s="493">
        <f>+'TDS TCS'!L4+'TDS TCS'!L17</f>
        <v>0</v>
      </c>
      <c r="K101" s="494">
        <f>+H101-I101-J101</f>
        <v>97893.297999999981</v>
      </c>
      <c r="L101" s="462"/>
      <c r="M101" s="495"/>
    </row>
    <row r="102" spans="1:13" ht="14.4" customHeight="1" x14ac:dyDescent="0.25">
      <c r="A102" s="563" t="s">
        <v>89</v>
      </c>
      <c r="B102" s="564"/>
      <c r="C102" s="489">
        <f>+D96+D95</f>
        <v>1028316.7598999999</v>
      </c>
      <c r="D102" s="491">
        <v>0</v>
      </c>
      <c r="E102" s="490">
        <f>+D98</f>
        <v>1146691.6666000001</v>
      </c>
      <c r="F102" s="496"/>
      <c r="G102" s="492"/>
      <c r="H102" s="490">
        <f>+C102-D102-E102</f>
        <v>-118374.90670000017</v>
      </c>
      <c r="I102" s="490">
        <f t="shared" ref="I102:I104" si="49">+L96</f>
        <v>0</v>
      </c>
      <c r="J102" s="493">
        <f>+'TDS TCS'!M4+'TDS TCS'!M17</f>
        <v>0</v>
      </c>
      <c r="K102" s="494">
        <f t="shared" ref="K102:K104" si="50">+H102-I102-J102</f>
        <v>-118374.90670000017</v>
      </c>
      <c r="L102" s="462"/>
      <c r="M102" s="495"/>
    </row>
    <row r="103" spans="1:13" ht="14.4" customHeight="1" x14ac:dyDescent="0.25">
      <c r="A103" s="563" t="s">
        <v>90</v>
      </c>
      <c r="B103" s="564"/>
      <c r="C103" s="489">
        <f>+E96+E95</f>
        <v>1028316.7598999999</v>
      </c>
      <c r="D103" s="491">
        <v>0</v>
      </c>
      <c r="E103" s="496"/>
      <c r="F103" s="490">
        <f>+E98</f>
        <v>1146691.6666000001</v>
      </c>
      <c r="G103" s="492"/>
      <c r="H103" s="490">
        <f>+C103-D103-F103</f>
        <v>-118374.90670000017</v>
      </c>
      <c r="I103" s="490">
        <f t="shared" si="49"/>
        <v>0</v>
      </c>
      <c r="J103" s="493">
        <f>+'TDS TCS'!N4+'TDS TCS'!N17</f>
        <v>0</v>
      </c>
      <c r="K103" s="494">
        <f t="shared" si="50"/>
        <v>-118374.90670000017</v>
      </c>
      <c r="L103" s="462"/>
      <c r="M103" s="495"/>
    </row>
    <row r="104" spans="1:13" ht="14.4" customHeight="1" x14ac:dyDescent="0.25">
      <c r="A104" s="563" t="s">
        <v>98</v>
      </c>
      <c r="B104" s="564"/>
      <c r="C104" s="489">
        <v>0</v>
      </c>
      <c r="D104" s="496"/>
      <c r="E104" s="496"/>
      <c r="F104" s="492"/>
      <c r="G104" s="491">
        <v>0</v>
      </c>
      <c r="H104" s="490">
        <f>+J98</f>
        <v>0</v>
      </c>
      <c r="I104" s="490">
        <f t="shared" si="49"/>
        <v>0</v>
      </c>
      <c r="J104" s="493">
        <f>+'TDS TCS'!O4+'TDS TCS'!O17</f>
        <v>0</v>
      </c>
      <c r="K104" s="494">
        <f t="shared" si="50"/>
        <v>0</v>
      </c>
      <c r="L104" s="462"/>
      <c r="M104" s="495"/>
    </row>
    <row r="105" spans="1:13" ht="13.8" thickBot="1" x14ac:dyDescent="0.3">
      <c r="A105" s="595" t="s">
        <v>622</v>
      </c>
      <c r="B105" s="596"/>
      <c r="C105" s="497">
        <f>SUM(C101:C104)</f>
        <v>2165449.8753999998</v>
      </c>
      <c r="D105" s="497">
        <f t="shared" ref="D105:H105" si="51">SUM(D101:D104)</f>
        <v>10923.0576</v>
      </c>
      <c r="E105" s="497">
        <f t="shared" si="51"/>
        <v>1146691.6666000001</v>
      </c>
      <c r="F105" s="497">
        <f t="shared" si="51"/>
        <v>1146691.6666000001</v>
      </c>
      <c r="G105" s="497">
        <f t="shared" si="51"/>
        <v>0</v>
      </c>
      <c r="H105" s="497">
        <f t="shared" si="51"/>
        <v>-138856.51540000035</v>
      </c>
      <c r="I105" s="498">
        <f>SUM(I101:I104)</f>
        <v>0</v>
      </c>
      <c r="J105" s="493">
        <f>SUM(J101:J104)</f>
        <v>0</v>
      </c>
      <c r="K105" s="494">
        <f>+K104+K103+K102+K101</f>
        <v>-138856.51540000035</v>
      </c>
      <c r="L105" s="494">
        <v>0</v>
      </c>
      <c r="M105" s="499">
        <v>0</v>
      </c>
    </row>
    <row r="106" spans="1:13" ht="15" customHeight="1" x14ac:dyDescent="0.25">
      <c r="A106" s="586" t="s">
        <v>674</v>
      </c>
      <c r="B106" s="587"/>
      <c r="C106" s="500" t="s">
        <v>88</v>
      </c>
      <c r="D106" s="500" t="s">
        <v>89</v>
      </c>
      <c r="E106" s="500" t="s">
        <v>90</v>
      </c>
      <c r="F106" s="500" t="s">
        <v>98</v>
      </c>
      <c r="G106" s="501" t="s">
        <v>622</v>
      </c>
      <c r="H106" s="545" t="s">
        <v>657</v>
      </c>
      <c r="I106" s="502" t="s">
        <v>659</v>
      </c>
      <c r="J106" s="503" t="s">
        <v>88</v>
      </c>
      <c r="K106" s="503" t="s">
        <v>89</v>
      </c>
      <c r="L106" s="504" t="s">
        <v>90</v>
      </c>
      <c r="M106" s="505" t="s">
        <v>658</v>
      </c>
    </row>
    <row r="107" spans="1:13" ht="14.4" customHeight="1" x14ac:dyDescent="0.25">
      <c r="A107" s="588" t="s">
        <v>675</v>
      </c>
      <c r="B107" s="589"/>
      <c r="C107" s="506">
        <f>+K101</f>
        <v>97893.297999999981</v>
      </c>
      <c r="D107" s="506">
        <f>+K102</f>
        <v>-118374.90670000017</v>
      </c>
      <c r="E107" s="506">
        <f>+K103</f>
        <v>-118374.90670000017</v>
      </c>
      <c r="F107" s="506">
        <f>+K104</f>
        <v>0</v>
      </c>
      <c r="G107" s="507">
        <v>0</v>
      </c>
      <c r="H107" s="546"/>
      <c r="I107" s="502" t="s">
        <v>660</v>
      </c>
      <c r="J107" s="508" t="s">
        <v>89</v>
      </c>
      <c r="K107" s="508" t="s">
        <v>88</v>
      </c>
      <c r="L107" s="509"/>
      <c r="M107" s="510"/>
    </row>
    <row r="108" spans="1:13" ht="15" customHeight="1" thickBot="1" x14ac:dyDescent="0.3">
      <c r="A108" s="590" t="s">
        <v>676</v>
      </c>
      <c r="B108" s="591"/>
      <c r="C108" s="511">
        <f>+M95</f>
        <v>0</v>
      </c>
      <c r="D108" s="511">
        <f>+L96</f>
        <v>0</v>
      </c>
      <c r="E108" s="511">
        <f>+L97</f>
        <v>0</v>
      </c>
      <c r="F108" s="511">
        <f>+L98</f>
        <v>0</v>
      </c>
      <c r="G108" s="511">
        <f>+F108+E108+D108+C108</f>
        <v>0</v>
      </c>
      <c r="H108" s="547"/>
      <c r="I108" s="512" t="s">
        <v>661</v>
      </c>
      <c r="J108" s="513" t="s">
        <v>90</v>
      </c>
      <c r="K108" s="513" t="s">
        <v>88</v>
      </c>
      <c r="L108" s="514"/>
      <c r="M108" s="510"/>
    </row>
  </sheetData>
  <mergeCells count="99">
    <mergeCell ref="J6:K6"/>
    <mergeCell ref="A29:M29"/>
    <mergeCell ref="B30:C30"/>
    <mergeCell ref="D30:E30"/>
    <mergeCell ref="F30:G30"/>
    <mergeCell ref="H30:I30"/>
    <mergeCell ref="J30:K30"/>
    <mergeCell ref="A15:M15"/>
    <mergeCell ref="B16:C16"/>
    <mergeCell ref="D16:E16"/>
    <mergeCell ref="F16:G16"/>
    <mergeCell ref="H16:I16"/>
    <mergeCell ref="J16:K16"/>
    <mergeCell ref="A58:H58"/>
    <mergeCell ref="A79:H79"/>
    <mergeCell ref="A80:H80"/>
    <mergeCell ref="B60:C60"/>
    <mergeCell ref="B6:C6"/>
    <mergeCell ref="D6:E6"/>
    <mergeCell ref="F6:G6"/>
    <mergeCell ref="H6:I6"/>
    <mergeCell ref="A43:H43"/>
    <mergeCell ref="A44:H44"/>
    <mergeCell ref="A45:H45"/>
    <mergeCell ref="A56:H56"/>
    <mergeCell ref="A57:H57"/>
    <mergeCell ref="B47:C47"/>
    <mergeCell ref="D47:E47"/>
    <mergeCell ref="F47:G47"/>
    <mergeCell ref="H99:I99"/>
    <mergeCell ref="D99:G99"/>
    <mergeCell ref="A99:B100"/>
    <mergeCell ref="A5:M5"/>
    <mergeCell ref="A59:M59"/>
    <mergeCell ref="K27:L27"/>
    <mergeCell ref="J28:M28"/>
    <mergeCell ref="J40:M40"/>
    <mergeCell ref="A26:H26"/>
    <mergeCell ref="A27:H27"/>
    <mergeCell ref="A28:H28"/>
    <mergeCell ref="A39:H39"/>
    <mergeCell ref="A40:H40"/>
    <mergeCell ref="A41:H41"/>
    <mergeCell ref="A25:H25"/>
    <mergeCell ref="A42:H42"/>
    <mergeCell ref="A1:J1"/>
    <mergeCell ref="A106:B106"/>
    <mergeCell ref="A107:B107"/>
    <mergeCell ref="A108:B108"/>
    <mergeCell ref="A4:M4"/>
    <mergeCell ref="A101:B101"/>
    <mergeCell ref="A102:B102"/>
    <mergeCell ref="A103:B103"/>
    <mergeCell ref="A104:B104"/>
    <mergeCell ref="A105:B105"/>
    <mergeCell ref="A2:D2"/>
    <mergeCell ref="A94:B94"/>
    <mergeCell ref="A95:B95"/>
    <mergeCell ref="C99:C100"/>
    <mergeCell ref="A85:H85"/>
    <mergeCell ref="A46:M46"/>
    <mergeCell ref="H47:I47"/>
    <mergeCell ref="J47:K47"/>
    <mergeCell ref="A82:H82"/>
    <mergeCell ref="A83:H83"/>
    <mergeCell ref="A84:H84"/>
    <mergeCell ref="A81:H81"/>
    <mergeCell ref="D60:E60"/>
    <mergeCell ref="F60:G60"/>
    <mergeCell ref="H60:I60"/>
    <mergeCell ref="J60:K60"/>
    <mergeCell ref="A69:M69"/>
    <mergeCell ref="B70:C70"/>
    <mergeCell ref="D70:E70"/>
    <mergeCell ref="F70:G70"/>
    <mergeCell ref="H70:I70"/>
    <mergeCell ref="J70:K70"/>
    <mergeCell ref="A86:H86"/>
    <mergeCell ref="H91:I91"/>
    <mergeCell ref="A89:I89"/>
    <mergeCell ref="A90:I90"/>
    <mergeCell ref="A87:H87"/>
    <mergeCell ref="A88:H88"/>
    <mergeCell ref="A93:B93"/>
    <mergeCell ref="H106:H108"/>
    <mergeCell ref="J88:K88"/>
    <mergeCell ref="L88:M88"/>
    <mergeCell ref="L89:M89"/>
    <mergeCell ref="L90:M90"/>
    <mergeCell ref="L91:M91"/>
    <mergeCell ref="J89:K89"/>
    <mergeCell ref="J90:K90"/>
    <mergeCell ref="J91:K91"/>
    <mergeCell ref="I94:J94"/>
    <mergeCell ref="A92:M92"/>
    <mergeCell ref="K99:M99"/>
    <mergeCell ref="A96:B96"/>
    <mergeCell ref="A97:B97"/>
    <mergeCell ref="A98:B98"/>
  </mergeCells>
  <dataValidations count="3">
    <dataValidation type="decimal" allowBlank="1" showInputMessage="1" showErrorMessage="1" sqref="K27 J40">
      <formula1>0</formula1>
      <formula2>9999999999999.99</formula2>
    </dataValidation>
    <dataValidation type="decimal" allowBlank="1" showInputMessage="1" showErrorMessage="1" error="Field accepts only numeric value. Maximum: 13 digits with two decimal places." sqref="I27:J27 M26:M27 J39:K39 M39 I26:K26 J80:M81 M56:M58 J56:K58 L56 I39:I40 I28 M44:M45 J44:J45 J84:M86 J89:J90 L89:L90">
      <formula1>0</formula1>
      <formula2>9999999999999.99</formula2>
    </dataValidation>
    <dataValidation type="decimal" operator="greaterThanOrEqual" allowBlank="1" showInputMessage="1" showErrorMessage="1" error="Field accepts only numeric value. Maximum: 13 digits with two decimal places." prompt="State/UT Tax should be same as Central Tax. Value in Central Tax cell will reflect in this field as well" sqref="L26 L39 L57:L58">
      <formula1>0</formula1>
    </dataValidation>
  </dataValidations>
  <pageMargins left="0.25" right="0.25" top="0.25" bottom="0.25" header="0.3" footer="0.25"/>
  <pageSetup paperSize="9" scale="51" fitToWidth="0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'SALE MASTER'!$M$2:$M$13</xm:f>
          </x14:formula1>
          <xm:sqref>M3</xm:sqref>
        </x14:dataValidation>
        <x14:dataValidation type="list" allowBlank="1" showInputMessage="1" showErrorMessage="1">
          <x14:formula1>
            <xm:f>'SALE MASTER'!$N$2:$N$10</xm:f>
          </x14:formula1>
          <xm:sqref>M1</xm:sqref>
        </x14:dataValidation>
      </x14:dataValidat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workbookViewId="0">
      <selection activeCell="A5" sqref="A5"/>
    </sheetView>
  </sheetViews>
  <sheetFormatPr defaultRowHeight="14.4" x14ac:dyDescent="0.3"/>
  <cols>
    <col min="1" max="1" width="19.5546875" customWidth="1"/>
  </cols>
  <sheetData>
    <row r="1" spans="1:10" ht="15" thickBot="1" x14ac:dyDescent="0.35">
      <c r="A1" s="626"/>
      <c r="B1" s="627"/>
      <c r="C1" s="627"/>
      <c r="D1" s="627"/>
      <c r="E1" s="627" t="s">
        <v>1480</v>
      </c>
      <c r="F1" s="627"/>
      <c r="G1" s="627"/>
      <c r="H1" s="627"/>
      <c r="I1" s="627"/>
      <c r="J1" s="628"/>
    </row>
    <row r="2" spans="1:10" ht="15" thickBot="1" x14ac:dyDescent="0.35">
      <c r="A2" s="629" t="s">
        <v>1481</v>
      </c>
      <c r="B2" s="629"/>
      <c r="C2" s="629"/>
      <c r="D2" s="629"/>
      <c r="E2" s="629"/>
      <c r="F2" s="629"/>
      <c r="G2" s="629"/>
      <c r="H2" s="629"/>
      <c r="I2" s="629"/>
      <c r="J2" s="629"/>
    </row>
    <row r="3" spans="1:10" ht="23.4" customHeight="1" thickBot="1" x14ac:dyDescent="0.35">
      <c r="A3" s="630" t="s">
        <v>1482</v>
      </c>
      <c r="B3" s="631" t="s">
        <v>1483</v>
      </c>
      <c r="C3" s="631" t="s">
        <v>1484</v>
      </c>
      <c r="D3" s="631" t="s">
        <v>1485</v>
      </c>
      <c r="E3" s="630" t="s">
        <v>88</v>
      </c>
      <c r="F3" s="630" t="s">
        <v>89</v>
      </c>
      <c r="G3" s="630" t="s">
        <v>90</v>
      </c>
      <c r="H3" s="630" t="s">
        <v>98</v>
      </c>
      <c r="I3" s="632" t="s">
        <v>1486</v>
      </c>
      <c r="J3" s="632" t="s">
        <v>1486</v>
      </c>
    </row>
    <row r="4" spans="1:10" ht="23.4" customHeight="1" x14ac:dyDescent="0.3">
      <c r="A4" s="633" t="s">
        <v>1487</v>
      </c>
      <c r="B4" s="633">
        <v>522236.67</v>
      </c>
      <c r="C4" s="633">
        <v>6680200.8799999999</v>
      </c>
      <c r="D4" s="633">
        <f>+C4+B4</f>
        <v>7202437.5499999998</v>
      </c>
      <c r="E4" s="633">
        <v>146226.26</v>
      </c>
      <c r="F4" s="633">
        <v>912972.35</v>
      </c>
      <c r="G4" s="633">
        <v>912972.35</v>
      </c>
      <c r="H4" s="634">
        <v>0</v>
      </c>
      <c r="I4" s="635">
        <f>+H4+G4+F4+E4</f>
        <v>1972170.96</v>
      </c>
      <c r="J4" s="636">
        <f>+I4+D4</f>
        <v>9174608.5099999998</v>
      </c>
    </row>
    <row r="5" spans="1:10" ht="15" customHeight="1" x14ac:dyDescent="0.3">
      <c r="A5" s="633" t="s">
        <v>1488</v>
      </c>
      <c r="B5" s="633"/>
      <c r="C5" s="633"/>
      <c r="D5" s="633"/>
      <c r="E5" s="633"/>
      <c r="F5" s="633"/>
      <c r="G5" s="633"/>
      <c r="H5" s="634"/>
      <c r="I5" s="635"/>
      <c r="J5" s="636"/>
    </row>
    <row r="6" spans="1:10" ht="15" customHeight="1" thickBot="1" x14ac:dyDescent="0.35">
      <c r="A6" s="633" t="s">
        <v>1489</v>
      </c>
      <c r="B6" s="633"/>
      <c r="C6" s="633"/>
      <c r="D6" s="633"/>
      <c r="E6" s="633"/>
      <c r="F6" s="633"/>
      <c r="G6" s="633"/>
      <c r="H6" s="634"/>
      <c r="I6" s="635"/>
      <c r="J6" s="636">
        <f>+I6+D6</f>
        <v>0</v>
      </c>
    </row>
    <row r="7" spans="1:10" ht="15" customHeight="1" thickBot="1" x14ac:dyDescent="0.35">
      <c r="A7" s="637" t="s">
        <v>1490</v>
      </c>
      <c r="B7" s="637">
        <f>+B4-B6+B5</f>
        <v>522236.67</v>
      </c>
      <c r="C7" s="637">
        <f t="shared" ref="C7:J7" si="0">+C4-C6+C5</f>
        <v>6680200.8799999999</v>
      </c>
      <c r="D7" s="637">
        <f t="shared" si="0"/>
        <v>7202437.5499999998</v>
      </c>
      <c r="E7" s="637">
        <f t="shared" si="0"/>
        <v>146226.26</v>
      </c>
      <c r="F7" s="637">
        <f t="shared" si="0"/>
        <v>912972.35</v>
      </c>
      <c r="G7" s="637">
        <f t="shared" si="0"/>
        <v>912972.35</v>
      </c>
      <c r="H7" s="637">
        <f t="shared" si="0"/>
        <v>0</v>
      </c>
      <c r="I7" s="637">
        <f t="shared" si="0"/>
        <v>1972170.96</v>
      </c>
      <c r="J7" s="637">
        <f t="shared" si="0"/>
        <v>9174608.5099999998</v>
      </c>
    </row>
    <row r="8" spans="1:10" ht="15" customHeight="1" thickBot="1" x14ac:dyDescent="0.35">
      <c r="A8" s="633" t="s">
        <v>1491</v>
      </c>
      <c r="B8" s="633"/>
      <c r="C8" s="633"/>
      <c r="D8" s="633"/>
      <c r="E8" s="633"/>
      <c r="F8" s="633"/>
      <c r="G8" s="633"/>
      <c r="H8" s="633"/>
      <c r="I8" s="633"/>
      <c r="J8" s="636">
        <f>+I8+D8</f>
        <v>0</v>
      </c>
    </row>
    <row r="9" spans="1:10" ht="15" customHeight="1" thickBot="1" x14ac:dyDescent="0.35">
      <c r="A9" s="638" t="s">
        <v>1492</v>
      </c>
      <c r="B9" s="638">
        <f>+B8+B7</f>
        <v>522236.67</v>
      </c>
      <c r="C9" s="638">
        <f t="shared" ref="C9:J9" si="1">+C8+C7</f>
        <v>6680200.8799999999</v>
      </c>
      <c r="D9" s="638">
        <f t="shared" si="1"/>
        <v>7202437.5499999998</v>
      </c>
      <c r="E9" s="638">
        <f t="shared" si="1"/>
        <v>146226.26</v>
      </c>
      <c r="F9" s="638">
        <f t="shared" si="1"/>
        <v>912972.35</v>
      </c>
      <c r="G9" s="638">
        <f t="shared" si="1"/>
        <v>912972.35</v>
      </c>
      <c r="H9" s="638">
        <f t="shared" si="1"/>
        <v>0</v>
      </c>
      <c r="I9" s="638">
        <f t="shared" si="1"/>
        <v>1972170.96</v>
      </c>
      <c r="J9" s="638">
        <f t="shared" si="1"/>
        <v>9174608.5099999998</v>
      </c>
    </row>
    <row r="10" spans="1:10" ht="15" customHeight="1" thickTop="1" x14ac:dyDescent="0.3">
      <c r="A10" s="633" t="s">
        <v>1493</v>
      </c>
      <c r="B10" s="633"/>
      <c r="C10" s="633"/>
      <c r="D10" s="633"/>
      <c r="E10" s="633"/>
      <c r="F10" s="633"/>
      <c r="G10" s="633"/>
      <c r="H10" s="634"/>
      <c r="I10" s="635">
        <f t="shared" ref="I10:I16" si="2">+H10+G10+F10+E10</f>
        <v>0</v>
      </c>
      <c r="J10" s="636">
        <f t="shared" ref="J10:J16" si="3">+I10+D10</f>
        <v>0</v>
      </c>
    </row>
    <row r="11" spans="1:10" ht="15" customHeight="1" x14ac:dyDescent="0.3">
      <c r="A11" s="633" t="s">
        <v>1494</v>
      </c>
      <c r="B11" s="633"/>
      <c r="C11" s="633"/>
      <c r="D11" s="633"/>
      <c r="E11" s="633"/>
      <c r="F11" s="633"/>
      <c r="G11" s="633"/>
      <c r="H11" s="634"/>
      <c r="I11" s="635">
        <f t="shared" si="2"/>
        <v>0</v>
      </c>
      <c r="J11" s="636">
        <f t="shared" si="3"/>
        <v>0</v>
      </c>
    </row>
    <row r="12" spans="1:10" ht="15" customHeight="1" x14ac:dyDescent="0.3">
      <c r="A12" s="633" t="s">
        <v>1495</v>
      </c>
      <c r="B12" s="633"/>
      <c r="C12" s="633"/>
      <c r="D12" s="633"/>
      <c r="E12" s="636"/>
      <c r="F12" s="636">
        <v>8488</v>
      </c>
      <c r="G12" s="636">
        <v>8488</v>
      </c>
      <c r="H12" s="636"/>
      <c r="I12" s="635">
        <f t="shared" si="2"/>
        <v>16976</v>
      </c>
      <c r="J12" s="636">
        <f t="shared" si="3"/>
        <v>16976</v>
      </c>
    </row>
    <row r="13" spans="1:10" ht="15" customHeight="1" x14ac:dyDescent="0.3">
      <c r="A13" s="633" t="s">
        <v>1496</v>
      </c>
      <c r="B13" s="633"/>
      <c r="C13" s="633"/>
      <c r="D13" s="633"/>
      <c r="E13" s="633"/>
      <c r="F13" s="633"/>
      <c r="G13" s="633"/>
      <c r="H13" s="634"/>
      <c r="I13" s="635">
        <f t="shared" si="2"/>
        <v>0</v>
      </c>
      <c r="J13" s="636">
        <f t="shared" si="3"/>
        <v>0</v>
      </c>
    </row>
    <row r="14" spans="1:10" ht="15" customHeight="1" x14ac:dyDescent="0.3">
      <c r="A14" s="633" t="s">
        <v>1497</v>
      </c>
      <c r="B14" s="633"/>
      <c r="C14" s="633"/>
      <c r="D14" s="633"/>
      <c r="E14" s="633"/>
      <c r="F14" s="633"/>
      <c r="G14" s="633"/>
      <c r="H14" s="634"/>
      <c r="I14" s="635">
        <f t="shared" si="2"/>
        <v>0</v>
      </c>
      <c r="J14" s="636">
        <f t="shared" si="3"/>
        <v>0</v>
      </c>
    </row>
    <row r="15" spans="1:10" ht="15" customHeight="1" x14ac:dyDescent="0.3">
      <c r="A15" s="633" t="s">
        <v>1498</v>
      </c>
      <c r="B15" s="633"/>
      <c r="C15" s="633"/>
      <c r="D15" s="633"/>
      <c r="E15" s="633"/>
      <c r="F15" s="633"/>
      <c r="G15" s="633"/>
      <c r="H15" s="634"/>
      <c r="I15" s="635">
        <f t="shared" si="2"/>
        <v>0</v>
      </c>
      <c r="J15" s="636">
        <f t="shared" si="3"/>
        <v>0</v>
      </c>
    </row>
    <row r="16" spans="1:10" ht="15" customHeight="1" thickBot="1" x14ac:dyDescent="0.35">
      <c r="A16" s="633" t="s">
        <v>1499</v>
      </c>
      <c r="B16" s="633"/>
      <c r="C16" s="633"/>
      <c r="D16" s="633"/>
      <c r="E16" s="636"/>
      <c r="F16" s="636">
        <v>0</v>
      </c>
      <c r="G16" s="636">
        <v>0</v>
      </c>
      <c r="H16" s="636"/>
      <c r="I16" s="635">
        <f t="shared" si="2"/>
        <v>0</v>
      </c>
      <c r="J16" s="636">
        <f t="shared" si="3"/>
        <v>0</v>
      </c>
    </row>
    <row r="17" spans="1:10" ht="15" customHeight="1" thickBot="1" x14ac:dyDescent="0.35">
      <c r="A17" s="639" t="s">
        <v>1500</v>
      </c>
      <c r="B17" s="640">
        <f>SUM(B10:B16)</f>
        <v>0</v>
      </c>
      <c r="C17" s="640">
        <f t="shared" ref="C17:J17" si="4">SUM(C10:C16)</f>
        <v>0</v>
      </c>
      <c r="D17" s="640">
        <f t="shared" si="4"/>
        <v>0</v>
      </c>
      <c r="E17" s="640">
        <f t="shared" si="4"/>
        <v>0</v>
      </c>
      <c r="F17" s="640">
        <f t="shared" si="4"/>
        <v>8488</v>
      </c>
      <c r="G17" s="640">
        <f t="shared" si="4"/>
        <v>8488</v>
      </c>
      <c r="H17" s="640">
        <f t="shared" si="4"/>
        <v>0</v>
      </c>
      <c r="I17" s="640">
        <f t="shared" si="4"/>
        <v>16976</v>
      </c>
      <c r="J17" s="640">
        <f t="shared" si="4"/>
        <v>16976</v>
      </c>
    </row>
    <row r="18" spans="1:10" ht="15" customHeight="1" thickBot="1" x14ac:dyDescent="0.35">
      <c r="A18" s="635" t="s">
        <v>1501</v>
      </c>
      <c r="B18" s="635"/>
      <c r="C18" s="635"/>
      <c r="D18" s="635"/>
      <c r="E18" s="635"/>
      <c r="F18" s="635"/>
      <c r="G18" s="635"/>
      <c r="H18" s="635"/>
      <c r="I18" s="635">
        <f>+H18+G18+F18+E18</f>
        <v>0</v>
      </c>
      <c r="J18" s="636">
        <f>+I18+D18</f>
        <v>0</v>
      </c>
    </row>
    <row r="19" spans="1:10" ht="15" customHeight="1" thickBot="1" x14ac:dyDescent="0.35">
      <c r="A19" s="639" t="s">
        <v>1500</v>
      </c>
      <c r="B19" s="640">
        <f>+B17+B9+B18</f>
        <v>522236.67</v>
      </c>
      <c r="C19" s="640">
        <f t="shared" ref="C19:J19" si="5">+C17+C9+C18</f>
        <v>6680200.8799999999</v>
      </c>
      <c r="D19" s="640">
        <f t="shared" si="5"/>
        <v>7202437.5499999998</v>
      </c>
      <c r="E19" s="640">
        <f t="shared" si="5"/>
        <v>146226.26</v>
      </c>
      <c r="F19" s="640">
        <f t="shared" si="5"/>
        <v>921460.35</v>
      </c>
      <c r="G19" s="640">
        <f t="shared" si="5"/>
        <v>921460.35</v>
      </c>
      <c r="H19" s="640">
        <f t="shared" si="5"/>
        <v>0</v>
      </c>
      <c r="I19" s="640">
        <f t="shared" si="5"/>
        <v>1989146.96</v>
      </c>
      <c r="J19" s="640">
        <f t="shared" si="5"/>
        <v>9191584.5099999998</v>
      </c>
    </row>
    <row r="20" spans="1:10" ht="15" customHeight="1" thickBot="1" x14ac:dyDescent="0.35">
      <c r="A20" s="641" t="s">
        <v>1502</v>
      </c>
      <c r="B20" s="641"/>
      <c r="C20" s="641"/>
      <c r="D20" s="641"/>
      <c r="E20" s="641"/>
      <c r="F20" s="641"/>
      <c r="G20" s="641"/>
      <c r="H20" s="641"/>
      <c r="I20" s="641"/>
      <c r="J20" s="641"/>
    </row>
    <row r="21" spans="1:10" ht="15" customHeight="1" x14ac:dyDescent="0.3">
      <c r="A21" s="633" t="s">
        <v>1503</v>
      </c>
      <c r="B21" s="633">
        <v>165188</v>
      </c>
      <c r="C21" s="633">
        <v>4840459.3499999996</v>
      </c>
      <c r="D21" s="633">
        <f>+C21+B21</f>
        <v>5005647.3499999996</v>
      </c>
      <c r="E21" s="635">
        <v>46250.400000000001</v>
      </c>
      <c r="F21" s="635">
        <v>656349.59</v>
      </c>
      <c r="G21" s="635">
        <v>656349.59</v>
      </c>
      <c r="H21" s="634">
        <v>0</v>
      </c>
      <c r="I21" s="635">
        <f>+H21+G21+F21+E21</f>
        <v>1358949.5799999998</v>
      </c>
      <c r="J21" s="636">
        <f t="shared" ref="J21:J44" si="6">+I21+D21</f>
        <v>6364596.9299999997</v>
      </c>
    </row>
    <row r="22" spans="1:10" ht="15" customHeight="1" x14ac:dyDescent="0.3">
      <c r="A22" s="633" t="s">
        <v>1504</v>
      </c>
      <c r="B22" s="633"/>
      <c r="C22" s="633"/>
      <c r="D22" s="633"/>
      <c r="E22" s="635"/>
      <c r="F22" s="635"/>
      <c r="G22" s="635"/>
      <c r="H22" s="634"/>
      <c r="I22" s="635"/>
      <c r="J22" s="636"/>
    </row>
    <row r="23" spans="1:10" ht="15" customHeight="1" thickBot="1" x14ac:dyDescent="0.35">
      <c r="A23" s="633" t="s">
        <v>1505</v>
      </c>
      <c r="B23" s="633"/>
      <c r="C23" s="633"/>
      <c r="D23" s="633">
        <f>+C23+B23</f>
        <v>0</v>
      </c>
      <c r="E23" s="633"/>
      <c r="F23" s="633"/>
      <c r="G23" s="633"/>
      <c r="H23" s="634"/>
      <c r="I23" s="635"/>
      <c r="J23" s="636">
        <f t="shared" si="6"/>
        <v>0</v>
      </c>
    </row>
    <row r="24" spans="1:10" ht="15" customHeight="1" thickBot="1" x14ac:dyDescent="0.35">
      <c r="A24" s="637" t="s">
        <v>1490</v>
      </c>
      <c r="B24" s="637">
        <f>+B21-B23+B22</f>
        <v>165188</v>
      </c>
      <c r="C24" s="637">
        <f t="shared" ref="C24:J24" si="7">+C21-C23+C22</f>
        <v>4840459.3499999996</v>
      </c>
      <c r="D24" s="637">
        <f t="shared" si="7"/>
        <v>5005647.3499999996</v>
      </c>
      <c r="E24" s="637">
        <f t="shared" si="7"/>
        <v>46250.400000000001</v>
      </c>
      <c r="F24" s="637">
        <f t="shared" si="7"/>
        <v>656349.59</v>
      </c>
      <c r="G24" s="637">
        <f t="shared" si="7"/>
        <v>656349.59</v>
      </c>
      <c r="H24" s="637">
        <f t="shared" si="7"/>
        <v>0</v>
      </c>
      <c r="I24" s="637">
        <f t="shared" si="7"/>
        <v>1358949.5799999998</v>
      </c>
      <c r="J24" s="637">
        <f t="shared" si="7"/>
        <v>6364596.9299999997</v>
      </c>
    </row>
    <row r="25" spans="1:10" ht="15" customHeight="1" x14ac:dyDescent="0.3">
      <c r="A25" s="633" t="s">
        <v>1491</v>
      </c>
      <c r="B25" s="633"/>
      <c r="C25" s="633"/>
      <c r="D25" s="642">
        <f>+C25+B25</f>
        <v>0</v>
      </c>
      <c r="E25" s="633"/>
      <c r="F25" s="633"/>
      <c r="G25" s="633"/>
      <c r="H25" s="633"/>
      <c r="I25" s="633"/>
      <c r="J25" s="636">
        <f t="shared" si="6"/>
        <v>0</v>
      </c>
    </row>
    <row r="26" spans="1:10" ht="15" customHeight="1" x14ac:dyDescent="0.3">
      <c r="A26" s="633" t="s">
        <v>1506</v>
      </c>
      <c r="B26" s="633"/>
      <c r="C26" s="633"/>
      <c r="D26" s="633"/>
      <c r="E26" s="635">
        <v>0</v>
      </c>
      <c r="F26" s="635">
        <v>0</v>
      </c>
      <c r="G26" s="635">
        <v>0</v>
      </c>
      <c r="H26" s="634">
        <v>0</v>
      </c>
      <c r="I26" s="635">
        <f>+H26+G26+F26+E26</f>
        <v>0</v>
      </c>
      <c r="J26" s="636">
        <f t="shared" si="6"/>
        <v>0</v>
      </c>
    </row>
    <row r="27" spans="1:10" ht="15" customHeight="1" x14ac:dyDescent="0.3">
      <c r="A27" s="633" t="s">
        <v>1507</v>
      </c>
      <c r="B27" s="633"/>
      <c r="C27" s="633"/>
      <c r="D27" s="633"/>
      <c r="E27" s="635">
        <v>0</v>
      </c>
      <c r="F27" s="635">
        <v>0</v>
      </c>
      <c r="G27" s="635">
        <v>0</v>
      </c>
      <c r="H27" s="634">
        <v>0</v>
      </c>
      <c r="I27" s="635">
        <f>+H27+G27+F27+E27</f>
        <v>0</v>
      </c>
      <c r="J27" s="636">
        <f t="shared" si="6"/>
        <v>0</v>
      </c>
    </row>
    <row r="28" spans="1:10" ht="15" customHeight="1" thickBot="1" x14ac:dyDescent="0.35">
      <c r="A28" s="633" t="s">
        <v>1495</v>
      </c>
      <c r="B28" s="633"/>
      <c r="C28" s="633"/>
      <c r="D28" s="633"/>
      <c r="E28" s="636"/>
      <c r="F28" s="636">
        <v>0</v>
      </c>
      <c r="G28" s="636">
        <v>0</v>
      </c>
      <c r="H28" s="636"/>
      <c r="I28" s="636"/>
      <c r="J28" s="636">
        <f t="shared" si="6"/>
        <v>0</v>
      </c>
    </row>
    <row r="29" spans="1:10" ht="15" customHeight="1" thickBot="1" x14ac:dyDescent="0.35">
      <c r="A29" s="637" t="s">
        <v>1490</v>
      </c>
      <c r="B29" s="637">
        <f t="shared" ref="B29:J29" si="8">SUM(B24:B28)</f>
        <v>165188</v>
      </c>
      <c r="C29" s="637">
        <f t="shared" si="8"/>
        <v>4840459.3499999996</v>
      </c>
      <c r="D29" s="637">
        <f t="shared" si="8"/>
        <v>5005647.3499999996</v>
      </c>
      <c r="E29" s="637">
        <f t="shared" si="8"/>
        <v>46250.400000000001</v>
      </c>
      <c r="F29" s="637">
        <f t="shared" si="8"/>
        <v>656349.59</v>
      </c>
      <c r="G29" s="637">
        <f t="shared" si="8"/>
        <v>656349.59</v>
      </c>
      <c r="H29" s="637">
        <f t="shared" si="8"/>
        <v>0</v>
      </c>
      <c r="I29" s="637">
        <f t="shared" si="8"/>
        <v>1358949.5799999998</v>
      </c>
      <c r="J29" s="637">
        <f t="shared" si="8"/>
        <v>6364596.9299999997</v>
      </c>
    </row>
    <row r="30" spans="1:10" ht="15" customHeight="1" x14ac:dyDescent="0.3">
      <c r="A30" s="642" t="s">
        <v>1508</v>
      </c>
      <c r="B30" s="642"/>
      <c r="C30" s="642"/>
      <c r="D30" s="642">
        <v>159290</v>
      </c>
      <c r="E30" s="643"/>
      <c r="F30" s="643"/>
      <c r="G30" s="643"/>
      <c r="H30" s="643"/>
      <c r="I30" s="643"/>
      <c r="J30" s="636">
        <f>+I30+D30</f>
        <v>159290</v>
      </c>
    </row>
    <row r="31" spans="1:10" ht="15" customHeight="1" x14ac:dyDescent="0.3">
      <c r="A31" s="633" t="s">
        <v>1509</v>
      </c>
      <c r="B31" s="633"/>
      <c r="C31" s="633"/>
      <c r="D31" s="633">
        <v>0</v>
      </c>
      <c r="E31" s="636"/>
      <c r="F31" s="636"/>
      <c r="G31" s="636"/>
      <c r="H31" s="636"/>
      <c r="I31" s="636"/>
      <c r="J31" s="636">
        <f t="shared" si="6"/>
        <v>0</v>
      </c>
    </row>
    <row r="32" spans="1:10" ht="15" customHeight="1" x14ac:dyDescent="0.3">
      <c r="A32" s="633" t="s">
        <v>1510</v>
      </c>
      <c r="B32" s="633"/>
      <c r="C32" s="633"/>
      <c r="D32" s="633">
        <v>7539</v>
      </c>
      <c r="E32" s="636"/>
      <c r="F32" s="636"/>
      <c r="G32" s="636"/>
      <c r="H32" s="636"/>
      <c r="I32" s="636"/>
      <c r="J32" s="636">
        <f t="shared" si="6"/>
        <v>7539</v>
      </c>
    </row>
    <row r="33" spans="1:10" ht="15" customHeight="1" x14ac:dyDescent="0.3">
      <c r="A33" s="633" t="s">
        <v>1511</v>
      </c>
      <c r="B33" s="633"/>
      <c r="C33" s="633"/>
      <c r="D33" s="633">
        <v>2921.17</v>
      </c>
      <c r="E33" s="636"/>
      <c r="F33" s="636"/>
      <c r="G33" s="636"/>
      <c r="H33" s="636"/>
      <c r="I33" s="636"/>
      <c r="J33" s="636">
        <f t="shared" si="6"/>
        <v>2921.17</v>
      </c>
    </row>
    <row r="34" spans="1:10" ht="15" customHeight="1" thickBot="1" x14ac:dyDescent="0.35">
      <c r="A34" s="633" t="s">
        <v>1512</v>
      </c>
      <c r="B34" s="633"/>
      <c r="C34" s="633"/>
      <c r="D34" s="633">
        <v>1.89</v>
      </c>
      <c r="E34" s="636"/>
      <c r="F34" s="636"/>
      <c r="G34" s="636"/>
      <c r="H34" s="636"/>
      <c r="I34" s="636"/>
      <c r="J34" s="636">
        <f t="shared" si="6"/>
        <v>1.89</v>
      </c>
    </row>
    <row r="35" spans="1:10" ht="15" customHeight="1" thickBot="1" x14ac:dyDescent="0.35">
      <c r="A35" s="638" t="s">
        <v>1513</v>
      </c>
      <c r="B35" s="644">
        <f>+B31+B30+B29-B32-B33+B34</f>
        <v>165188</v>
      </c>
      <c r="C35" s="644">
        <f t="shared" ref="C35:J35" si="9">+C31+C30+C29-C32-C33+C34</f>
        <v>4840459.3499999996</v>
      </c>
      <c r="D35" s="644">
        <f t="shared" si="9"/>
        <v>5154479.0699999994</v>
      </c>
      <c r="E35" s="644">
        <f t="shared" si="9"/>
        <v>46250.400000000001</v>
      </c>
      <c r="F35" s="644">
        <f t="shared" si="9"/>
        <v>656349.59</v>
      </c>
      <c r="G35" s="644">
        <f t="shared" si="9"/>
        <v>656349.59</v>
      </c>
      <c r="H35" s="644">
        <f t="shared" si="9"/>
        <v>0</v>
      </c>
      <c r="I35" s="644">
        <f t="shared" si="9"/>
        <v>1358949.5799999998</v>
      </c>
      <c r="J35" s="644">
        <f t="shared" si="9"/>
        <v>6513428.6499999994</v>
      </c>
    </row>
    <row r="36" spans="1:10" ht="15" customHeight="1" thickTop="1" x14ac:dyDescent="0.3">
      <c r="A36" s="635" t="s">
        <v>1501</v>
      </c>
      <c r="B36" s="635"/>
      <c r="C36" s="635"/>
      <c r="D36" s="635"/>
      <c r="E36" s="635"/>
      <c r="F36" s="635">
        <v>6552882</v>
      </c>
      <c r="G36" s="635"/>
      <c r="H36" s="635"/>
      <c r="I36" s="635">
        <v>0</v>
      </c>
      <c r="J36" s="636">
        <f>+I36+D36</f>
        <v>0</v>
      </c>
    </row>
    <row r="37" spans="1:10" ht="15" customHeight="1" thickBot="1" x14ac:dyDescent="0.35">
      <c r="A37" s="635" t="s">
        <v>1514</v>
      </c>
      <c r="B37" s="635"/>
      <c r="C37" s="635"/>
      <c r="D37" s="635"/>
      <c r="E37" s="635"/>
      <c r="F37" s="635"/>
      <c r="G37" s="635"/>
      <c r="H37" s="635"/>
      <c r="I37" s="635"/>
      <c r="J37" s="636"/>
    </row>
    <row r="38" spans="1:10" ht="15" customHeight="1" thickBot="1" x14ac:dyDescent="0.35">
      <c r="A38" s="637" t="s">
        <v>1515</v>
      </c>
      <c r="B38" s="637">
        <f>+B35+B36</f>
        <v>165188</v>
      </c>
      <c r="C38" s="637">
        <f t="shared" ref="C38:J38" si="10">+C35+C36</f>
        <v>4840459.3499999996</v>
      </c>
      <c r="D38" s="637">
        <f t="shared" si="10"/>
        <v>5154479.0699999994</v>
      </c>
      <c r="E38" s="637">
        <f t="shared" si="10"/>
        <v>46250.400000000001</v>
      </c>
      <c r="F38" s="637">
        <f t="shared" si="10"/>
        <v>7209231.5899999999</v>
      </c>
      <c r="G38" s="637">
        <f t="shared" si="10"/>
        <v>656349.59</v>
      </c>
      <c r="H38" s="637">
        <f t="shared" si="10"/>
        <v>0</v>
      </c>
      <c r="I38" s="637">
        <f t="shared" si="10"/>
        <v>1358949.5799999998</v>
      </c>
      <c r="J38" s="637">
        <f t="shared" si="10"/>
        <v>6513428.6499999994</v>
      </c>
    </row>
    <row r="39" spans="1:10" ht="15" customHeight="1" thickBot="1" x14ac:dyDescent="0.35">
      <c r="A39" s="637" t="s">
        <v>1516</v>
      </c>
      <c r="B39" s="633"/>
      <c r="C39" s="633"/>
      <c r="D39" s="633"/>
      <c r="E39" s="636"/>
      <c r="F39" s="636"/>
      <c r="G39" s="636"/>
      <c r="H39" s="636"/>
      <c r="I39" s="636"/>
      <c r="J39" s="636">
        <f t="shared" si="6"/>
        <v>0</v>
      </c>
    </row>
    <row r="40" spans="1:10" ht="15" customHeight="1" x14ac:dyDescent="0.3">
      <c r="A40" s="633" t="s">
        <v>1517</v>
      </c>
      <c r="B40" s="633"/>
      <c r="C40" s="633"/>
      <c r="D40" s="633"/>
      <c r="E40" s="636">
        <v>0</v>
      </c>
      <c r="F40" s="636">
        <v>16</v>
      </c>
      <c r="G40" s="636">
        <v>16</v>
      </c>
      <c r="H40" s="636">
        <v>0</v>
      </c>
      <c r="I40" s="636"/>
      <c r="J40" s="636">
        <f t="shared" si="6"/>
        <v>0</v>
      </c>
    </row>
    <row r="41" spans="1:10" ht="15" customHeight="1" thickBot="1" x14ac:dyDescent="0.35">
      <c r="A41" s="633" t="s">
        <v>1518</v>
      </c>
      <c r="B41" s="633"/>
      <c r="C41" s="633"/>
      <c r="D41" s="633"/>
      <c r="E41" s="636">
        <v>0</v>
      </c>
      <c r="F41" s="636">
        <v>0</v>
      </c>
      <c r="G41" s="636">
        <v>0</v>
      </c>
      <c r="H41" s="636">
        <v>0</v>
      </c>
      <c r="I41" s="636"/>
      <c r="J41" s="636">
        <f t="shared" si="6"/>
        <v>0</v>
      </c>
    </row>
    <row r="42" spans="1:10" ht="15" customHeight="1" thickBot="1" x14ac:dyDescent="0.35">
      <c r="A42" s="637" t="s">
        <v>1519</v>
      </c>
      <c r="B42" s="637"/>
      <c r="C42" s="637"/>
      <c r="D42" s="637"/>
      <c r="E42" s="645"/>
      <c r="F42" s="645"/>
      <c r="G42" s="645"/>
      <c r="H42" s="645"/>
      <c r="I42" s="645"/>
      <c r="J42" s="645"/>
    </row>
    <row r="43" spans="1:10" ht="15" customHeight="1" x14ac:dyDescent="0.3">
      <c r="A43" s="633" t="s">
        <v>1520</v>
      </c>
      <c r="B43" s="633"/>
      <c r="C43" s="633"/>
      <c r="D43" s="633"/>
      <c r="E43" s="636"/>
      <c r="F43" s="636">
        <v>788.68</v>
      </c>
      <c r="G43" s="636">
        <v>788.68</v>
      </c>
      <c r="H43" s="636">
        <v>0</v>
      </c>
      <c r="I43" s="636"/>
      <c r="J43" s="636">
        <f t="shared" si="6"/>
        <v>0</v>
      </c>
    </row>
    <row r="44" spans="1:10" ht="15" customHeight="1" thickBot="1" x14ac:dyDescent="0.35">
      <c r="A44" s="633" t="s">
        <v>1518</v>
      </c>
      <c r="B44" s="633"/>
      <c r="C44" s="633"/>
      <c r="D44" s="633"/>
      <c r="E44" s="636"/>
      <c r="F44" s="636"/>
      <c r="G44" s="636"/>
      <c r="H44" s="636"/>
      <c r="I44" s="636"/>
      <c r="J44" s="636">
        <f t="shared" si="6"/>
        <v>0</v>
      </c>
    </row>
    <row r="45" spans="1:10" ht="15" customHeight="1" thickBot="1" x14ac:dyDescent="0.35">
      <c r="A45" s="637" t="s">
        <v>1500</v>
      </c>
      <c r="B45" s="637">
        <f>SUM(B39:B44)</f>
        <v>0</v>
      </c>
      <c r="C45" s="637">
        <f t="shared" ref="C45:J45" si="11">SUM(C39:C44)</f>
        <v>0</v>
      </c>
      <c r="D45" s="637">
        <f t="shared" si="11"/>
        <v>0</v>
      </c>
      <c r="E45" s="637">
        <f t="shared" si="11"/>
        <v>0</v>
      </c>
      <c r="F45" s="637">
        <f t="shared" si="11"/>
        <v>804.68</v>
      </c>
      <c r="G45" s="637">
        <f t="shared" si="11"/>
        <v>804.68</v>
      </c>
      <c r="H45" s="637">
        <f t="shared" si="11"/>
        <v>0</v>
      </c>
      <c r="I45" s="637">
        <f t="shared" si="11"/>
        <v>0</v>
      </c>
      <c r="J45" s="637">
        <f t="shared" si="11"/>
        <v>0</v>
      </c>
    </row>
    <row r="46" spans="1:10" ht="15" customHeight="1" thickBot="1" x14ac:dyDescent="0.35">
      <c r="A46" s="637" t="s">
        <v>1515</v>
      </c>
      <c r="B46" s="637">
        <f>+B38-B45</f>
        <v>165188</v>
      </c>
      <c r="C46" s="637">
        <f t="shared" ref="C46:J46" si="12">+C38-C45</f>
        <v>4840459.3499999996</v>
      </c>
      <c r="D46" s="637">
        <f t="shared" si="12"/>
        <v>5154479.0699999994</v>
      </c>
      <c r="E46" s="637">
        <f t="shared" si="12"/>
        <v>46250.400000000001</v>
      </c>
      <c r="F46" s="637">
        <f t="shared" si="12"/>
        <v>7208426.9100000001</v>
      </c>
      <c r="G46" s="637">
        <f t="shared" si="12"/>
        <v>655544.90999999992</v>
      </c>
      <c r="H46" s="637">
        <f t="shared" si="12"/>
        <v>0</v>
      </c>
      <c r="I46" s="637">
        <f t="shared" si="12"/>
        <v>1358949.5799999998</v>
      </c>
      <c r="J46" s="637">
        <f t="shared" si="12"/>
        <v>6513428.6499999994</v>
      </c>
    </row>
    <row r="47" spans="1:10" ht="15" customHeight="1" thickBot="1" x14ac:dyDescent="0.35">
      <c r="A47" s="646" t="s">
        <v>1521</v>
      </c>
      <c r="B47" s="646"/>
      <c r="C47" s="646"/>
      <c r="D47" s="646"/>
      <c r="E47" s="646"/>
      <c r="F47" s="646"/>
      <c r="G47" s="646"/>
      <c r="H47" s="646"/>
      <c r="I47" s="646"/>
      <c r="J47" s="646"/>
    </row>
    <row r="48" spans="1:10" ht="15" customHeight="1" thickBot="1" x14ac:dyDescent="0.35">
      <c r="A48" s="643" t="s">
        <v>656</v>
      </c>
      <c r="B48" s="647" t="s">
        <v>1522</v>
      </c>
      <c r="C48" s="648" t="s">
        <v>1523</v>
      </c>
      <c r="D48" s="649"/>
      <c r="E48" s="649"/>
      <c r="F48" s="650"/>
      <c r="G48" s="648" t="s">
        <v>1524</v>
      </c>
      <c r="H48" s="649"/>
      <c r="I48" s="650"/>
      <c r="J48" s="651" t="s">
        <v>1525</v>
      </c>
    </row>
    <row r="49" spans="1:10" ht="15" customHeight="1" thickBot="1" x14ac:dyDescent="0.35">
      <c r="A49" s="652" t="s">
        <v>1526</v>
      </c>
      <c r="B49" s="653"/>
      <c r="C49" s="654" t="s">
        <v>88</v>
      </c>
      <c r="D49" s="654" t="s">
        <v>89</v>
      </c>
      <c r="E49" s="654" t="s">
        <v>90</v>
      </c>
      <c r="F49" s="654" t="s">
        <v>98</v>
      </c>
      <c r="G49" s="652" t="s">
        <v>668</v>
      </c>
      <c r="H49" s="654" t="s">
        <v>1527</v>
      </c>
      <c r="I49" s="654" t="s">
        <v>834</v>
      </c>
      <c r="J49" s="652" t="s">
        <v>668</v>
      </c>
    </row>
    <row r="50" spans="1:10" ht="15" customHeight="1" x14ac:dyDescent="0.3">
      <c r="A50" s="635" t="s">
        <v>88</v>
      </c>
      <c r="B50" s="636">
        <f>+E19</f>
        <v>146226.26</v>
      </c>
      <c r="C50" s="635">
        <f>+E46</f>
        <v>46250.400000000001</v>
      </c>
      <c r="D50" s="635">
        <v>0</v>
      </c>
      <c r="E50" s="635">
        <v>0</v>
      </c>
      <c r="F50" s="635"/>
      <c r="G50" s="636">
        <f>+B50-C50-D50-E50</f>
        <v>99975.860000000015</v>
      </c>
      <c r="H50" s="636">
        <f>+E58</f>
        <v>99975.86</v>
      </c>
      <c r="I50" s="636">
        <v>0</v>
      </c>
      <c r="J50" s="636">
        <f>+G50-H50-I50</f>
        <v>1.4551915228366852E-11</v>
      </c>
    </row>
    <row r="51" spans="1:10" ht="15" customHeight="1" x14ac:dyDescent="0.3">
      <c r="A51" s="635" t="s">
        <v>89</v>
      </c>
      <c r="B51" s="636">
        <f>+F19</f>
        <v>921460.35</v>
      </c>
      <c r="C51" s="635">
        <v>0</v>
      </c>
      <c r="D51" s="635">
        <f>+F46</f>
        <v>7208426.9100000001</v>
      </c>
      <c r="E51" s="635"/>
      <c r="F51" s="635"/>
      <c r="G51" s="636">
        <f>+B51-C51-D51</f>
        <v>-6286966.5600000005</v>
      </c>
      <c r="H51" s="636">
        <f>+E59</f>
        <v>265915.44</v>
      </c>
      <c r="I51" s="636">
        <v>0</v>
      </c>
      <c r="J51" s="636">
        <f t="shared" ref="J51:J53" si="13">+G51-H51-I51</f>
        <v>-6552882.0000000009</v>
      </c>
    </row>
    <row r="52" spans="1:10" ht="15" customHeight="1" x14ac:dyDescent="0.3">
      <c r="A52" s="635" t="s">
        <v>90</v>
      </c>
      <c r="B52" s="636">
        <f>+G19</f>
        <v>921460.35</v>
      </c>
      <c r="C52" s="635">
        <v>0</v>
      </c>
      <c r="D52" s="635"/>
      <c r="E52" s="635">
        <f>+G46</f>
        <v>655544.90999999992</v>
      </c>
      <c r="F52" s="635"/>
      <c r="G52" s="636">
        <f>+B52-C52-E52</f>
        <v>265915.44000000006</v>
      </c>
      <c r="H52" s="636">
        <f>+E60</f>
        <v>265915.44</v>
      </c>
      <c r="I52" s="636">
        <v>0</v>
      </c>
      <c r="J52" s="636">
        <f t="shared" si="13"/>
        <v>5.8207660913467407E-11</v>
      </c>
    </row>
    <row r="53" spans="1:10" ht="15" customHeight="1" thickBot="1" x14ac:dyDescent="0.35">
      <c r="A53" s="635" t="s">
        <v>98</v>
      </c>
      <c r="B53" s="636">
        <f>+H19</f>
        <v>0</v>
      </c>
      <c r="C53" s="635"/>
      <c r="D53" s="635"/>
      <c r="E53" s="635"/>
      <c r="F53" s="635">
        <f>+H46</f>
        <v>0</v>
      </c>
      <c r="G53" s="636">
        <f>+B53-F53</f>
        <v>0</v>
      </c>
      <c r="H53" s="636">
        <f>+E61</f>
        <v>0</v>
      </c>
      <c r="I53" s="636"/>
      <c r="J53" s="636">
        <f t="shared" si="13"/>
        <v>0</v>
      </c>
    </row>
    <row r="54" spans="1:10" ht="15" customHeight="1" thickBot="1" x14ac:dyDescent="0.35">
      <c r="A54" s="655" t="s">
        <v>622</v>
      </c>
      <c r="B54" s="645">
        <f t="shared" ref="B54:J54" si="14">SUM(B50:B53)</f>
        <v>1989146.96</v>
      </c>
      <c r="C54" s="656">
        <f t="shared" si="14"/>
        <v>46250.400000000001</v>
      </c>
      <c r="D54" s="656">
        <f t="shared" si="14"/>
        <v>7208426.9100000001</v>
      </c>
      <c r="E54" s="656">
        <f t="shared" si="14"/>
        <v>655544.90999999992</v>
      </c>
      <c r="F54" s="656">
        <f t="shared" si="14"/>
        <v>0</v>
      </c>
      <c r="G54" s="656">
        <f t="shared" si="14"/>
        <v>-5921075.2599999998</v>
      </c>
      <c r="H54" s="656">
        <f t="shared" si="14"/>
        <v>631806.74</v>
      </c>
      <c r="I54" s="656">
        <f t="shared" si="14"/>
        <v>0</v>
      </c>
      <c r="J54" s="656">
        <f t="shared" si="14"/>
        <v>-6552882.0000000009</v>
      </c>
    </row>
    <row r="55" spans="1:10" ht="15" customHeight="1" thickBot="1" x14ac:dyDescent="0.35">
      <c r="A55" s="646" t="s">
        <v>1528</v>
      </c>
      <c r="B55" s="646"/>
      <c r="C55" s="646"/>
      <c r="D55" s="646"/>
      <c r="E55" s="646"/>
      <c r="F55" s="646"/>
      <c r="G55" s="646"/>
      <c r="H55" s="646"/>
      <c r="I55" s="646"/>
      <c r="J55" s="646"/>
    </row>
    <row r="56" spans="1:10" ht="15" customHeight="1" x14ac:dyDescent="0.3">
      <c r="A56" s="643" t="s">
        <v>656</v>
      </c>
      <c r="B56" s="657" t="s">
        <v>1529</v>
      </c>
      <c r="C56" s="658" t="s">
        <v>806</v>
      </c>
      <c r="D56" s="657" t="s">
        <v>93</v>
      </c>
      <c r="E56" s="657" t="s">
        <v>1530</v>
      </c>
      <c r="F56" s="657" t="s">
        <v>93</v>
      </c>
      <c r="G56" s="659" t="s">
        <v>1522</v>
      </c>
      <c r="H56" s="659" t="s">
        <v>1531</v>
      </c>
      <c r="I56" s="659" t="s">
        <v>1532</v>
      </c>
      <c r="J56" s="659" t="s">
        <v>1486</v>
      </c>
    </row>
    <row r="57" spans="1:10" ht="15" customHeight="1" thickBot="1" x14ac:dyDescent="0.35">
      <c r="A57" s="652" t="s">
        <v>1526</v>
      </c>
      <c r="B57" s="660" t="s">
        <v>1527</v>
      </c>
      <c r="C57" s="661" t="s">
        <v>1533</v>
      </c>
      <c r="D57" s="660" t="s">
        <v>1527</v>
      </c>
      <c r="E57" s="660" t="s">
        <v>1527</v>
      </c>
      <c r="F57" s="660" t="s">
        <v>1534</v>
      </c>
      <c r="G57" s="652"/>
      <c r="H57" s="652"/>
      <c r="I57" s="652"/>
      <c r="J57" s="652"/>
    </row>
    <row r="58" spans="1:10" ht="15" customHeight="1" x14ac:dyDescent="0.3">
      <c r="A58" s="662" t="s">
        <v>88</v>
      </c>
      <c r="B58" s="634">
        <v>0</v>
      </c>
      <c r="C58" s="663">
        <v>100000</v>
      </c>
      <c r="D58" s="664">
        <f>+C58+B58</f>
        <v>100000</v>
      </c>
      <c r="E58" s="665">
        <v>99975.86</v>
      </c>
      <c r="F58" s="633">
        <f>+D58-E58</f>
        <v>24.139999999999418</v>
      </c>
      <c r="G58" s="636">
        <f>+G50</f>
        <v>99975.860000000015</v>
      </c>
      <c r="H58" s="636">
        <v>500</v>
      </c>
      <c r="I58" s="636">
        <v>200</v>
      </c>
      <c r="J58" s="636">
        <f>+I58+H58+G58</f>
        <v>100675.86000000002</v>
      </c>
    </row>
    <row r="59" spans="1:10" ht="15" customHeight="1" x14ac:dyDescent="0.3">
      <c r="A59" s="662" t="s">
        <v>89</v>
      </c>
      <c r="B59" s="634">
        <v>0</v>
      </c>
      <c r="C59" s="663">
        <f>257738+12262</f>
        <v>270000</v>
      </c>
      <c r="D59" s="664">
        <f>+C59+B59</f>
        <v>270000</v>
      </c>
      <c r="E59" s="665">
        <v>265915.44</v>
      </c>
      <c r="F59" s="633">
        <f t="shared" ref="F59:F61" si="15">+D59-E59</f>
        <v>4084.5599999999977</v>
      </c>
      <c r="G59" s="636">
        <f>+G51</f>
        <v>-6286966.5600000005</v>
      </c>
      <c r="H59" s="636"/>
      <c r="I59" s="636"/>
      <c r="J59" s="636">
        <f t="shared" ref="J59:J61" si="16">+I59+H59+G59</f>
        <v>-6286966.5600000005</v>
      </c>
    </row>
    <row r="60" spans="1:10" ht="15" customHeight="1" x14ac:dyDescent="0.3">
      <c r="A60" s="662" t="s">
        <v>90</v>
      </c>
      <c r="B60" s="634">
        <v>0</v>
      </c>
      <c r="C60" s="663">
        <f>257738+12262</f>
        <v>270000</v>
      </c>
      <c r="D60" s="664">
        <f>+C60+B60</f>
        <v>270000</v>
      </c>
      <c r="E60" s="665">
        <v>265915.44</v>
      </c>
      <c r="F60" s="633">
        <f t="shared" si="15"/>
        <v>4084.5599999999977</v>
      </c>
      <c r="G60" s="636">
        <f>+G52</f>
        <v>265915.44000000006</v>
      </c>
      <c r="H60" s="636"/>
      <c r="I60" s="636"/>
      <c r="J60" s="636">
        <f t="shared" si="16"/>
        <v>265915.44000000006</v>
      </c>
    </row>
    <row r="61" spans="1:10" ht="15" customHeight="1" thickBot="1" x14ac:dyDescent="0.35">
      <c r="A61" s="662" t="s">
        <v>98</v>
      </c>
      <c r="B61" s="634">
        <v>0</v>
      </c>
      <c r="C61" s="663">
        <v>0</v>
      </c>
      <c r="D61" s="664">
        <f>+C61+B61</f>
        <v>0</v>
      </c>
      <c r="E61" s="665"/>
      <c r="F61" s="633">
        <f t="shared" si="15"/>
        <v>0</v>
      </c>
      <c r="G61" s="636">
        <f>+G53</f>
        <v>0</v>
      </c>
      <c r="H61" s="636"/>
      <c r="I61" s="636"/>
      <c r="J61" s="636">
        <f t="shared" si="16"/>
        <v>0</v>
      </c>
    </row>
    <row r="62" spans="1:10" ht="15" customHeight="1" thickBot="1" x14ac:dyDescent="0.35">
      <c r="A62" s="655" t="s">
        <v>622</v>
      </c>
      <c r="B62" s="645">
        <f>SUM(B58:B61)</f>
        <v>0</v>
      </c>
      <c r="C62" s="656">
        <f t="shared" ref="C62:J62" si="17">SUM(C58:C61)</f>
        <v>640000</v>
      </c>
      <c r="D62" s="656">
        <f t="shared" si="17"/>
        <v>640000</v>
      </c>
      <c r="E62" s="656">
        <f t="shared" si="17"/>
        <v>631806.74</v>
      </c>
      <c r="F62" s="656">
        <f t="shared" si="17"/>
        <v>8193.2599999999948</v>
      </c>
      <c r="G62" s="656">
        <f t="shared" si="17"/>
        <v>-5921075.2599999998</v>
      </c>
      <c r="H62" s="656">
        <f t="shared" si="17"/>
        <v>500</v>
      </c>
      <c r="I62" s="656">
        <f t="shared" si="17"/>
        <v>200</v>
      </c>
      <c r="J62" s="656">
        <f t="shared" si="17"/>
        <v>-5920375.2599999998</v>
      </c>
    </row>
  </sheetData>
  <mergeCells count="7">
    <mergeCell ref="A55:J55"/>
    <mergeCell ref="A2:J2"/>
    <mergeCell ref="A20:J20"/>
    <mergeCell ref="A47:J47"/>
    <mergeCell ref="B48:B49"/>
    <mergeCell ref="C48:F48"/>
    <mergeCell ref="G48:I4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9"/>
  <sheetViews>
    <sheetView workbookViewId="0">
      <selection activeCell="G6" sqref="G6"/>
    </sheetView>
  </sheetViews>
  <sheetFormatPr defaultRowHeight="14.4" x14ac:dyDescent="0.3"/>
  <cols>
    <col min="1" max="1" width="28.33203125" bestFit="1" customWidth="1"/>
    <col min="2" max="2" width="11.33203125" bestFit="1" customWidth="1"/>
    <col min="3" max="3" width="12" bestFit="1" customWidth="1"/>
    <col min="4" max="4" width="14.33203125" bestFit="1" customWidth="1"/>
    <col min="5" max="5" width="4.6640625" bestFit="1" customWidth="1"/>
    <col min="6" max="6" width="12.44140625" bestFit="1" customWidth="1"/>
    <col min="7" max="7" width="16.88671875" bestFit="1" customWidth="1"/>
    <col min="9" max="9" width="15.6640625" bestFit="1" customWidth="1"/>
    <col min="10" max="10" width="23.44140625" bestFit="1" customWidth="1"/>
    <col min="11" max="11" width="15.33203125" bestFit="1" customWidth="1"/>
  </cols>
  <sheetData>
    <row r="3" spans="1:11" x14ac:dyDescent="0.3">
      <c r="A3" s="203" t="s">
        <v>622</v>
      </c>
      <c r="B3" s="203"/>
      <c r="C3" s="203">
        <f>SUM(C5:C500)</f>
        <v>0</v>
      </c>
      <c r="D3" s="203"/>
      <c r="E3" s="203"/>
      <c r="F3" s="203">
        <f t="shared" ref="F3:K3" si="0">SUM(F5:F500)</f>
        <v>0</v>
      </c>
      <c r="G3" s="203">
        <f t="shared" si="0"/>
        <v>0</v>
      </c>
      <c r="H3" s="203">
        <f t="shared" si="0"/>
        <v>0</v>
      </c>
      <c r="I3" s="203">
        <f t="shared" si="0"/>
        <v>0</v>
      </c>
      <c r="J3" s="203">
        <f t="shared" si="0"/>
        <v>0</v>
      </c>
      <c r="K3" s="203">
        <f t="shared" si="0"/>
        <v>0</v>
      </c>
    </row>
    <row r="4" spans="1:11" x14ac:dyDescent="0.3">
      <c r="A4" s="204" t="s">
        <v>138</v>
      </c>
      <c r="B4" s="205" t="s">
        <v>139</v>
      </c>
      <c r="C4" s="205" t="s">
        <v>140</v>
      </c>
      <c r="D4" s="205" t="s">
        <v>141</v>
      </c>
      <c r="E4" s="206" t="s">
        <v>0</v>
      </c>
      <c r="F4" s="206" t="s">
        <v>1</v>
      </c>
      <c r="G4" s="192" t="s">
        <v>133</v>
      </c>
      <c r="H4" s="206" t="s">
        <v>134</v>
      </c>
      <c r="I4" s="206" t="s">
        <v>135</v>
      </c>
      <c r="J4" s="194" t="s">
        <v>136</v>
      </c>
      <c r="K4" s="194" t="s">
        <v>137</v>
      </c>
    </row>
    <row r="5" spans="1:11" x14ac:dyDescent="0.3">
      <c r="A5" s="132"/>
      <c r="B5" s="132"/>
      <c r="C5" s="132"/>
      <c r="D5" s="132"/>
      <c r="E5" s="132"/>
      <c r="F5" s="132"/>
      <c r="G5" s="132">
        <v>0</v>
      </c>
      <c r="H5" s="132"/>
      <c r="I5" s="132"/>
      <c r="J5" s="132"/>
      <c r="K5" s="132"/>
    </row>
    <row r="6" spans="1:11" x14ac:dyDescent="0.3">
      <c r="A6" s="132"/>
      <c r="B6" s="132"/>
      <c r="C6" s="132"/>
      <c r="D6" s="132"/>
      <c r="E6" s="132"/>
      <c r="F6" s="132"/>
      <c r="G6" s="132"/>
      <c r="H6" s="132"/>
      <c r="I6" s="132"/>
      <c r="J6" s="132"/>
      <c r="K6" s="132"/>
    </row>
    <row r="7" spans="1:11" x14ac:dyDescent="0.3">
      <c r="A7" s="132"/>
      <c r="B7" s="132"/>
      <c r="C7" s="132"/>
      <c r="D7" s="132"/>
      <c r="E7" s="132"/>
      <c r="F7" s="132"/>
      <c r="G7" s="132"/>
      <c r="H7" s="132"/>
      <c r="I7" s="132"/>
      <c r="J7" s="132"/>
      <c r="K7" s="132"/>
    </row>
    <row r="8" spans="1:11" x14ac:dyDescent="0.3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</row>
    <row r="9" spans="1:11" x14ac:dyDescent="0.3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</row>
    <row r="10" spans="1:11" x14ac:dyDescent="0.3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</row>
    <row r="11" spans="1:11" x14ac:dyDescent="0.3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</row>
    <row r="12" spans="1:11" x14ac:dyDescent="0.3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</row>
    <row r="13" spans="1:11" x14ac:dyDescent="0.3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</row>
    <row r="14" spans="1:11" x14ac:dyDescent="0.3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</row>
    <row r="15" spans="1:11" x14ac:dyDescent="0.3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</row>
    <row r="16" spans="1:11" x14ac:dyDescent="0.3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</row>
    <row r="17" spans="1:11" x14ac:dyDescent="0.3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</row>
    <row r="18" spans="1:11" x14ac:dyDescent="0.3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</row>
    <row r="19" spans="1:11" x14ac:dyDescent="0.3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4"/>
  <sheetViews>
    <sheetView workbookViewId="0">
      <selection activeCell="I28" sqref="H28:I31"/>
    </sheetView>
  </sheetViews>
  <sheetFormatPr defaultRowHeight="14.4" x14ac:dyDescent="0.3"/>
  <sheetData>
    <row r="4" spans="1:4" x14ac:dyDescent="0.3">
      <c r="A4" s="62" t="s">
        <v>141</v>
      </c>
      <c r="B4" s="38" t="s">
        <v>108</v>
      </c>
      <c r="C4" s="63" t="s">
        <v>162</v>
      </c>
      <c r="D4" s="51" t="s">
        <v>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4"/>
  <sheetViews>
    <sheetView workbookViewId="0">
      <selection activeCell="H23" sqref="H23"/>
    </sheetView>
  </sheetViews>
  <sheetFormatPr defaultRowHeight="14.4" x14ac:dyDescent="0.3"/>
  <cols>
    <col min="1" max="1" width="14.33203125" bestFit="1" customWidth="1"/>
    <col min="2" max="2" width="11.33203125" bestFit="1" customWidth="1"/>
    <col min="3" max="3" width="17.5546875" bestFit="1" customWidth="1"/>
  </cols>
  <sheetData>
    <row r="4" spans="1:4" x14ac:dyDescent="0.3">
      <c r="A4" s="62" t="s">
        <v>141</v>
      </c>
      <c r="B4" s="38" t="s">
        <v>108</v>
      </c>
      <c r="C4" s="63" t="s">
        <v>162</v>
      </c>
      <c r="D4" s="51" t="s">
        <v>2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workbookViewId="0">
      <selection activeCell="L21" sqref="L21"/>
    </sheetView>
  </sheetViews>
  <sheetFormatPr defaultRowHeight="14.4" x14ac:dyDescent="0.3"/>
  <sheetData>
    <row r="1" spans="1:15" ht="15" thickTop="1" x14ac:dyDescent="0.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9"/>
    </row>
    <row r="2" spans="1:15" x14ac:dyDescent="0.3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2"/>
      <c r="L2" s="121"/>
      <c r="M2" s="121"/>
      <c r="N2" s="121"/>
      <c r="O2" s="123"/>
    </row>
    <row r="3" spans="1:15" ht="15" thickBot="1" x14ac:dyDescent="0.35">
      <c r="A3" s="120"/>
      <c r="B3" s="121"/>
      <c r="C3" s="121" t="s">
        <v>626</v>
      </c>
      <c r="D3" s="121"/>
      <c r="E3" s="121"/>
      <c r="F3" s="121"/>
      <c r="G3" s="121"/>
      <c r="H3" s="121"/>
      <c r="I3" s="121"/>
      <c r="J3" s="121"/>
      <c r="K3" s="122"/>
      <c r="L3" s="121"/>
      <c r="M3" s="121"/>
      <c r="N3" s="121"/>
      <c r="O3" s="123"/>
    </row>
    <row r="4" spans="1:15" ht="23.4" thickBot="1" x14ac:dyDescent="0.35">
      <c r="A4" s="124" t="s">
        <v>627</v>
      </c>
      <c r="B4" s="91"/>
      <c r="C4" s="91"/>
      <c r="D4" s="91"/>
      <c r="E4" s="91"/>
      <c r="F4" s="91"/>
      <c r="G4" s="91"/>
      <c r="H4" s="91"/>
      <c r="I4" s="91"/>
      <c r="J4" s="91"/>
      <c r="K4" s="156" t="s">
        <v>622</v>
      </c>
      <c r="L4" s="112">
        <f>SUM(L7:L14)</f>
        <v>0</v>
      </c>
      <c r="M4" s="112">
        <f t="shared" ref="M4:O4" si="0">SUM(M7:M14)</f>
        <v>0</v>
      </c>
      <c r="N4" s="112">
        <f t="shared" si="0"/>
        <v>0</v>
      </c>
      <c r="O4" s="112">
        <f t="shared" si="0"/>
        <v>0</v>
      </c>
    </row>
    <row r="5" spans="1:15" x14ac:dyDescent="0.3">
      <c r="A5" s="94" t="s">
        <v>614</v>
      </c>
      <c r="B5" s="95" t="s">
        <v>615</v>
      </c>
      <c r="C5" s="95" t="s">
        <v>616</v>
      </c>
      <c r="D5" s="95" t="s">
        <v>617</v>
      </c>
      <c r="E5" s="95" t="s">
        <v>8</v>
      </c>
      <c r="F5" s="95" t="s">
        <v>618</v>
      </c>
      <c r="G5" s="95" t="s">
        <v>13</v>
      </c>
      <c r="H5" s="95" t="s">
        <v>8</v>
      </c>
      <c r="I5" s="96" t="s">
        <v>619</v>
      </c>
      <c r="J5" s="97" t="s">
        <v>78</v>
      </c>
      <c r="K5" s="98" t="s">
        <v>97</v>
      </c>
      <c r="L5" s="99" t="s">
        <v>88</v>
      </c>
      <c r="M5" s="100" t="s">
        <v>89</v>
      </c>
      <c r="N5" s="100" t="s">
        <v>90</v>
      </c>
      <c r="O5" s="101" t="s">
        <v>98</v>
      </c>
    </row>
    <row r="6" spans="1:15" ht="15" thickBot="1" x14ac:dyDescent="0.35">
      <c r="A6" s="102"/>
      <c r="B6" s="103"/>
      <c r="C6" s="103"/>
      <c r="D6" s="103"/>
      <c r="E6" s="103" t="s">
        <v>91</v>
      </c>
      <c r="F6" s="103" t="s">
        <v>11</v>
      </c>
      <c r="G6" s="103" t="s">
        <v>620</v>
      </c>
      <c r="H6" s="103" t="s">
        <v>68</v>
      </c>
      <c r="I6" s="88"/>
      <c r="J6" s="104" t="s">
        <v>0</v>
      </c>
      <c r="K6" s="105" t="s">
        <v>91</v>
      </c>
      <c r="L6" s="103" t="s">
        <v>91</v>
      </c>
      <c r="M6" s="103" t="s">
        <v>91</v>
      </c>
      <c r="N6" s="103" t="s">
        <v>91</v>
      </c>
      <c r="O6" s="106" t="s">
        <v>91</v>
      </c>
    </row>
    <row r="7" spans="1:15" x14ac:dyDescent="0.3">
      <c r="A7" s="107" t="s">
        <v>621</v>
      </c>
      <c r="B7" s="3"/>
      <c r="C7" s="3"/>
      <c r="D7" s="3"/>
      <c r="E7" s="108">
        <v>156130</v>
      </c>
      <c r="F7" s="3"/>
      <c r="G7" s="3"/>
      <c r="H7" s="3"/>
      <c r="I7" s="3"/>
      <c r="J7" s="89"/>
      <c r="K7" s="109"/>
      <c r="L7" s="3">
        <v>0</v>
      </c>
      <c r="M7" s="3">
        <v>0</v>
      </c>
      <c r="N7" s="3">
        <v>0</v>
      </c>
      <c r="O7" s="110"/>
    </row>
    <row r="8" spans="1:15" x14ac:dyDescent="0.3">
      <c r="A8" s="107" t="s">
        <v>621</v>
      </c>
      <c r="B8" s="3"/>
      <c r="C8" s="3"/>
      <c r="D8" s="3"/>
      <c r="E8" s="108">
        <v>3160</v>
      </c>
      <c r="F8" s="3"/>
      <c r="G8" s="3"/>
      <c r="H8" s="3"/>
      <c r="I8" s="3"/>
      <c r="J8" s="89"/>
      <c r="K8" s="109"/>
      <c r="L8" s="3"/>
      <c r="M8" s="3"/>
      <c r="N8" s="3"/>
      <c r="O8" s="110"/>
    </row>
    <row r="9" spans="1:15" x14ac:dyDescent="0.3">
      <c r="A9" s="10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10"/>
    </row>
    <row r="10" spans="1:15" x14ac:dyDescent="0.3">
      <c r="A10" s="107"/>
      <c r="B10" s="3"/>
      <c r="C10" s="3"/>
      <c r="D10" s="3"/>
      <c r="E10" s="108"/>
      <c r="F10" s="3"/>
      <c r="G10" s="3"/>
      <c r="H10" s="3"/>
      <c r="I10" s="3"/>
      <c r="J10" s="3"/>
      <c r="K10" s="3"/>
      <c r="L10" s="3"/>
      <c r="M10" s="3"/>
      <c r="N10" s="3"/>
      <c r="O10" s="110"/>
    </row>
    <row r="11" spans="1:15" x14ac:dyDescent="0.3">
      <c r="A11" s="10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10"/>
    </row>
    <row r="12" spans="1:15" x14ac:dyDescent="0.3">
      <c r="A12" s="10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10"/>
    </row>
    <row r="13" spans="1:15" x14ac:dyDescent="0.3">
      <c r="A13" s="10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10"/>
    </row>
    <row r="14" spans="1:15" ht="15" thickBot="1" x14ac:dyDescent="0.35">
      <c r="A14" s="10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10"/>
    </row>
    <row r="15" spans="1:15" ht="15" thickBot="1" x14ac:dyDescent="0.35">
      <c r="A15" s="111" t="s">
        <v>622</v>
      </c>
      <c r="B15" s="112"/>
      <c r="C15" s="112"/>
      <c r="D15" s="112"/>
      <c r="E15" s="113">
        <f>SUM(E7:E14)</f>
        <v>159290</v>
      </c>
      <c r="F15" s="112"/>
      <c r="G15" s="112"/>
      <c r="H15" s="112"/>
      <c r="I15" s="112"/>
      <c r="J15" s="112"/>
      <c r="K15" s="112"/>
      <c r="L15" s="112"/>
      <c r="M15" s="112"/>
      <c r="N15" s="112"/>
      <c r="O15" s="114"/>
    </row>
    <row r="16" spans="1:15" ht="15" thickBot="1" x14ac:dyDescent="0.35"/>
    <row r="17" spans="1:15" ht="23.4" thickBot="1" x14ac:dyDescent="0.35">
      <c r="A17" s="124" t="s">
        <v>628</v>
      </c>
      <c r="B17" s="91"/>
      <c r="C17" s="91"/>
      <c r="D17" s="91"/>
      <c r="E17" s="91"/>
      <c r="F17" s="91"/>
      <c r="G17" s="91"/>
      <c r="H17" s="91"/>
      <c r="I17" s="91"/>
      <c r="J17" s="91"/>
      <c r="K17" s="156" t="s">
        <v>622</v>
      </c>
      <c r="L17" s="112">
        <f>SUM(L20:L27)</f>
        <v>0</v>
      </c>
      <c r="M17" s="112">
        <f t="shared" ref="M17:O17" si="1">SUM(M20:M27)</f>
        <v>0</v>
      </c>
      <c r="N17" s="112">
        <f t="shared" si="1"/>
        <v>0</v>
      </c>
      <c r="O17" s="112">
        <f t="shared" si="1"/>
        <v>0</v>
      </c>
    </row>
    <row r="18" spans="1:15" x14ac:dyDescent="0.3">
      <c r="A18" s="94" t="s">
        <v>614</v>
      </c>
      <c r="B18" s="95" t="s">
        <v>615</v>
      </c>
      <c r="C18" s="95" t="s">
        <v>616</v>
      </c>
      <c r="D18" s="95" t="s">
        <v>617</v>
      </c>
      <c r="E18" s="95" t="s">
        <v>8</v>
      </c>
      <c r="F18" s="95" t="s">
        <v>618</v>
      </c>
      <c r="G18" s="95" t="s">
        <v>13</v>
      </c>
      <c r="H18" s="95" t="s">
        <v>8</v>
      </c>
      <c r="I18" s="96" t="s">
        <v>619</v>
      </c>
      <c r="J18" s="97" t="s">
        <v>78</v>
      </c>
      <c r="K18" s="98" t="s">
        <v>97</v>
      </c>
      <c r="L18" s="99" t="s">
        <v>88</v>
      </c>
      <c r="M18" s="100" t="s">
        <v>89</v>
      </c>
      <c r="N18" s="100" t="s">
        <v>90</v>
      </c>
      <c r="O18" s="101" t="s">
        <v>98</v>
      </c>
    </row>
    <row r="19" spans="1:15" ht="15" thickBot="1" x14ac:dyDescent="0.35">
      <c r="A19" s="102"/>
      <c r="B19" s="103"/>
      <c r="C19" s="103"/>
      <c r="D19" s="103"/>
      <c r="E19" s="103" t="s">
        <v>91</v>
      </c>
      <c r="F19" s="103" t="s">
        <v>11</v>
      </c>
      <c r="G19" s="103" t="s">
        <v>620</v>
      </c>
      <c r="H19" s="103" t="s">
        <v>68</v>
      </c>
      <c r="I19" s="88"/>
      <c r="J19" s="104" t="s">
        <v>0</v>
      </c>
      <c r="K19" s="105" t="s">
        <v>91</v>
      </c>
      <c r="L19" s="103" t="s">
        <v>91</v>
      </c>
      <c r="M19" s="103" t="s">
        <v>91</v>
      </c>
      <c r="N19" s="103" t="s">
        <v>91</v>
      </c>
      <c r="O19" s="106" t="s">
        <v>91</v>
      </c>
    </row>
    <row r="20" spans="1:15" x14ac:dyDescent="0.3">
      <c r="A20" s="107" t="s">
        <v>621</v>
      </c>
      <c r="B20" s="3"/>
      <c r="C20" s="3"/>
      <c r="D20" s="3"/>
      <c r="E20" s="108">
        <v>156130</v>
      </c>
      <c r="F20" s="3"/>
      <c r="G20" s="3"/>
      <c r="H20" s="3"/>
      <c r="I20" s="3"/>
      <c r="J20" s="89"/>
      <c r="K20" s="109"/>
      <c r="L20" s="3">
        <v>0</v>
      </c>
      <c r="M20" s="3"/>
      <c r="N20" s="3"/>
      <c r="O20" s="110"/>
    </row>
    <row r="21" spans="1:15" x14ac:dyDescent="0.3">
      <c r="A21" s="107" t="s">
        <v>621</v>
      </c>
      <c r="B21" s="3"/>
      <c r="C21" s="3"/>
      <c r="D21" s="3"/>
      <c r="E21" s="108">
        <v>3160</v>
      </c>
      <c r="F21" s="3"/>
      <c r="G21" s="3"/>
      <c r="H21" s="3"/>
      <c r="I21" s="3"/>
      <c r="J21" s="89"/>
      <c r="K21" s="109"/>
      <c r="L21" s="3"/>
      <c r="M21" s="3"/>
      <c r="N21" s="3"/>
      <c r="O21" s="110"/>
    </row>
    <row r="22" spans="1:15" x14ac:dyDescent="0.3">
      <c r="A22" s="10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10"/>
    </row>
    <row r="23" spans="1:15" x14ac:dyDescent="0.3">
      <c r="A23" s="107"/>
      <c r="B23" s="3"/>
      <c r="C23" s="3"/>
      <c r="D23" s="3"/>
      <c r="E23" s="108"/>
      <c r="F23" s="3"/>
      <c r="G23" s="3"/>
      <c r="H23" s="3"/>
      <c r="I23" s="3"/>
      <c r="J23" s="3"/>
      <c r="K23" s="3"/>
      <c r="L23" s="3"/>
      <c r="M23" s="3"/>
      <c r="N23" s="3"/>
      <c r="O23" s="110"/>
    </row>
    <row r="24" spans="1:15" x14ac:dyDescent="0.3">
      <c r="A24" s="10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10"/>
    </row>
    <row r="25" spans="1:15" x14ac:dyDescent="0.3">
      <c r="A25" s="10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10"/>
    </row>
    <row r="26" spans="1:15" x14ac:dyDescent="0.3">
      <c r="A26" s="10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10"/>
    </row>
    <row r="27" spans="1:15" ht="15" thickBot="1" x14ac:dyDescent="0.35">
      <c r="A27" s="10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10"/>
    </row>
    <row r="28" spans="1:15" ht="15" thickBot="1" x14ac:dyDescent="0.35">
      <c r="A28" s="111" t="s">
        <v>622</v>
      </c>
      <c r="B28" s="112"/>
      <c r="C28" s="112"/>
      <c r="D28" s="112"/>
      <c r="E28" s="113">
        <f>SUM(E20:E27)</f>
        <v>159290</v>
      </c>
      <c r="F28" s="112"/>
      <c r="G28" s="112"/>
      <c r="H28" s="112"/>
      <c r="I28" s="112"/>
      <c r="J28" s="112"/>
      <c r="K28" s="112"/>
      <c r="L28" s="112"/>
      <c r="M28" s="112"/>
      <c r="N28" s="112"/>
      <c r="O28" s="114"/>
    </row>
  </sheetData>
  <dataValidations count="1">
    <dataValidation type="list" allowBlank="1" showInputMessage="1" showErrorMessage="1" sqref="A4 A17">
      <formula1>"Select,Tax Deducted at Source [ TDS ],Tax Collected at Source [ TCS ]"</formula1>
    </dataValidation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6"/>
  <sheetViews>
    <sheetView topLeftCell="A31" workbookViewId="0">
      <selection activeCell="C3" sqref="C3"/>
    </sheetView>
  </sheetViews>
  <sheetFormatPr defaultRowHeight="14.4" x14ac:dyDescent="0.3"/>
  <cols>
    <col min="5" max="5" width="10.88671875" customWidth="1"/>
  </cols>
  <sheetData>
    <row r="1" spans="1:15" ht="15" thickTop="1" x14ac:dyDescent="0.3">
      <c r="A1" s="116"/>
      <c r="B1" s="117"/>
      <c r="C1" s="117"/>
      <c r="D1" s="117"/>
      <c r="E1" s="117"/>
      <c r="F1" s="117"/>
      <c r="G1" s="117"/>
      <c r="H1" s="117"/>
      <c r="I1" s="117"/>
      <c r="J1" s="117"/>
      <c r="K1" s="118"/>
      <c r="L1" s="117"/>
      <c r="M1" s="117"/>
      <c r="N1" s="117"/>
      <c r="O1" s="119"/>
    </row>
    <row r="2" spans="1:15" ht="15" thickBot="1" x14ac:dyDescent="0.35">
      <c r="A2" s="120"/>
      <c r="B2" s="121"/>
      <c r="C2" s="121"/>
      <c r="D2" s="121"/>
      <c r="E2" s="121"/>
      <c r="F2" s="121"/>
      <c r="G2" s="121"/>
      <c r="H2" s="121"/>
      <c r="I2" s="121"/>
      <c r="J2" s="121"/>
      <c r="K2" s="122"/>
      <c r="L2" s="121"/>
      <c r="M2" s="121"/>
      <c r="N2" s="121"/>
      <c r="O2" s="123"/>
    </row>
    <row r="3" spans="1:15" ht="15" thickBot="1" x14ac:dyDescent="0.35">
      <c r="A3" s="120"/>
      <c r="B3" s="121"/>
      <c r="C3" s="121" t="s">
        <v>1472</v>
      </c>
      <c r="D3" s="121"/>
      <c r="E3" s="121"/>
      <c r="F3" s="121"/>
      <c r="G3" s="121"/>
      <c r="H3" s="121"/>
      <c r="I3" s="121"/>
      <c r="J3" s="225" t="s">
        <v>622</v>
      </c>
      <c r="K3" s="225">
        <f>+K15+K28+K42+K56+K70+K83+K96</f>
        <v>0</v>
      </c>
      <c r="L3" s="225">
        <f>+L15+L28+L42+L56+L70+L83+L96</f>
        <v>0</v>
      </c>
      <c r="M3" s="225">
        <f t="shared" ref="M3:O3" si="0">+M15+M28+M42+M56+M70+M83+M96</f>
        <v>0</v>
      </c>
      <c r="N3" s="225">
        <f t="shared" si="0"/>
        <v>0</v>
      </c>
      <c r="O3" s="225">
        <f t="shared" si="0"/>
        <v>0</v>
      </c>
    </row>
    <row r="4" spans="1:15" ht="23.4" thickBot="1" x14ac:dyDescent="0.35">
      <c r="A4" s="620" t="s">
        <v>629</v>
      </c>
      <c r="B4" s="621"/>
      <c r="C4" s="621"/>
      <c r="D4" s="621"/>
      <c r="E4" s="622"/>
      <c r="F4" s="91"/>
      <c r="G4" s="91"/>
      <c r="H4" s="91"/>
      <c r="I4" s="91"/>
      <c r="J4" s="91"/>
      <c r="K4" s="92"/>
      <c r="L4" s="91"/>
      <c r="M4" s="91"/>
      <c r="N4" s="91"/>
      <c r="O4" s="93"/>
    </row>
    <row r="5" spans="1:15" x14ac:dyDescent="0.3">
      <c r="A5" s="94" t="s">
        <v>614</v>
      </c>
      <c r="B5" s="95" t="s">
        <v>615</v>
      </c>
      <c r="C5" s="95" t="s">
        <v>616</v>
      </c>
      <c r="D5" s="95" t="s">
        <v>617</v>
      </c>
      <c r="E5" s="95" t="s">
        <v>8</v>
      </c>
      <c r="F5" s="95" t="s">
        <v>618</v>
      </c>
      <c r="G5" s="95" t="s">
        <v>13</v>
      </c>
      <c r="H5" s="95" t="s">
        <v>8</v>
      </c>
      <c r="I5" s="96" t="s">
        <v>619</v>
      </c>
      <c r="J5" s="97" t="s">
        <v>78</v>
      </c>
      <c r="K5" s="98" t="s">
        <v>97</v>
      </c>
      <c r="L5" s="99" t="s">
        <v>88</v>
      </c>
      <c r="M5" s="100" t="s">
        <v>89</v>
      </c>
      <c r="N5" s="100" t="s">
        <v>90</v>
      </c>
      <c r="O5" s="101" t="s">
        <v>98</v>
      </c>
    </row>
    <row r="6" spans="1:15" ht="15" thickBot="1" x14ac:dyDescent="0.35">
      <c r="A6" s="102"/>
      <c r="B6" s="103"/>
      <c r="C6" s="103"/>
      <c r="D6" s="103"/>
      <c r="E6" s="103" t="s">
        <v>91</v>
      </c>
      <c r="F6" s="103" t="s">
        <v>11</v>
      </c>
      <c r="G6" s="103" t="s">
        <v>620</v>
      </c>
      <c r="H6" s="103" t="s">
        <v>68</v>
      </c>
      <c r="I6" s="88"/>
      <c r="J6" s="104" t="s">
        <v>0</v>
      </c>
      <c r="K6" s="105" t="s">
        <v>91</v>
      </c>
      <c r="L6" s="103" t="s">
        <v>91</v>
      </c>
      <c r="M6" s="103" t="s">
        <v>91</v>
      </c>
      <c r="N6" s="103" t="s">
        <v>91</v>
      </c>
      <c r="O6" s="106" t="s">
        <v>91</v>
      </c>
    </row>
    <row r="7" spans="1:15" x14ac:dyDescent="0.3">
      <c r="A7" s="107" t="s">
        <v>621</v>
      </c>
      <c r="B7" s="3"/>
      <c r="C7" s="3"/>
      <c r="D7" s="3"/>
      <c r="E7" s="108">
        <v>156130</v>
      </c>
      <c r="F7" s="3"/>
      <c r="G7" s="3"/>
      <c r="H7" s="3"/>
      <c r="I7" s="3"/>
      <c r="J7" s="89"/>
      <c r="K7" s="109"/>
      <c r="L7" s="3">
        <v>0</v>
      </c>
      <c r="M7" s="3"/>
      <c r="N7" s="3"/>
      <c r="O7" s="110"/>
    </row>
    <row r="8" spans="1:15" x14ac:dyDescent="0.3">
      <c r="A8" s="107" t="s">
        <v>621</v>
      </c>
      <c r="B8" s="3"/>
      <c r="C8" s="3"/>
      <c r="D8" s="3"/>
      <c r="E8" s="108">
        <v>3160</v>
      </c>
      <c r="F8" s="3"/>
      <c r="G8" s="3"/>
      <c r="H8" s="3"/>
      <c r="I8" s="3"/>
      <c r="J8" s="89"/>
      <c r="K8" s="109"/>
      <c r="L8" s="3"/>
      <c r="M8" s="3"/>
      <c r="N8" s="3"/>
      <c r="O8" s="110"/>
    </row>
    <row r="9" spans="1:15" x14ac:dyDescent="0.3">
      <c r="A9" s="107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10"/>
    </row>
    <row r="10" spans="1:15" x14ac:dyDescent="0.3">
      <c r="A10" s="107"/>
      <c r="B10" s="3"/>
      <c r="C10" s="3"/>
      <c r="D10" s="3"/>
      <c r="E10" s="108"/>
      <c r="F10" s="3"/>
      <c r="G10" s="3"/>
      <c r="H10" s="3"/>
      <c r="I10" s="3"/>
      <c r="J10" s="3"/>
      <c r="K10" s="3"/>
      <c r="L10" s="3"/>
      <c r="M10" s="3"/>
      <c r="N10" s="3"/>
      <c r="O10" s="110"/>
    </row>
    <row r="11" spans="1:15" x14ac:dyDescent="0.3">
      <c r="A11" s="10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110"/>
    </row>
    <row r="12" spans="1:15" x14ac:dyDescent="0.3">
      <c r="A12" s="10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110"/>
    </row>
    <row r="13" spans="1:15" x14ac:dyDescent="0.3">
      <c r="A13" s="10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110"/>
    </row>
    <row r="14" spans="1:15" ht="15" thickBot="1" x14ac:dyDescent="0.35">
      <c r="A14" s="10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110"/>
    </row>
    <row r="15" spans="1:15" ht="15" thickBot="1" x14ac:dyDescent="0.35">
      <c r="A15" s="111" t="s">
        <v>622</v>
      </c>
      <c r="B15" s="112"/>
      <c r="C15" s="112"/>
      <c r="D15" s="112"/>
      <c r="E15" s="113">
        <f>SUM(E7:E14)</f>
        <v>159290</v>
      </c>
      <c r="F15" s="112"/>
      <c r="G15" s="112"/>
      <c r="H15" s="112"/>
      <c r="I15" s="112"/>
      <c r="J15" s="112"/>
      <c r="K15" s="113">
        <f>SUM(K7:K14)</f>
        <v>0</v>
      </c>
      <c r="L15" s="113">
        <f t="shared" ref="L15:O15" si="1">SUM(L7:L14)</f>
        <v>0</v>
      </c>
      <c r="M15" s="113">
        <f t="shared" si="1"/>
        <v>0</v>
      </c>
      <c r="N15" s="113">
        <f t="shared" si="1"/>
        <v>0</v>
      </c>
      <c r="O15" s="113">
        <f t="shared" si="1"/>
        <v>0</v>
      </c>
    </row>
    <row r="16" spans="1:15" ht="15" thickBot="1" x14ac:dyDescent="0.35"/>
    <row r="17" spans="1:15" ht="23.4" thickBot="1" x14ac:dyDescent="0.35">
      <c r="A17" s="623" t="s">
        <v>630</v>
      </c>
      <c r="B17" s="624"/>
      <c r="C17" s="624"/>
      <c r="D17" s="624"/>
      <c r="E17" s="625"/>
      <c r="F17" s="91"/>
      <c r="G17" s="91"/>
      <c r="H17" s="91"/>
      <c r="I17" s="91"/>
      <c r="J17" s="91"/>
      <c r="K17" s="92"/>
      <c r="L17" s="91"/>
      <c r="M17" s="91"/>
      <c r="N17" s="91"/>
      <c r="O17" s="93"/>
    </row>
    <row r="18" spans="1:15" x14ac:dyDescent="0.3">
      <c r="A18" s="94" t="s">
        <v>614</v>
      </c>
      <c r="B18" s="95" t="s">
        <v>615</v>
      </c>
      <c r="C18" s="95" t="s">
        <v>616</v>
      </c>
      <c r="D18" s="95" t="s">
        <v>617</v>
      </c>
      <c r="E18" s="95" t="s">
        <v>8</v>
      </c>
      <c r="F18" s="95" t="s">
        <v>618</v>
      </c>
      <c r="G18" s="95" t="s">
        <v>13</v>
      </c>
      <c r="H18" s="95" t="s">
        <v>8</v>
      </c>
      <c r="I18" s="96" t="s">
        <v>619</v>
      </c>
      <c r="J18" s="97" t="s">
        <v>78</v>
      </c>
      <c r="K18" s="98" t="s">
        <v>97</v>
      </c>
      <c r="L18" s="99" t="s">
        <v>88</v>
      </c>
      <c r="M18" s="100" t="s">
        <v>89</v>
      </c>
      <c r="N18" s="100" t="s">
        <v>90</v>
      </c>
      <c r="O18" s="101" t="s">
        <v>98</v>
      </c>
    </row>
    <row r="19" spans="1:15" ht="15" thickBot="1" x14ac:dyDescent="0.35">
      <c r="A19" s="102"/>
      <c r="B19" s="103"/>
      <c r="C19" s="103"/>
      <c r="D19" s="103"/>
      <c r="E19" s="103" t="s">
        <v>91</v>
      </c>
      <c r="F19" s="103" t="s">
        <v>11</v>
      </c>
      <c r="G19" s="103" t="s">
        <v>620</v>
      </c>
      <c r="H19" s="103" t="s">
        <v>68</v>
      </c>
      <c r="I19" s="88"/>
      <c r="J19" s="104" t="s">
        <v>0</v>
      </c>
      <c r="K19" s="105" t="s">
        <v>91</v>
      </c>
      <c r="L19" s="103" t="s">
        <v>91</v>
      </c>
      <c r="M19" s="103" t="s">
        <v>91</v>
      </c>
      <c r="N19" s="103" t="s">
        <v>91</v>
      </c>
      <c r="O19" s="106" t="s">
        <v>91</v>
      </c>
    </row>
    <row r="20" spans="1:15" x14ac:dyDescent="0.3">
      <c r="A20" s="107" t="s">
        <v>621</v>
      </c>
      <c r="B20" s="3"/>
      <c r="C20" s="3"/>
      <c r="D20" s="3"/>
      <c r="E20" s="108">
        <v>156130</v>
      </c>
      <c r="F20" s="3"/>
      <c r="G20" s="3"/>
      <c r="H20" s="3"/>
      <c r="I20" s="3"/>
      <c r="J20" s="89"/>
      <c r="K20" s="109"/>
      <c r="L20" s="3"/>
      <c r="M20" s="3"/>
      <c r="N20" s="3"/>
      <c r="O20" s="110"/>
    </row>
    <row r="21" spans="1:15" x14ac:dyDescent="0.3">
      <c r="A21" s="107" t="s">
        <v>621</v>
      </c>
      <c r="B21" s="3"/>
      <c r="C21" s="3"/>
      <c r="D21" s="3"/>
      <c r="E21" s="108">
        <v>3160</v>
      </c>
      <c r="F21" s="3"/>
      <c r="G21" s="3"/>
      <c r="H21" s="3"/>
      <c r="I21" s="3"/>
      <c r="J21" s="89"/>
      <c r="K21" s="109"/>
      <c r="L21" s="3"/>
      <c r="M21" s="3"/>
      <c r="N21" s="3"/>
      <c r="O21" s="110"/>
    </row>
    <row r="22" spans="1:15" x14ac:dyDescent="0.3">
      <c r="A22" s="10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110"/>
    </row>
    <row r="23" spans="1:15" x14ac:dyDescent="0.3">
      <c r="A23" s="107"/>
      <c r="B23" s="3"/>
      <c r="C23" s="3"/>
      <c r="D23" s="3"/>
      <c r="E23" s="108"/>
      <c r="F23" s="3"/>
      <c r="G23" s="3"/>
      <c r="H23" s="3"/>
      <c r="I23" s="3"/>
      <c r="J23" s="3"/>
      <c r="K23" s="3"/>
      <c r="L23" s="3"/>
      <c r="M23" s="3"/>
      <c r="N23" s="3"/>
      <c r="O23" s="110"/>
    </row>
    <row r="24" spans="1:15" x14ac:dyDescent="0.3">
      <c r="A24" s="10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110"/>
    </row>
    <row r="25" spans="1:15" x14ac:dyDescent="0.3">
      <c r="A25" s="107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110"/>
    </row>
    <row r="26" spans="1:15" x14ac:dyDescent="0.3">
      <c r="A26" s="107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110"/>
    </row>
    <row r="27" spans="1:15" ht="15" thickBot="1" x14ac:dyDescent="0.35">
      <c r="A27" s="10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110"/>
    </row>
    <row r="28" spans="1:15" ht="15" thickBot="1" x14ac:dyDescent="0.35">
      <c r="A28" s="111" t="s">
        <v>622</v>
      </c>
      <c r="B28" s="112"/>
      <c r="C28" s="112"/>
      <c r="D28" s="112"/>
      <c r="E28" s="113">
        <f>SUM(E20:E27)</f>
        <v>159290</v>
      </c>
      <c r="F28" s="112"/>
      <c r="G28" s="112"/>
      <c r="H28" s="112"/>
      <c r="I28" s="112"/>
      <c r="J28" s="112"/>
      <c r="K28" s="113">
        <f>SUM(K20:K27)</f>
        <v>0</v>
      </c>
      <c r="L28" s="113">
        <f t="shared" ref="L28:O28" si="2">SUM(L20:L27)</f>
        <v>0</v>
      </c>
      <c r="M28" s="113">
        <f t="shared" si="2"/>
        <v>0</v>
      </c>
      <c r="N28" s="113">
        <f t="shared" si="2"/>
        <v>0</v>
      </c>
      <c r="O28" s="113">
        <f t="shared" si="2"/>
        <v>0</v>
      </c>
    </row>
    <row r="30" spans="1:15" ht="15" thickBot="1" x14ac:dyDescent="0.35"/>
    <row r="31" spans="1:15" ht="23.4" thickBot="1" x14ac:dyDescent="0.35">
      <c r="A31" s="623" t="s">
        <v>631</v>
      </c>
      <c r="B31" s="624"/>
      <c r="C31" s="624"/>
      <c r="D31" s="624"/>
      <c r="E31" s="625"/>
      <c r="F31" s="91"/>
      <c r="G31" s="91"/>
      <c r="H31" s="91"/>
      <c r="I31" s="91"/>
      <c r="J31" s="91"/>
      <c r="K31" s="92"/>
      <c r="L31" s="91"/>
      <c r="M31" s="91"/>
      <c r="N31" s="91"/>
      <c r="O31" s="93"/>
    </row>
    <row r="32" spans="1:15" x14ac:dyDescent="0.3">
      <c r="A32" s="94" t="s">
        <v>614</v>
      </c>
      <c r="B32" s="95" t="s">
        <v>615</v>
      </c>
      <c r="C32" s="95" t="s">
        <v>616</v>
      </c>
      <c r="D32" s="95" t="s">
        <v>617</v>
      </c>
      <c r="E32" s="95" t="s">
        <v>8</v>
      </c>
      <c r="F32" s="95" t="s">
        <v>618</v>
      </c>
      <c r="G32" s="95" t="s">
        <v>13</v>
      </c>
      <c r="H32" s="95" t="s">
        <v>8</v>
      </c>
      <c r="I32" s="96" t="s">
        <v>619</v>
      </c>
      <c r="J32" s="97" t="s">
        <v>78</v>
      </c>
      <c r="K32" s="98" t="s">
        <v>97</v>
      </c>
      <c r="L32" s="99" t="s">
        <v>88</v>
      </c>
      <c r="M32" s="100" t="s">
        <v>89</v>
      </c>
      <c r="N32" s="100" t="s">
        <v>90</v>
      </c>
      <c r="O32" s="101" t="s">
        <v>98</v>
      </c>
    </row>
    <row r="33" spans="1:15" ht="15" thickBot="1" x14ac:dyDescent="0.35">
      <c r="A33" s="102"/>
      <c r="B33" s="103"/>
      <c r="C33" s="103"/>
      <c r="D33" s="103"/>
      <c r="E33" s="103" t="s">
        <v>91</v>
      </c>
      <c r="F33" s="103" t="s">
        <v>11</v>
      </c>
      <c r="G33" s="103" t="s">
        <v>620</v>
      </c>
      <c r="H33" s="103" t="s">
        <v>68</v>
      </c>
      <c r="I33" s="88"/>
      <c r="J33" s="104" t="s">
        <v>0</v>
      </c>
      <c r="K33" s="105" t="s">
        <v>91</v>
      </c>
      <c r="L33" s="103" t="s">
        <v>91</v>
      </c>
      <c r="M33" s="103" t="s">
        <v>91</v>
      </c>
      <c r="N33" s="103" t="s">
        <v>91</v>
      </c>
      <c r="O33" s="106" t="s">
        <v>91</v>
      </c>
    </row>
    <row r="34" spans="1:15" x14ac:dyDescent="0.3">
      <c r="A34" s="107" t="s">
        <v>621</v>
      </c>
      <c r="B34" s="3"/>
      <c r="C34" s="3"/>
      <c r="D34" s="3"/>
      <c r="E34" s="108">
        <v>156130</v>
      </c>
      <c r="F34" s="3"/>
      <c r="G34" s="3"/>
      <c r="H34" s="3"/>
      <c r="I34" s="3"/>
      <c r="J34" s="89"/>
      <c r="K34" s="109"/>
      <c r="L34" s="3"/>
      <c r="M34" s="3"/>
      <c r="N34" s="3"/>
      <c r="O34" s="110"/>
    </row>
    <row r="35" spans="1:15" x14ac:dyDescent="0.3">
      <c r="A35" s="107" t="s">
        <v>621</v>
      </c>
      <c r="B35" s="3"/>
      <c r="C35" s="3"/>
      <c r="D35" s="3"/>
      <c r="E35" s="108">
        <v>3160</v>
      </c>
      <c r="F35" s="3"/>
      <c r="G35" s="3"/>
      <c r="H35" s="3"/>
      <c r="I35" s="3"/>
      <c r="J35" s="89"/>
      <c r="K35" s="109"/>
      <c r="L35" s="3"/>
      <c r="M35" s="3"/>
      <c r="N35" s="3"/>
      <c r="O35" s="110"/>
    </row>
    <row r="36" spans="1:15" x14ac:dyDescent="0.3">
      <c r="A36" s="107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110"/>
    </row>
    <row r="37" spans="1:15" x14ac:dyDescent="0.3">
      <c r="A37" s="107"/>
      <c r="B37" s="3"/>
      <c r="C37" s="3"/>
      <c r="D37" s="3"/>
      <c r="E37" s="108"/>
      <c r="F37" s="3"/>
      <c r="G37" s="3"/>
      <c r="H37" s="3"/>
      <c r="I37" s="3"/>
      <c r="J37" s="3"/>
      <c r="K37" s="3"/>
      <c r="L37" s="3"/>
      <c r="M37" s="3"/>
      <c r="N37" s="3"/>
      <c r="O37" s="110"/>
    </row>
    <row r="38" spans="1:15" x14ac:dyDescent="0.3">
      <c r="A38" s="107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110"/>
    </row>
    <row r="39" spans="1:15" x14ac:dyDescent="0.3">
      <c r="A39" s="107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110"/>
    </row>
    <row r="40" spans="1:15" x14ac:dyDescent="0.3">
      <c r="A40" s="107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110"/>
    </row>
    <row r="41" spans="1:15" ht="15" thickBot="1" x14ac:dyDescent="0.35">
      <c r="A41" s="107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10"/>
    </row>
    <row r="42" spans="1:15" ht="15" thickBot="1" x14ac:dyDescent="0.35">
      <c r="A42" s="111" t="s">
        <v>622</v>
      </c>
      <c r="B42" s="112"/>
      <c r="C42" s="112"/>
      <c r="D42" s="112"/>
      <c r="E42" s="113">
        <f>SUM(E34:E41)</f>
        <v>159290</v>
      </c>
      <c r="F42" s="112"/>
      <c r="G42" s="112"/>
      <c r="H42" s="112"/>
      <c r="I42" s="112"/>
      <c r="J42" s="112"/>
      <c r="K42" s="113">
        <f>SUM(K34:K41)</f>
        <v>0</v>
      </c>
      <c r="L42" s="113">
        <f t="shared" ref="L42:O42" si="3">SUM(L34:L41)</f>
        <v>0</v>
      </c>
      <c r="M42" s="113">
        <f t="shared" si="3"/>
        <v>0</v>
      </c>
      <c r="N42" s="113">
        <f t="shared" si="3"/>
        <v>0</v>
      </c>
      <c r="O42" s="113">
        <f t="shared" si="3"/>
        <v>0</v>
      </c>
    </row>
    <row r="44" spans="1:15" ht="15" thickBot="1" x14ac:dyDescent="0.35"/>
    <row r="45" spans="1:15" ht="23.4" thickBot="1" x14ac:dyDescent="0.35">
      <c r="A45" s="620" t="s">
        <v>632</v>
      </c>
      <c r="B45" s="621"/>
      <c r="C45" s="621"/>
      <c r="D45" s="621"/>
      <c r="E45" s="622"/>
      <c r="F45" s="91"/>
      <c r="G45" s="91"/>
      <c r="H45" s="91"/>
      <c r="I45" s="91"/>
      <c r="J45" s="91"/>
      <c r="K45" s="92"/>
      <c r="L45" s="91"/>
      <c r="M45" s="91"/>
      <c r="N45" s="91"/>
      <c r="O45" s="93"/>
    </row>
    <row r="46" spans="1:15" x14ac:dyDescent="0.3">
      <c r="A46" s="94" t="s">
        <v>614</v>
      </c>
      <c r="B46" s="95" t="s">
        <v>615</v>
      </c>
      <c r="C46" s="95" t="s">
        <v>616</v>
      </c>
      <c r="D46" s="95" t="s">
        <v>617</v>
      </c>
      <c r="E46" s="95" t="s">
        <v>8</v>
      </c>
      <c r="F46" s="95" t="s">
        <v>618</v>
      </c>
      <c r="G46" s="95" t="s">
        <v>13</v>
      </c>
      <c r="H46" s="95" t="s">
        <v>8</v>
      </c>
      <c r="I46" s="96" t="s">
        <v>619</v>
      </c>
      <c r="J46" s="97" t="s">
        <v>78</v>
      </c>
      <c r="K46" s="98" t="s">
        <v>97</v>
      </c>
      <c r="L46" s="99" t="s">
        <v>88</v>
      </c>
      <c r="M46" s="100" t="s">
        <v>89</v>
      </c>
      <c r="N46" s="100" t="s">
        <v>90</v>
      </c>
      <c r="O46" s="101" t="s">
        <v>98</v>
      </c>
    </row>
    <row r="47" spans="1:15" ht="15" thickBot="1" x14ac:dyDescent="0.35">
      <c r="A47" s="102"/>
      <c r="B47" s="103"/>
      <c r="C47" s="103"/>
      <c r="D47" s="103"/>
      <c r="E47" s="103" t="s">
        <v>91</v>
      </c>
      <c r="F47" s="103" t="s">
        <v>11</v>
      </c>
      <c r="G47" s="103" t="s">
        <v>620</v>
      </c>
      <c r="H47" s="103" t="s">
        <v>68</v>
      </c>
      <c r="I47" s="88"/>
      <c r="J47" s="104" t="s">
        <v>0</v>
      </c>
      <c r="K47" s="105" t="s">
        <v>91</v>
      </c>
      <c r="L47" s="103" t="s">
        <v>91</v>
      </c>
      <c r="M47" s="103" t="s">
        <v>91</v>
      </c>
      <c r="N47" s="103" t="s">
        <v>91</v>
      </c>
      <c r="O47" s="106" t="s">
        <v>91</v>
      </c>
    </row>
    <row r="48" spans="1:15" x14ac:dyDescent="0.3">
      <c r="A48" s="107" t="s">
        <v>621</v>
      </c>
      <c r="B48" s="3"/>
      <c r="C48" s="3"/>
      <c r="D48" s="3"/>
      <c r="E48" s="108">
        <v>156130</v>
      </c>
      <c r="F48" s="3"/>
      <c r="G48" s="3"/>
      <c r="H48" s="3"/>
      <c r="I48" s="3"/>
      <c r="J48" s="89"/>
      <c r="K48" s="109"/>
      <c r="L48" s="3"/>
      <c r="M48" s="3"/>
      <c r="N48" s="3"/>
      <c r="O48" s="110"/>
    </row>
    <row r="49" spans="1:15" x14ac:dyDescent="0.3">
      <c r="A49" s="107" t="s">
        <v>621</v>
      </c>
      <c r="B49" s="3"/>
      <c r="C49" s="3"/>
      <c r="D49" s="3"/>
      <c r="E49" s="108">
        <v>3160</v>
      </c>
      <c r="F49" s="3"/>
      <c r="G49" s="3"/>
      <c r="H49" s="3"/>
      <c r="I49" s="3"/>
      <c r="J49" s="89"/>
      <c r="K49" s="109"/>
      <c r="L49" s="3"/>
      <c r="M49" s="3"/>
      <c r="N49" s="3"/>
      <c r="O49" s="110"/>
    </row>
    <row r="50" spans="1:15" x14ac:dyDescent="0.3">
      <c r="A50" s="107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110"/>
    </row>
    <row r="51" spans="1:15" x14ac:dyDescent="0.3">
      <c r="A51" s="107"/>
      <c r="B51" s="3"/>
      <c r="C51" s="3"/>
      <c r="D51" s="3"/>
      <c r="E51" s="108"/>
      <c r="F51" s="3"/>
      <c r="G51" s="3"/>
      <c r="H51" s="3"/>
      <c r="I51" s="3"/>
      <c r="J51" s="3"/>
      <c r="K51" s="3"/>
      <c r="L51" s="3"/>
      <c r="M51" s="3"/>
      <c r="N51" s="3"/>
      <c r="O51" s="110"/>
    </row>
    <row r="52" spans="1:15" x14ac:dyDescent="0.3">
      <c r="A52" s="107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110"/>
    </row>
    <row r="53" spans="1:15" x14ac:dyDescent="0.3">
      <c r="A53" s="107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110"/>
    </row>
    <row r="54" spans="1:15" x14ac:dyDescent="0.3">
      <c r="A54" s="107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110"/>
    </row>
    <row r="55" spans="1:15" ht="15" thickBot="1" x14ac:dyDescent="0.35">
      <c r="A55" s="10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110"/>
    </row>
    <row r="56" spans="1:15" ht="15" thickBot="1" x14ac:dyDescent="0.35">
      <c r="A56" s="111" t="s">
        <v>622</v>
      </c>
      <c r="B56" s="112"/>
      <c r="C56" s="112"/>
      <c r="D56" s="112"/>
      <c r="E56" s="113">
        <f>SUM(E48:E55)</f>
        <v>159290</v>
      </c>
      <c r="F56" s="112"/>
      <c r="G56" s="112"/>
      <c r="H56" s="112"/>
      <c r="I56" s="112"/>
      <c r="J56" s="112"/>
      <c r="K56" s="113">
        <f>SUM(K48:K55)</f>
        <v>0</v>
      </c>
      <c r="L56" s="113">
        <f t="shared" ref="L56:O56" si="4">SUM(L48:L55)</f>
        <v>0</v>
      </c>
      <c r="M56" s="113">
        <f t="shared" si="4"/>
        <v>0</v>
      </c>
      <c r="N56" s="113">
        <f t="shared" si="4"/>
        <v>0</v>
      </c>
      <c r="O56" s="113">
        <f t="shared" si="4"/>
        <v>0</v>
      </c>
    </row>
    <row r="58" spans="1:15" ht="15" thickBot="1" x14ac:dyDescent="0.35"/>
    <row r="59" spans="1:15" ht="23.4" thickBot="1" x14ac:dyDescent="0.35">
      <c r="A59" s="620" t="s">
        <v>633</v>
      </c>
      <c r="B59" s="621"/>
      <c r="C59" s="621"/>
      <c r="D59" s="621"/>
      <c r="E59" s="622"/>
      <c r="F59" s="91"/>
      <c r="G59" s="91"/>
      <c r="H59" s="91"/>
      <c r="I59" s="91"/>
      <c r="J59" s="91"/>
      <c r="K59" s="92"/>
      <c r="L59" s="91"/>
      <c r="M59" s="91"/>
      <c r="N59" s="91"/>
      <c r="O59" s="93"/>
    </row>
    <row r="60" spans="1:15" x14ac:dyDescent="0.3">
      <c r="A60" s="94" t="s">
        <v>614</v>
      </c>
      <c r="B60" s="95" t="s">
        <v>615</v>
      </c>
      <c r="C60" s="95" t="s">
        <v>616</v>
      </c>
      <c r="D60" s="95" t="s">
        <v>617</v>
      </c>
      <c r="E60" s="95" t="s">
        <v>8</v>
      </c>
      <c r="F60" s="95" t="s">
        <v>618</v>
      </c>
      <c r="G60" s="95" t="s">
        <v>13</v>
      </c>
      <c r="H60" s="95" t="s">
        <v>8</v>
      </c>
      <c r="I60" s="96" t="s">
        <v>619</v>
      </c>
      <c r="J60" s="97" t="s">
        <v>78</v>
      </c>
      <c r="K60" s="98" t="s">
        <v>97</v>
      </c>
      <c r="L60" s="99" t="s">
        <v>88</v>
      </c>
      <c r="M60" s="100" t="s">
        <v>89</v>
      </c>
      <c r="N60" s="100" t="s">
        <v>90</v>
      </c>
      <c r="O60" s="101" t="s">
        <v>98</v>
      </c>
    </row>
    <row r="61" spans="1:15" ht="15" thickBot="1" x14ac:dyDescent="0.35">
      <c r="A61" s="102"/>
      <c r="B61" s="103"/>
      <c r="C61" s="103"/>
      <c r="D61" s="103"/>
      <c r="E61" s="103" t="s">
        <v>91</v>
      </c>
      <c r="F61" s="103" t="s">
        <v>11</v>
      </c>
      <c r="G61" s="103" t="s">
        <v>620</v>
      </c>
      <c r="H61" s="103" t="s">
        <v>68</v>
      </c>
      <c r="I61" s="88"/>
      <c r="J61" s="104" t="s">
        <v>0</v>
      </c>
      <c r="K61" s="105" t="s">
        <v>91</v>
      </c>
      <c r="L61" s="103" t="s">
        <v>91</v>
      </c>
      <c r="M61" s="103" t="s">
        <v>91</v>
      </c>
      <c r="N61" s="103" t="s">
        <v>91</v>
      </c>
      <c r="O61" s="106" t="s">
        <v>91</v>
      </c>
    </row>
    <row r="62" spans="1:15" x14ac:dyDescent="0.3">
      <c r="A62" s="107" t="s">
        <v>621</v>
      </c>
      <c r="B62" s="3"/>
      <c r="C62" s="3"/>
      <c r="D62" s="3"/>
      <c r="E62" s="108">
        <v>156130</v>
      </c>
      <c r="F62" s="3"/>
      <c r="G62" s="3"/>
      <c r="H62" s="3"/>
      <c r="I62" s="3"/>
      <c r="J62" s="89"/>
      <c r="K62" s="109"/>
      <c r="L62" s="3"/>
      <c r="M62" s="3"/>
      <c r="N62" s="3"/>
      <c r="O62" s="110"/>
    </row>
    <row r="63" spans="1:15" x14ac:dyDescent="0.3">
      <c r="A63" s="107" t="s">
        <v>621</v>
      </c>
      <c r="B63" s="3"/>
      <c r="C63" s="3"/>
      <c r="D63" s="3"/>
      <c r="E63" s="108">
        <v>3160</v>
      </c>
      <c r="F63" s="3"/>
      <c r="G63" s="3"/>
      <c r="H63" s="3"/>
      <c r="I63" s="3"/>
      <c r="J63" s="89"/>
      <c r="K63" s="109"/>
      <c r="L63" s="3"/>
      <c r="M63" s="3"/>
      <c r="N63" s="3"/>
      <c r="O63" s="110"/>
    </row>
    <row r="64" spans="1:15" x14ac:dyDescent="0.3">
      <c r="A64" s="107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110"/>
    </row>
    <row r="65" spans="1:15" x14ac:dyDescent="0.3">
      <c r="A65" s="107"/>
      <c r="B65" s="3"/>
      <c r="C65" s="3"/>
      <c r="D65" s="3"/>
      <c r="E65" s="108"/>
      <c r="F65" s="3"/>
      <c r="G65" s="3"/>
      <c r="H65" s="3"/>
      <c r="I65" s="3"/>
      <c r="J65" s="3"/>
      <c r="K65" s="3"/>
      <c r="L65" s="3"/>
      <c r="M65" s="3"/>
      <c r="N65" s="3"/>
      <c r="O65" s="110"/>
    </row>
    <row r="66" spans="1:15" x14ac:dyDescent="0.3">
      <c r="A66" s="107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110"/>
    </row>
    <row r="67" spans="1:15" x14ac:dyDescent="0.3">
      <c r="A67" s="107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110"/>
    </row>
    <row r="68" spans="1:15" x14ac:dyDescent="0.3">
      <c r="A68" s="107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110"/>
    </row>
    <row r="69" spans="1:15" ht="15" thickBot="1" x14ac:dyDescent="0.35">
      <c r="A69" s="107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110"/>
    </row>
    <row r="70" spans="1:15" ht="15" thickBot="1" x14ac:dyDescent="0.35">
      <c r="A70" s="111" t="s">
        <v>622</v>
      </c>
      <c r="B70" s="112"/>
      <c r="C70" s="112"/>
      <c r="D70" s="112"/>
      <c r="E70" s="113">
        <f>SUM(E62:E69)</f>
        <v>159290</v>
      </c>
      <c r="F70" s="112"/>
      <c r="G70" s="112"/>
      <c r="H70" s="112"/>
      <c r="I70" s="112"/>
      <c r="J70" s="112"/>
      <c r="K70" s="113">
        <f>SUM(K62:K69)</f>
        <v>0</v>
      </c>
      <c r="L70" s="113">
        <f t="shared" ref="L70:O70" si="5">SUM(L62:L69)</f>
        <v>0</v>
      </c>
      <c r="M70" s="113">
        <f t="shared" si="5"/>
        <v>0</v>
      </c>
      <c r="N70" s="113">
        <f t="shared" si="5"/>
        <v>0</v>
      </c>
      <c r="O70" s="113">
        <f t="shared" si="5"/>
        <v>0</v>
      </c>
    </row>
    <row r="71" spans="1:15" ht="15" thickBot="1" x14ac:dyDescent="0.35"/>
    <row r="72" spans="1:15" ht="23.4" thickBot="1" x14ac:dyDescent="0.35">
      <c r="A72" s="620" t="s">
        <v>634</v>
      </c>
      <c r="B72" s="621"/>
      <c r="C72" s="621"/>
      <c r="D72" s="621"/>
      <c r="E72" s="622"/>
      <c r="F72" s="91"/>
      <c r="G72" s="91"/>
      <c r="H72" s="91"/>
      <c r="I72" s="91"/>
      <c r="J72" s="91"/>
      <c r="K72" s="92"/>
      <c r="L72" s="91"/>
      <c r="M72" s="91"/>
      <c r="N72" s="91"/>
      <c r="O72" s="93"/>
    </row>
    <row r="73" spans="1:15" x14ac:dyDescent="0.3">
      <c r="A73" s="94" t="s">
        <v>614</v>
      </c>
      <c r="B73" s="95" t="s">
        <v>615</v>
      </c>
      <c r="C73" s="95" t="s">
        <v>616</v>
      </c>
      <c r="D73" s="95" t="s">
        <v>617</v>
      </c>
      <c r="E73" s="95" t="s">
        <v>8</v>
      </c>
      <c r="F73" s="95" t="s">
        <v>618</v>
      </c>
      <c r="G73" s="95" t="s">
        <v>13</v>
      </c>
      <c r="H73" s="95" t="s">
        <v>8</v>
      </c>
      <c r="I73" s="96" t="s">
        <v>619</v>
      </c>
      <c r="J73" s="97" t="s">
        <v>78</v>
      </c>
      <c r="K73" s="98" t="s">
        <v>97</v>
      </c>
      <c r="L73" s="99" t="s">
        <v>88</v>
      </c>
      <c r="M73" s="100" t="s">
        <v>89</v>
      </c>
      <c r="N73" s="100" t="s">
        <v>90</v>
      </c>
      <c r="O73" s="101" t="s">
        <v>98</v>
      </c>
    </row>
    <row r="74" spans="1:15" ht="15" thickBot="1" x14ac:dyDescent="0.35">
      <c r="A74" s="102"/>
      <c r="B74" s="103"/>
      <c r="C74" s="103"/>
      <c r="D74" s="103"/>
      <c r="E74" s="103" t="s">
        <v>91</v>
      </c>
      <c r="F74" s="103" t="s">
        <v>11</v>
      </c>
      <c r="G74" s="103" t="s">
        <v>620</v>
      </c>
      <c r="H74" s="103" t="s">
        <v>68</v>
      </c>
      <c r="I74" s="88"/>
      <c r="J74" s="104" t="s">
        <v>0</v>
      </c>
      <c r="K74" s="105" t="s">
        <v>91</v>
      </c>
      <c r="L74" s="103" t="s">
        <v>91</v>
      </c>
      <c r="M74" s="103" t="s">
        <v>91</v>
      </c>
      <c r="N74" s="103" t="s">
        <v>91</v>
      </c>
      <c r="O74" s="106" t="s">
        <v>91</v>
      </c>
    </row>
    <row r="75" spans="1:15" x14ac:dyDescent="0.3">
      <c r="A75" s="107" t="s">
        <v>621</v>
      </c>
      <c r="B75" s="3"/>
      <c r="C75" s="3"/>
      <c r="D75" s="3"/>
      <c r="E75" s="108">
        <v>156130</v>
      </c>
      <c r="F75" s="3"/>
      <c r="G75" s="3"/>
      <c r="H75" s="3"/>
      <c r="I75" s="3"/>
      <c r="J75" s="89"/>
      <c r="K75" s="109"/>
      <c r="L75" s="3"/>
      <c r="M75" s="3"/>
      <c r="N75" s="3"/>
      <c r="O75" s="110"/>
    </row>
    <row r="76" spans="1:15" x14ac:dyDescent="0.3">
      <c r="A76" s="107" t="s">
        <v>621</v>
      </c>
      <c r="B76" s="3"/>
      <c r="C76" s="3"/>
      <c r="D76" s="3"/>
      <c r="E76" s="108">
        <v>3160</v>
      </c>
      <c r="F76" s="3"/>
      <c r="G76" s="3"/>
      <c r="H76" s="3"/>
      <c r="I76" s="3"/>
      <c r="J76" s="89"/>
      <c r="K76" s="109"/>
      <c r="L76" s="3"/>
      <c r="M76" s="3"/>
      <c r="N76" s="3"/>
      <c r="O76" s="110"/>
    </row>
    <row r="77" spans="1:15" x14ac:dyDescent="0.3">
      <c r="A77" s="107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110"/>
    </row>
    <row r="78" spans="1:15" x14ac:dyDescent="0.3">
      <c r="A78" s="107"/>
      <c r="B78" s="3"/>
      <c r="C78" s="3"/>
      <c r="D78" s="3"/>
      <c r="E78" s="108"/>
      <c r="F78" s="3"/>
      <c r="G78" s="3"/>
      <c r="H78" s="3"/>
      <c r="I78" s="3"/>
      <c r="J78" s="3"/>
      <c r="K78" s="3"/>
      <c r="L78" s="3"/>
      <c r="M78" s="3"/>
      <c r="N78" s="3"/>
      <c r="O78" s="110"/>
    </row>
    <row r="79" spans="1:15" x14ac:dyDescent="0.3">
      <c r="A79" s="107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10"/>
    </row>
    <row r="80" spans="1:15" x14ac:dyDescent="0.3">
      <c r="A80" s="107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110"/>
    </row>
    <row r="81" spans="1:15" x14ac:dyDescent="0.3">
      <c r="A81" s="107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110"/>
    </row>
    <row r="82" spans="1:15" ht="15" thickBot="1" x14ac:dyDescent="0.35">
      <c r="A82" s="107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110"/>
    </row>
    <row r="83" spans="1:15" ht="15" thickBot="1" x14ac:dyDescent="0.35">
      <c r="A83" s="111" t="s">
        <v>622</v>
      </c>
      <c r="B83" s="112"/>
      <c r="C83" s="112"/>
      <c r="D83" s="112"/>
      <c r="E83" s="113">
        <f>SUM(E75:E82)</f>
        <v>159290</v>
      </c>
      <c r="F83" s="112"/>
      <c r="G83" s="112"/>
      <c r="H83" s="112"/>
      <c r="I83" s="112"/>
      <c r="J83" s="112"/>
      <c r="K83" s="113">
        <f>SUM(K75:K82)</f>
        <v>0</v>
      </c>
      <c r="L83" s="113">
        <f t="shared" ref="L83:O83" si="6">SUM(L75:L82)</f>
        <v>0</v>
      </c>
      <c r="M83" s="113">
        <f t="shared" si="6"/>
        <v>0</v>
      </c>
      <c r="N83" s="113">
        <f t="shared" si="6"/>
        <v>0</v>
      </c>
      <c r="O83" s="113">
        <f t="shared" si="6"/>
        <v>0</v>
      </c>
    </row>
    <row r="84" spans="1:15" ht="15" thickBot="1" x14ac:dyDescent="0.35"/>
    <row r="85" spans="1:15" ht="23.4" thickBot="1" x14ac:dyDescent="0.35">
      <c r="A85" s="620" t="s">
        <v>635</v>
      </c>
      <c r="B85" s="621"/>
      <c r="C85" s="621"/>
      <c r="D85" s="621"/>
      <c r="E85" s="622"/>
      <c r="F85" s="91"/>
      <c r="G85" s="91"/>
      <c r="H85" s="91"/>
      <c r="I85" s="91"/>
      <c r="J85" s="91"/>
      <c r="K85" s="92"/>
      <c r="L85" s="91"/>
      <c r="M85" s="91"/>
      <c r="N85" s="91"/>
      <c r="O85" s="93"/>
    </row>
    <row r="86" spans="1:15" x14ac:dyDescent="0.3">
      <c r="A86" s="94" t="s">
        <v>614</v>
      </c>
      <c r="B86" s="95" t="s">
        <v>615</v>
      </c>
      <c r="C86" s="95" t="s">
        <v>616</v>
      </c>
      <c r="D86" s="95" t="s">
        <v>617</v>
      </c>
      <c r="E86" s="95" t="s">
        <v>8</v>
      </c>
      <c r="F86" s="95" t="s">
        <v>618</v>
      </c>
      <c r="G86" s="95" t="s">
        <v>13</v>
      </c>
      <c r="H86" s="95" t="s">
        <v>8</v>
      </c>
      <c r="I86" s="96" t="s">
        <v>619</v>
      </c>
      <c r="J86" s="97" t="s">
        <v>78</v>
      </c>
      <c r="K86" s="98" t="s">
        <v>97</v>
      </c>
      <c r="L86" s="99" t="s">
        <v>88</v>
      </c>
      <c r="M86" s="100" t="s">
        <v>89</v>
      </c>
      <c r="N86" s="100" t="s">
        <v>90</v>
      </c>
      <c r="O86" s="101" t="s">
        <v>98</v>
      </c>
    </row>
    <row r="87" spans="1:15" ht="15" thickBot="1" x14ac:dyDescent="0.35">
      <c r="A87" s="102"/>
      <c r="B87" s="103"/>
      <c r="C87" s="103"/>
      <c r="D87" s="103"/>
      <c r="E87" s="103" t="s">
        <v>91</v>
      </c>
      <c r="F87" s="103" t="s">
        <v>11</v>
      </c>
      <c r="G87" s="103" t="s">
        <v>620</v>
      </c>
      <c r="H87" s="103" t="s">
        <v>68</v>
      </c>
      <c r="I87" s="88"/>
      <c r="J87" s="104" t="s">
        <v>0</v>
      </c>
      <c r="K87" s="105" t="s">
        <v>91</v>
      </c>
      <c r="L87" s="103" t="s">
        <v>91</v>
      </c>
      <c r="M87" s="103" t="s">
        <v>91</v>
      </c>
      <c r="N87" s="103" t="s">
        <v>91</v>
      </c>
      <c r="O87" s="106" t="s">
        <v>91</v>
      </c>
    </row>
    <row r="88" spans="1:15" x14ac:dyDescent="0.3">
      <c r="A88" s="107" t="s">
        <v>621</v>
      </c>
      <c r="B88" s="3"/>
      <c r="C88" s="3"/>
      <c r="D88" s="3"/>
      <c r="E88" s="108">
        <v>156130</v>
      </c>
      <c r="F88" s="3"/>
      <c r="G88" s="3"/>
      <c r="H88" s="3"/>
      <c r="I88" s="3"/>
      <c r="J88" s="89"/>
      <c r="K88" s="109"/>
      <c r="L88" s="3"/>
      <c r="M88" s="3"/>
      <c r="N88" s="3"/>
      <c r="O88" s="110"/>
    </row>
    <row r="89" spans="1:15" x14ac:dyDescent="0.3">
      <c r="A89" s="107" t="s">
        <v>621</v>
      </c>
      <c r="B89" s="3"/>
      <c r="C89" s="3"/>
      <c r="D89" s="3"/>
      <c r="E89" s="108">
        <v>3160</v>
      </c>
      <c r="F89" s="3"/>
      <c r="G89" s="3"/>
      <c r="H89" s="3"/>
      <c r="I89" s="3"/>
      <c r="J89" s="89"/>
      <c r="K89" s="109"/>
      <c r="L89" s="3"/>
      <c r="M89" s="3"/>
      <c r="N89" s="3"/>
      <c r="O89" s="110"/>
    </row>
    <row r="90" spans="1:15" x14ac:dyDescent="0.3">
      <c r="A90" s="107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110"/>
    </row>
    <row r="91" spans="1:15" x14ac:dyDescent="0.3">
      <c r="A91" s="107"/>
      <c r="B91" s="3"/>
      <c r="C91" s="3"/>
      <c r="D91" s="3"/>
      <c r="E91" s="108"/>
      <c r="F91" s="3"/>
      <c r="G91" s="3"/>
      <c r="H91" s="3"/>
      <c r="I91" s="3"/>
      <c r="J91" s="3"/>
      <c r="K91" s="3"/>
      <c r="L91" s="3"/>
      <c r="M91" s="3"/>
      <c r="N91" s="3"/>
      <c r="O91" s="110"/>
    </row>
    <row r="92" spans="1:15" x14ac:dyDescent="0.3">
      <c r="A92" s="107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110"/>
    </row>
    <row r="93" spans="1:15" x14ac:dyDescent="0.3">
      <c r="A93" s="107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110"/>
    </row>
    <row r="94" spans="1:15" x14ac:dyDescent="0.3">
      <c r="A94" s="107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110"/>
    </row>
    <row r="95" spans="1:15" ht="15" thickBot="1" x14ac:dyDescent="0.35">
      <c r="A95" s="107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110"/>
    </row>
    <row r="96" spans="1:15" ht="15" thickBot="1" x14ac:dyDescent="0.35">
      <c r="A96" s="111" t="s">
        <v>622</v>
      </c>
      <c r="B96" s="112"/>
      <c r="C96" s="112"/>
      <c r="D96" s="112"/>
      <c r="E96" s="113">
        <f>SUM(E88:E95)</f>
        <v>159290</v>
      </c>
      <c r="F96" s="112"/>
      <c r="G96" s="112"/>
      <c r="H96" s="112"/>
      <c r="I96" s="112"/>
      <c r="J96" s="112"/>
      <c r="K96" s="113">
        <f>SUM(K88:K95)</f>
        <v>0</v>
      </c>
      <c r="L96" s="113">
        <f t="shared" ref="L96:O96" si="7">SUM(L88:L95)</f>
        <v>0</v>
      </c>
      <c r="M96" s="113">
        <f t="shared" si="7"/>
        <v>0</v>
      </c>
      <c r="N96" s="113">
        <f t="shared" si="7"/>
        <v>0</v>
      </c>
      <c r="O96" s="113">
        <f t="shared" si="7"/>
        <v>0</v>
      </c>
    </row>
  </sheetData>
  <mergeCells count="7">
    <mergeCell ref="A85:E85"/>
    <mergeCell ref="A4:E4"/>
    <mergeCell ref="A17:E17"/>
    <mergeCell ref="A31:E31"/>
    <mergeCell ref="A45:E45"/>
    <mergeCell ref="A59:E59"/>
    <mergeCell ref="A72:E7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opLeftCell="A7" workbookViewId="0">
      <selection activeCell="J4" sqref="J4"/>
    </sheetView>
  </sheetViews>
  <sheetFormatPr defaultColWidth="8.88671875" defaultRowHeight="13.8" x14ac:dyDescent="0.25"/>
  <cols>
    <col min="1" max="1" width="4.44140625" style="5" bestFit="1" customWidth="1"/>
    <col min="2" max="2" width="19.44140625" style="5" bestFit="1" customWidth="1"/>
    <col min="3" max="3" width="35.33203125" style="5" bestFit="1" customWidth="1"/>
    <col min="4" max="4" width="8.88671875" style="5" customWidth="1"/>
    <col min="5" max="5" width="13.6640625" style="5" customWidth="1"/>
    <col min="6" max="6" width="13.109375" style="5" bestFit="1" customWidth="1"/>
    <col min="7" max="7" width="12.88671875" style="5" customWidth="1"/>
    <col min="8" max="8" width="13.6640625" style="5" customWidth="1"/>
    <col min="9" max="9" width="9" style="5" bestFit="1" customWidth="1"/>
    <col min="10" max="10" width="13.88671875" style="5" customWidth="1"/>
    <col min="11" max="16384" width="8.88671875" style="5"/>
  </cols>
  <sheetData>
    <row r="1" spans="1:10" x14ac:dyDescent="0.25">
      <c r="A1" s="293"/>
      <c r="B1" s="294"/>
      <c r="C1" s="294"/>
      <c r="D1" s="294"/>
      <c r="E1" s="294"/>
      <c r="F1" s="294"/>
      <c r="G1" s="294"/>
      <c r="H1" s="294"/>
      <c r="I1" s="294"/>
      <c r="J1" s="295"/>
    </row>
    <row r="2" spans="1:10" ht="17.399999999999999" x14ac:dyDescent="0.3">
      <c r="A2" s="516" t="s">
        <v>856</v>
      </c>
      <c r="B2" s="517"/>
      <c r="C2" s="517"/>
      <c r="D2" s="517"/>
      <c r="E2" s="517"/>
      <c r="F2" s="517"/>
      <c r="G2" s="517"/>
      <c r="H2" s="517"/>
      <c r="I2" s="517"/>
      <c r="J2" s="518"/>
    </row>
    <row r="3" spans="1:10" ht="15.6" x14ac:dyDescent="0.3">
      <c r="A3" s="296" t="s">
        <v>640</v>
      </c>
      <c r="B3" s="283"/>
      <c r="C3" s="284"/>
      <c r="D3" s="286"/>
      <c r="E3" s="285" t="s">
        <v>650</v>
      </c>
      <c r="F3" s="33"/>
      <c r="G3" s="286"/>
      <c r="H3" s="33"/>
      <c r="I3" s="280" t="s">
        <v>637</v>
      </c>
      <c r="J3" s="291" t="s">
        <v>288</v>
      </c>
    </row>
    <row r="4" spans="1:10" ht="15.6" x14ac:dyDescent="0.3">
      <c r="A4" s="287" t="s">
        <v>638</v>
      </c>
      <c r="B4" s="288"/>
      <c r="C4" s="288"/>
      <c r="D4" s="288"/>
      <c r="E4" s="289" t="s">
        <v>639</v>
      </c>
      <c r="F4" s="258"/>
      <c r="G4" s="288"/>
      <c r="H4" s="290"/>
      <c r="I4" s="280" t="s">
        <v>281</v>
      </c>
      <c r="J4" s="292" t="s">
        <v>287</v>
      </c>
    </row>
    <row r="5" spans="1:10" x14ac:dyDescent="0.25">
      <c r="A5" s="277"/>
      <c r="B5" s="278"/>
      <c r="C5" s="279" t="s">
        <v>844</v>
      </c>
      <c r="D5" s="279"/>
      <c r="E5" s="323">
        <f>SUM(E10:E304)</f>
        <v>8472772.129999999</v>
      </c>
      <c r="F5" s="323">
        <f t="shared" ref="F5:J5" si="0">SUM(F10:F304)</f>
        <v>108816.35559999998</v>
      </c>
      <c r="G5" s="323">
        <f t="shared" si="0"/>
        <v>1028316.7598999999</v>
      </c>
      <c r="H5" s="323">
        <f t="shared" si="0"/>
        <v>1028316.7598999999</v>
      </c>
      <c r="I5" s="323">
        <f t="shared" ca="1" si="0"/>
        <v>0</v>
      </c>
      <c r="J5" s="323">
        <f t="shared" ca="1" si="0"/>
        <v>1028316.7598999999</v>
      </c>
    </row>
    <row r="6" spans="1:10" x14ac:dyDescent="0.25">
      <c r="A6" s="273"/>
      <c r="B6" s="274"/>
      <c r="C6" s="276" t="s">
        <v>845</v>
      </c>
      <c r="D6" s="338"/>
      <c r="E6" s="317"/>
      <c r="F6" s="317"/>
      <c r="G6" s="317"/>
      <c r="H6" s="317"/>
      <c r="I6" s="317"/>
      <c r="J6" s="317"/>
    </row>
    <row r="7" spans="1:10" x14ac:dyDescent="0.25">
      <c r="A7" s="273"/>
      <c r="B7" s="274"/>
      <c r="C7" s="276" t="s">
        <v>846</v>
      </c>
      <c r="D7" s="338"/>
      <c r="E7" s="317">
        <f>+E5-E6</f>
        <v>8472772.129999999</v>
      </c>
      <c r="F7" s="317">
        <f t="shared" ref="F7:J7" si="1">+F5-F6</f>
        <v>108816.35559999998</v>
      </c>
      <c r="G7" s="317">
        <f t="shared" si="1"/>
        <v>1028316.7598999999</v>
      </c>
      <c r="H7" s="317">
        <f t="shared" si="1"/>
        <v>1028316.7598999999</v>
      </c>
      <c r="I7" s="317">
        <f t="shared" ca="1" si="1"/>
        <v>0</v>
      </c>
      <c r="J7" s="317">
        <f t="shared" ca="1" si="1"/>
        <v>1028316.7598999999</v>
      </c>
    </row>
    <row r="8" spans="1:10" x14ac:dyDescent="0.25">
      <c r="A8" s="6" t="s">
        <v>64</v>
      </c>
      <c r="B8" s="6" t="s">
        <v>4</v>
      </c>
      <c r="C8" s="6" t="s">
        <v>6</v>
      </c>
      <c r="D8" s="6" t="s">
        <v>93</v>
      </c>
      <c r="E8" s="324" t="s">
        <v>97</v>
      </c>
      <c r="F8" s="325" t="s">
        <v>88</v>
      </c>
      <c r="G8" s="325" t="s">
        <v>89</v>
      </c>
      <c r="H8" s="325" t="s">
        <v>90</v>
      </c>
      <c r="I8" s="325" t="s">
        <v>98</v>
      </c>
      <c r="J8" s="326" t="s">
        <v>8</v>
      </c>
    </row>
    <row r="9" spans="1:10" x14ac:dyDescent="0.25">
      <c r="A9" s="7" t="s">
        <v>65</v>
      </c>
      <c r="B9" s="281" t="s">
        <v>3</v>
      </c>
      <c r="C9" s="281" t="s">
        <v>5</v>
      </c>
      <c r="D9" s="281" t="s">
        <v>8</v>
      </c>
      <c r="E9" s="327" t="s">
        <v>91</v>
      </c>
      <c r="F9" s="328" t="s">
        <v>91</v>
      </c>
      <c r="G9" s="328" t="s">
        <v>91</v>
      </c>
      <c r="H9" s="328" t="s">
        <v>91</v>
      </c>
      <c r="I9" s="328" t="s">
        <v>91</v>
      </c>
      <c r="J9" s="328" t="s">
        <v>91</v>
      </c>
    </row>
    <row r="10" spans="1:10" x14ac:dyDescent="0.25">
      <c r="A10" s="8">
        <v>1</v>
      </c>
      <c r="B10" s="9" t="s">
        <v>22</v>
      </c>
      <c r="C10" s="9" t="s">
        <v>43</v>
      </c>
      <c r="D10" s="436">
        <f>COUNTIF(SALE!$A$7:$A$502,$B$10:$B$273)</f>
        <v>11</v>
      </c>
      <c r="E10" s="436">
        <f>SUMIF(SALE!$A$7:$A$502,$B$10:$B$273,SALE!$K$7:$K$502)</f>
        <v>100649.9</v>
      </c>
      <c r="F10" s="310">
        <f>SUMIF(SALE!$A$7:$A$502,$B$10:$B$273,SALE!$M$7:$M$502)</f>
        <v>0</v>
      </c>
      <c r="G10" s="310">
        <f>SUMIF(SALE!$A$7:$A$502,$B$10:$B$273,SALE!$N$7:$N$502)</f>
        <v>9058.491</v>
      </c>
      <c r="H10" s="310">
        <f>SUMIF(SALE!$A$7:$A$502,$B$10:$B$273,SALE!$O$7:$O$502)</f>
        <v>9058.491</v>
      </c>
      <c r="I10" s="310">
        <f ca="1">SUMIF(SALE!$B$6:F511,'SALE PARTYWISE '!$C$10:$C$283,SALE!$L$7:L494)</f>
        <v>0</v>
      </c>
      <c r="J10" s="329">
        <f ca="1">+I10+H10+G10+F10+E10</f>
        <v>118766.882</v>
      </c>
    </row>
    <row r="11" spans="1:10" x14ac:dyDescent="0.25">
      <c r="A11" s="8">
        <v>2</v>
      </c>
      <c r="B11" s="9" t="s">
        <v>23</v>
      </c>
      <c r="C11" s="9" t="s">
        <v>44</v>
      </c>
      <c r="D11" s="436">
        <f>COUNTIF(SALE!$A$7:$A$502,$B$10:$B$273)</f>
        <v>147</v>
      </c>
      <c r="E11" s="436">
        <f>SUMIF(SALE!$A$7:$A$502,$B$10:$B$273,SALE!$K$7:$K$502)</f>
        <v>3336312.7700000005</v>
      </c>
      <c r="F11" s="310">
        <f>SUMIF(SALE!$A$7:$A$502,$B$10:$B$273,SALE!$M$7:$M$502)</f>
        <v>0</v>
      </c>
      <c r="G11" s="310">
        <f>SUMIF(SALE!$A$7:$A$502,$B$10:$B$273,SALE!$N$7:$N$502)</f>
        <v>467083.78779999999</v>
      </c>
      <c r="H11" s="310">
        <f>SUMIF(SALE!$A$7:$A$502,$B$10:$B$273,SALE!$O$7:$O$502)</f>
        <v>467083.78779999999</v>
      </c>
      <c r="I11" s="310">
        <f ca="1">SUMIF(SALE!$B$6:F512,'SALE PARTYWISE '!$C$10:$C$283,SALE!$L$7:L495)</f>
        <v>0</v>
      </c>
      <c r="J11" s="329">
        <f t="shared" ref="J11:J12" ca="1" si="2">+I11+H11+G11+F11+E11</f>
        <v>957221.05599999987</v>
      </c>
    </row>
    <row r="12" spans="1:10" x14ac:dyDescent="0.25">
      <c r="A12" s="8">
        <v>3</v>
      </c>
      <c r="B12" s="9" t="s">
        <v>24</v>
      </c>
      <c r="C12" s="437" t="s">
        <v>45</v>
      </c>
      <c r="D12" s="436">
        <f>COUNTIF(SALE!$A$7:$A$502,$B$10:$B$273)</f>
        <v>25</v>
      </c>
      <c r="E12" s="436">
        <f>SUMIF(SALE!$A$7:$A$502,$B$10:$B$273,SALE!$K$7:$K$502)</f>
        <v>755791.5199999999</v>
      </c>
      <c r="F12" s="310">
        <f>SUMIF(SALE!$A$7:$A$502,$B$10:$B$273,SALE!$M$7:$M$502)</f>
        <v>0</v>
      </c>
      <c r="G12" s="310">
        <f>SUMIF(SALE!$A$7:$A$502,$B$10:$B$273,SALE!$N$7:$N$502)</f>
        <v>105810.8128</v>
      </c>
      <c r="H12" s="310">
        <f>SUMIF(SALE!$A$7:$A$502,$B$10:$B$273,SALE!$O$7:$O$502)</f>
        <v>105810.8128</v>
      </c>
      <c r="I12" s="310">
        <f ca="1">SUMIF(SALE!$B$6:F513,'SALE PARTYWISE '!$C$10:$C$283,SALE!$L$7:L496)</f>
        <v>0</v>
      </c>
      <c r="J12" s="329">
        <f t="shared" ca="1" si="2"/>
        <v>957221.05599999987</v>
      </c>
    </row>
    <row r="13" spans="1:10" x14ac:dyDescent="0.25">
      <c r="A13" s="8">
        <v>4</v>
      </c>
      <c r="B13" s="9" t="s">
        <v>25</v>
      </c>
      <c r="C13" s="9" t="s">
        <v>46</v>
      </c>
      <c r="D13" s="436">
        <f>COUNTIF(SALE!$A$7:$A$502,$B$10:$B$273)</f>
        <v>14</v>
      </c>
      <c r="E13" s="436">
        <f>SUMIF(SALE!$A$7:$A$502,$B$10:$B$273,SALE!$K$7:$K$502)</f>
        <v>372360.85</v>
      </c>
      <c r="F13" s="436">
        <f>SUMIF(SALE!$A$7:$A$502,$B$10:$B$273,SALE!$M$7:$M$502)</f>
        <v>104261.03799999999</v>
      </c>
      <c r="G13" s="310">
        <f>SUMIF(SALE!$A$7:$A$502,$B$10:$B$273,SALE!$N$7:$N$502)</f>
        <v>0</v>
      </c>
      <c r="H13" s="310">
        <f>SUMIF(SALE!$A$7:$A$502,$B$10:$B$273,SALE!$O$7:$O$502)</f>
        <v>0</v>
      </c>
      <c r="I13" s="310">
        <f ca="1">SUMIF(SALE!$B$6:F514,'SALE PARTYWISE '!$C$10:$C$283,SALE!$L$7:L497)</f>
        <v>0</v>
      </c>
      <c r="J13" s="329">
        <f t="shared" ref="J13:J31" ca="1" si="3">+I13+H13+G13+F13+E13</f>
        <v>447648.54079999996</v>
      </c>
    </row>
    <row r="14" spans="1:10" x14ac:dyDescent="0.25">
      <c r="A14" s="8">
        <v>5</v>
      </c>
      <c r="B14" s="9" t="s">
        <v>26</v>
      </c>
      <c r="C14" s="9" t="s">
        <v>47</v>
      </c>
      <c r="D14" s="436">
        <f>COUNTIF(SALE!$A$7:$A$502,$B$10:$B$273)</f>
        <v>5</v>
      </c>
      <c r="E14" s="436">
        <f>SUMIF(SALE!$A$7:$A$502,$B$10:$B$273,SALE!$K$7:$K$502)</f>
        <v>71215.199999999997</v>
      </c>
      <c r="F14" s="436">
        <f>SUMIF(SALE!$A$7:$A$502,$B$10:$B$273,SALE!$M$7:$M$502)</f>
        <v>0</v>
      </c>
      <c r="G14" s="310">
        <f>SUMIF(SALE!$A$7:$A$502,$B$10:$B$273,SALE!$N$7:$N$502)</f>
        <v>9970.1280000000006</v>
      </c>
      <c r="H14" s="310">
        <f>SUMIF(SALE!$A$7:$A$502,$B$10:$B$273,SALE!$O$7:$O$502)</f>
        <v>9970.1280000000006</v>
      </c>
      <c r="I14" s="310">
        <f ca="1">SUMIF(SALE!$B$6:F515,'SALE PARTYWISE '!$C$10:$C$283,SALE!$L$7:L498)</f>
        <v>0</v>
      </c>
      <c r="J14" s="329">
        <f t="shared" ca="1" si="3"/>
        <v>91155.456000000006</v>
      </c>
    </row>
    <row r="15" spans="1:10" x14ac:dyDescent="0.25">
      <c r="A15" s="8">
        <v>6</v>
      </c>
      <c r="B15" s="9" t="s">
        <v>27</v>
      </c>
      <c r="C15" s="9" t="s">
        <v>48</v>
      </c>
      <c r="D15" s="436">
        <f>COUNTIF(SALE!$A$7:$A$502,$B$10:$B$273)</f>
        <v>23</v>
      </c>
      <c r="E15" s="436">
        <f>SUMIF(SALE!$A$7:$A$502,$B$10:$B$273,SALE!$K$7:$K$502)</f>
        <v>653000</v>
      </c>
      <c r="F15" s="436">
        <f>SUMIF(SALE!$A$7:$A$502,$B$10:$B$273,SALE!$M$7:$M$502)</f>
        <v>0</v>
      </c>
      <c r="G15" s="436">
        <f>SUMIF(SALE!$A$7:$A$502,$B$10:$B$273,SALE!$N$7:$N$502)</f>
        <v>58770</v>
      </c>
      <c r="H15" s="436">
        <f>SUMIF(SALE!$A$7:$A$502,$B$10:$B$273,SALE!$O$7:$O$502)</f>
        <v>58770</v>
      </c>
      <c r="I15" s="436">
        <f ca="1">SUMIF(SALE!$B$6:F516,'SALE PARTYWISE '!$C$10:$C$283,SALE!$L$7:L499)</f>
        <v>0</v>
      </c>
      <c r="J15" s="329">
        <f t="shared" ca="1" si="3"/>
        <v>766220</v>
      </c>
    </row>
    <row r="16" spans="1:10" x14ac:dyDescent="0.25">
      <c r="A16" s="8">
        <v>7</v>
      </c>
      <c r="B16" s="9" t="s">
        <v>28</v>
      </c>
      <c r="C16" s="9" t="s">
        <v>49</v>
      </c>
      <c r="D16" s="436">
        <f>COUNTIF(SALE!$A$7:$A$502,$B$10:$B$273)</f>
        <v>25</v>
      </c>
      <c r="E16" s="436">
        <f>SUMIF(SALE!$A$7:$A$502,$B$10:$B$273,SALE!$K$7:$K$502)</f>
        <v>901661.35</v>
      </c>
      <c r="F16" s="436">
        <f>SUMIF(SALE!$A$7:$A$502,$B$10:$B$273,SALE!$M$7:$M$502)</f>
        <v>0</v>
      </c>
      <c r="G16" s="436">
        <f>SUMIF(SALE!$A$7:$A$502,$B$10:$B$273,SALE!$N$7:$N$502)</f>
        <v>81149.521500000003</v>
      </c>
      <c r="H16" s="436">
        <f>SUMIF(SALE!$A$7:$A$502,$B$10:$B$273,SALE!$O$7:$O$502)</f>
        <v>81149.521500000003</v>
      </c>
      <c r="I16" s="310">
        <f ca="1">SUMIF(SALE!$B$6:F517,'SALE PARTYWISE '!$C$10:$C$283,SALE!$L$7:L500)</f>
        <v>0</v>
      </c>
      <c r="J16" s="329">
        <f t="shared" ca="1" si="3"/>
        <v>1063960.3929999999</v>
      </c>
    </row>
    <row r="17" spans="1:10" x14ac:dyDescent="0.25">
      <c r="A17" s="8">
        <v>8</v>
      </c>
      <c r="B17" s="11" t="s">
        <v>29</v>
      </c>
      <c r="C17" s="11" t="s">
        <v>50</v>
      </c>
      <c r="D17" s="310">
        <f>COUNTIF(SALE!$A$7:$A$502,$B$10:$B$273)</f>
        <v>0</v>
      </c>
      <c r="E17" s="310">
        <f>SUMIF(SALE!$A$7:$A$502,$B$10:$B$273,SALE!$K$7:$K$502)</f>
        <v>0</v>
      </c>
      <c r="F17" s="310">
        <f>SUMIF(SALE!$A$7:$A$502,$B$10:$B$273,SALE!$M$7:$M$502)</f>
        <v>0</v>
      </c>
      <c r="G17" s="310">
        <f>SUMIF(SALE!$A$7:$A$502,$B$10:$B$273,SALE!$N$7:$N$502)</f>
        <v>0</v>
      </c>
      <c r="H17" s="310">
        <f>SUMIF(SALE!$A$7:$A$502,$B$10:$B$273,SALE!$O$7:$O$502)</f>
        <v>0</v>
      </c>
      <c r="I17" s="310">
        <f ca="1">SUMIF(SALE!$B$6:F518,'SALE PARTYWISE '!$C$10:$C$283,SALE!$L$7:L501)</f>
        <v>0</v>
      </c>
      <c r="J17" s="329">
        <f t="shared" ca="1" si="3"/>
        <v>0</v>
      </c>
    </row>
    <row r="18" spans="1:10" x14ac:dyDescent="0.25">
      <c r="A18" s="8">
        <v>9</v>
      </c>
      <c r="B18" s="9" t="s">
        <v>30</v>
      </c>
      <c r="C18" s="9" t="s">
        <v>51</v>
      </c>
      <c r="D18" s="436">
        <f>COUNTIF(SALE!$A$7:$A$502,$B$10:$B$273)</f>
        <v>4</v>
      </c>
      <c r="E18" s="436">
        <f>SUMIF(SALE!$A$7:$A$502,$B$10:$B$273,SALE!$K$7:$K$502)</f>
        <v>6576</v>
      </c>
      <c r="F18" s="310">
        <f>SUMIF(SALE!$A$7:$A$502,$B$10:$B$273,SALE!$M$7:$M$502)</f>
        <v>0</v>
      </c>
      <c r="G18" s="310">
        <f>SUMIF(SALE!$A$7:$A$502,$B$10:$B$273,SALE!$N$7:$N$502)</f>
        <v>591.84</v>
      </c>
      <c r="H18" s="310">
        <f>SUMIF(SALE!$A$7:$A$502,$B$10:$B$273,SALE!$O$7:$O$502)</f>
        <v>591.84</v>
      </c>
      <c r="I18" s="310">
        <f ca="1">SUMIF(SALE!$B$6:F519,'SALE PARTYWISE '!$C$10:$C$283,SALE!$L$7:L502)</f>
        <v>0</v>
      </c>
      <c r="J18" s="329">
        <f t="shared" ca="1" si="3"/>
        <v>7759.68</v>
      </c>
    </row>
    <row r="19" spans="1:10" x14ac:dyDescent="0.25">
      <c r="A19" s="8">
        <v>10</v>
      </c>
      <c r="B19" s="11" t="s">
        <v>31</v>
      </c>
      <c r="C19" s="11" t="s">
        <v>52</v>
      </c>
      <c r="D19" s="310">
        <f>COUNTIF(SALE!$A$7:$A$502,$B$10:$B$273)</f>
        <v>46</v>
      </c>
      <c r="E19" s="310">
        <f>SUMIF(SALE!$A$7:$A$502,$B$10:$B$273,SALE!$K$7:$K$502)</f>
        <v>265789.83999999985</v>
      </c>
      <c r="F19" s="310">
        <f>SUMIF(SALE!$A$7:$A$502,$B$10:$B$273,SALE!$M$7:$M$502)</f>
        <v>0</v>
      </c>
      <c r="G19" s="310">
        <f>SUMIF(SALE!$A$7:$A$502,$B$10:$B$273,SALE!$N$7:$N$502)</f>
        <v>23921.085599999991</v>
      </c>
      <c r="H19" s="310">
        <f>SUMIF(SALE!$A$7:$A$502,$B$10:$B$273,SALE!$O$7:$O$502)</f>
        <v>23921.085599999991</v>
      </c>
      <c r="I19" s="310">
        <f ca="1">SUMIF(SALE!$B$6:F520,'SALE PARTYWISE '!$C$10:$C$283,SALE!$L$7:L503)</f>
        <v>0</v>
      </c>
      <c r="J19" s="329">
        <f t="shared" ca="1" si="3"/>
        <v>310469.56239999982</v>
      </c>
    </row>
    <row r="20" spans="1:10" x14ac:dyDescent="0.25">
      <c r="A20" s="8">
        <v>11</v>
      </c>
      <c r="B20" s="11" t="s">
        <v>32</v>
      </c>
      <c r="C20" s="11" t="s">
        <v>53</v>
      </c>
      <c r="D20" s="310">
        <f>COUNTIF(SALE!$A$7:$A$502,$B$10:$B$273)</f>
        <v>25</v>
      </c>
      <c r="E20" s="310">
        <f>SUMIF(SALE!$A$7:$A$502,$B$10:$B$273,SALE!$K$7:$K$502)</f>
        <v>683425.70000000007</v>
      </c>
      <c r="F20" s="310">
        <f>SUMIF(SALE!$A$7:$A$502,$B$10:$B$273,SALE!$M$7:$M$502)</f>
        <v>0</v>
      </c>
      <c r="G20" s="310">
        <f>SUMIF(SALE!$A$7:$A$502,$B$10:$B$273,SALE!$N$7:$N$502)</f>
        <v>95679.597999999998</v>
      </c>
      <c r="H20" s="310">
        <f>SUMIF(SALE!$A$7:$A$502,$B$10:$B$273,SALE!$O$7:$O$502)</f>
        <v>95679.597999999998</v>
      </c>
      <c r="I20" s="310">
        <f ca="1">SUMIF(SALE!$B$6:F521,'SALE PARTYWISE '!$C$10:$C$283,SALE!$L$7:L504)</f>
        <v>0</v>
      </c>
      <c r="J20" s="329">
        <f t="shared" ca="1" si="3"/>
        <v>866343.45600000001</v>
      </c>
    </row>
    <row r="21" spans="1:10" x14ac:dyDescent="0.25">
      <c r="A21" s="8">
        <v>12</v>
      </c>
      <c r="B21" s="9" t="s">
        <v>33</v>
      </c>
      <c r="C21" s="9" t="s">
        <v>54</v>
      </c>
      <c r="D21" s="436">
        <f>COUNTIF(SALE!$A$7:$A$502,$B$10:$B$273)</f>
        <v>2</v>
      </c>
      <c r="E21" s="436">
        <f>SUMIF(SALE!$A$7:$A$502,$B$10:$B$273,SALE!$K$7:$K$502)</f>
        <v>36628.800000000003</v>
      </c>
      <c r="F21" s="436">
        <f>SUMIF(SALE!$A$7:$A$502,$B$10:$B$273,SALE!$M$7:$M$502)</f>
        <v>0</v>
      </c>
      <c r="G21" s="436">
        <f>SUMIF(SALE!$A$7:$A$502,$B$10:$B$273,SALE!$N$7:$N$502)</f>
        <v>3296.5919999999996</v>
      </c>
      <c r="H21" s="436">
        <f>SUMIF(SALE!$A$7:$A$502,$B$10:$B$273,SALE!$O$7:$O$502)</f>
        <v>3296.5919999999996</v>
      </c>
      <c r="I21" s="310">
        <f ca="1">SUMIF(SALE!$B$6:F522,'SALE PARTYWISE '!$C$10:$C$283,SALE!$L$7:L505)</f>
        <v>0</v>
      </c>
      <c r="J21" s="329">
        <f t="shared" ca="1" si="3"/>
        <v>43221.984000000004</v>
      </c>
    </row>
    <row r="22" spans="1:10" x14ac:dyDescent="0.25">
      <c r="A22" s="8">
        <v>13</v>
      </c>
      <c r="B22" s="11" t="s">
        <v>34</v>
      </c>
      <c r="C22" s="11" t="s">
        <v>55</v>
      </c>
      <c r="D22" s="310">
        <f>COUNTIF(SALE!$A$7:$A$502,$B$10:$B$273)</f>
        <v>0</v>
      </c>
      <c r="E22" s="310">
        <f>SUMIF(SALE!$A$7:$A$502,$B$10:$B$273,SALE!$K$7:$K$502)</f>
        <v>0</v>
      </c>
      <c r="F22" s="310">
        <f>SUMIF(SALE!$A$7:$A$502,$B$10:$B$273,SALE!$M$7:$M$502)</f>
        <v>0</v>
      </c>
      <c r="G22" s="310">
        <f>SUMIF(SALE!$A$7:$A$502,$B$10:$B$273,SALE!$N$7:$N$502)</f>
        <v>0</v>
      </c>
      <c r="H22" s="310">
        <f>SUMIF(SALE!$A$7:$A$502,$B$10:$B$273,SALE!$O$7:$O$502)</f>
        <v>0</v>
      </c>
      <c r="I22" s="310">
        <f ca="1">SUMIF(SALE!$B$6:F523,'SALE PARTYWISE '!$C$10:$C$283,SALE!$L$7:L506)</f>
        <v>0</v>
      </c>
      <c r="J22" s="329">
        <f t="shared" ca="1" si="3"/>
        <v>0</v>
      </c>
    </row>
    <row r="23" spans="1:10" x14ac:dyDescent="0.25">
      <c r="A23" s="8">
        <v>14</v>
      </c>
      <c r="B23" s="282" t="s">
        <v>35</v>
      </c>
      <c r="C23" s="282" t="s">
        <v>56</v>
      </c>
      <c r="D23" s="310">
        <f>COUNTIF(SALE!$A$7:$A$502,$B$10:$B$273)</f>
        <v>0</v>
      </c>
      <c r="E23" s="310">
        <f>SUMIF(SALE!$A$7:$A$502,$B$10:$B$273,SALE!$K$7:$K$502)</f>
        <v>0</v>
      </c>
      <c r="F23" s="310">
        <f>SUMIF(SALE!$A$7:$A$502,$B$10:$B$273,SALE!$M$7:$M$502)</f>
        <v>0</v>
      </c>
      <c r="G23" s="310">
        <f>SUMIF(SALE!$A$7:$A$502,$B$10:$B$273,SALE!$N$7:$N$502)</f>
        <v>0</v>
      </c>
      <c r="H23" s="310">
        <f>SUMIF(SALE!$A$7:$A$502,$B$10:$B$273,SALE!$O$7:$O$502)</f>
        <v>0</v>
      </c>
      <c r="I23" s="310">
        <f ca="1">SUMIF(SALE!$B$6:F524,'SALE PARTYWISE '!$C$10:$C$283,SALE!$L$7:L507)</f>
        <v>0</v>
      </c>
      <c r="J23" s="329">
        <f t="shared" ca="1" si="3"/>
        <v>0</v>
      </c>
    </row>
    <row r="24" spans="1:10" x14ac:dyDescent="0.25">
      <c r="A24" s="8">
        <v>15</v>
      </c>
      <c r="B24" s="282" t="s">
        <v>36</v>
      </c>
      <c r="C24" s="282" t="s">
        <v>57</v>
      </c>
      <c r="D24" s="310">
        <f>COUNTIF(SALE!$A$7:$A$502,$B$10:$B$273)</f>
        <v>5</v>
      </c>
      <c r="E24" s="310">
        <f>SUMIF(SALE!$A$7:$A$502,$B$10:$B$273,SALE!$K$7:$K$502)</f>
        <v>14250</v>
      </c>
      <c r="F24" s="310">
        <f>SUMIF(SALE!$A$7:$A$502,$B$10:$B$273,SALE!$M$7:$M$502)</f>
        <v>0</v>
      </c>
      <c r="G24" s="310">
        <f>SUMIF(SALE!$A$7:$A$502,$B$10:$B$273,SALE!$N$7:$N$502)</f>
        <v>1282.5</v>
      </c>
      <c r="H24" s="310">
        <f>SUMIF(SALE!$A$7:$A$502,$B$10:$B$273,SALE!$O$7:$O$502)</f>
        <v>1282.5</v>
      </c>
      <c r="I24" s="310">
        <f ca="1">SUMIF(SALE!$B$6:F525,'SALE PARTYWISE '!$C$10:$C$283,SALE!$L$7:L508)</f>
        <v>0</v>
      </c>
      <c r="J24" s="329">
        <f t="shared" ca="1" si="3"/>
        <v>16815</v>
      </c>
    </row>
    <row r="25" spans="1:10" x14ac:dyDescent="0.25">
      <c r="A25" s="8">
        <v>16</v>
      </c>
      <c r="B25" s="11" t="s">
        <v>37</v>
      </c>
      <c r="C25" s="11" t="s">
        <v>58</v>
      </c>
      <c r="D25" s="310">
        <f>COUNTIF(SALE!$A$7:$A$502,$B$10:$B$273)</f>
        <v>0</v>
      </c>
      <c r="E25" s="310">
        <f>SUMIF(SALE!$A$7:$A$502,$B$10:$B$273,SALE!$K$7:$K$502)</f>
        <v>0</v>
      </c>
      <c r="F25" s="310">
        <f>SUMIF(SALE!$A$7:$A$502,$B$10:$B$273,SALE!$M$7:$M$502)</f>
        <v>0</v>
      </c>
      <c r="G25" s="310">
        <f>SUMIF(SALE!$A$7:$A$502,$B$10:$B$273,SALE!$N$7:$N$502)</f>
        <v>0</v>
      </c>
      <c r="H25" s="310">
        <f>SUMIF(SALE!$A$7:$A$502,$B$10:$B$273,SALE!$O$7:$O$502)</f>
        <v>0</v>
      </c>
      <c r="I25" s="310">
        <f ca="1">SUMIF(SALE!$B$6:F526,'SALE PARTYWISE '!$C$10:$C$283,SALE!$L$7:L509)</f>
        <v>0</v>
      </c>
      <c r="J25" s="329">
        <f t="shared" ca="1" si="3"/>
        <v>0</v>
      </c>
    </row>
    <row r="26" spans="1:10" x14ac:dyDescent="0.25">
      <c r="A26" s="8">
        <v>17</v>
      </c>
      <c r="B26" s="11" t="s">
        <v>38</v>
      </c>
      <c r="C26" s="11" t="s">
        <v>59</v>
      </c>
      <c r="D26" s="310">
        <f>COUNTIF(SALE!$A$7:$A$502,$B$10:$B$273)</f>
        <v>0</v>
      </c>
      <c r="E26" s="310">
        <f>SUMIF(SALE!$A$7:$A$502,$B$10:$B$273,SALE!$K$7:$K$502)</f>
        <v>0</v>
      </c>
      <c r="F26" s="310">
        <f>SUMIF(SALE!$A$7:$A$502,$B$10:$B$273,SALE!$M$7:$M$502)</f>
        <v>0</v>
      </c>
      <c r="G26" s="310">
        <f>SUMIF(SALE!$A$7:$A$502,$B$10:$B$273,SALE!$N$7:$N$502)</f>
        <v>0</v>
      </c>
      <c r="H26" s="310">
        <f>SUMIF(SALE!$A$7:$A$502,$B$10:$B$273,SALE!$O$7:$O$502)</f>
        <v>0</v>
      </c>
      <c r="I26" s="310">
        <f ca="1">SUMIF(SALE!$B$6:F527,'SALE PARTYWISE '!$C$10:$C$283,SALE!$L$7:L510)</f>
        <v>0</v>
      </c>
      <c r="J26" s="329">
        <f t="shared" ca="1" si="3"/>
        <v>0</v>
      </c>
    </row>
    <row r="27" spans="1:10" x14ac:dyDescent="0.25">
      <c r="A27" s="8">
        <v>18</v>
      </c>
      <c r="B27" s="11" t="s">
        <v>39</v>
      </c>
      <c r="C27" s="11" t="s">
        <v>60</v>
      </c>
      <c r="D27" s="310">
        <f>COUNTIF(SALE!$A$7:$A$502,$B$10:$B$273)</f>
        <v>0</v>
      </c>
      <c r="E27" s="310">
        <f>SUMIF(SALE!$A$7:$A$502,$B$10:$B$273,SALE!$K$7:$K$502)</f>
        <v>0</v>
      </c>
      <c r="F27" s="310">
        <f>SUMIF(SALE!$A$7:$A$502,$B$10:$B$273,SALE!$M$7:$M$502)</f>
        <v>0</v>
      </c>
      <c r="G27" s="310">
        <f>SUMIF(SALE!$A$7:$A$502,$B$10:$B$273,SALE!$N$7:$N$502)</f>
        <v>0</v>
      </c>
      <c r="H27" s="310">
        <f>SUMIF(SALE!$A$7:$A$502,$B$10:$B$273,SALE!$O$7:$O$502)</f>
        <v>0</v>
      </c>
      <c r="I27" s="310">
        <f ca="1">SUMIF(SALE!$B$6:F528,'SALE PARTYWISE '!$C$10:$C$283,SALE!$L$7:L511)</f>
        <v>0</v>
      </c>
      <c r="J27" s="329">
        <f t="shared" ca="1" si="3"/>
        <v>0</v>
      </c>
    </row>
    <row r="28" spans="1:10" x14ac:dyDescent="0.25">
      <c r="A28" s="8">
        <v>19</v>
      </c>
      <c r="B28" s="10" t="s">
        <v>40</v>
      </c>
      <c r="C28" s="10" t="s">
        <v>61</v>
      </c>
      <c r="D28" s="310">
        <f>COUNTIF(SALE!$A$7:$A$502,$B$10:$B$273)</f>
        <v>0</v>
      </c>
      <c r="E28" s="310">
        <f>SUMIF(SALE!$A$7:$A$502,$B$10:$B$273,SALE!$K$7:$K$502)</f>
        <v>0</v>
      </c>
      <c r="F28" s="310">
        <f>SUMIF(SALE!$A$7:$A$502,$B$10:$B$273,SALE!$M$7:$M$502)</f>
        <v>0</v>
      </c>
      <c r="G28" s="310">
        <f>SUMIF(SALE!$A$7:$A$502,$B$10:$B$273,SALE!$N$7:$N$502)</f>
        <v>0</v>
      </c>
      <c r="H28" s="310">
        <f>SUMIF(SALE!$A$7:$A$502,$B$10:$B$273,SALE!$O$7:$O$502)</f>
        <v>0</v>
      </c>
      <c r="I28" s="310">
        <f ca="1">SUMIF(SALE!$B$6:F529,'SALE PARTYWISE '!$C$10:$C$283,SALE!$L$7:L512)</f>
        <v>0</v>
      </c>
      <c r="J28" s="329">
        <f t="shared" ca="1" si="3"/>
        <v>0</v>
      </c>
    </row>
    <row r="29" spans="1:10" x14ac:dyDescent="0.25">
      <c r="A29" s="8">
        <v>20</v>
      </c>
      <c r="B29" s="10" t="s">
        <v>41</v>
      </c>
      <c r="C29" s="10" t="s">
        <v>62</v>
      </c>
      <c r="D29" s="310">
        <f>COUNTIF(SALE!$A$7:$A$502,$B$10:$B$273)</f>
        <v>0</v>
      </c>
      <c r="E29" s="310">
        <f>SUMIF(SALE!$A$7:$A$502,$B$10:$B$273,SALE!$K$7:$K$502)</f>
        <v>0</v>
      </c>
      <c r="F29" s="310">
        <f>SUMIF(SALE!$A$7:$A$502,$B$10:$B$273,SALE!$M$7:$M$502)</f>
        <v>0</v>
      </c>
      <c r="G29" s="310">
        <f>SUMIF(SALE!$A$7:$A$502,$B$10:$B$273,SALE!$N$7:$N$502)</f>
        <v>0</v>
      </c>
      <c r="H29" s="310">
        <f>SUMIF(SALE!$A$7:$A$502,$B$10:$B$273,SALE!$O$7:$O$502)</f>
        <v>0</v>
      </c>
      <c r="I29" s="310">
        <f ca="1">SUMIF(SALE!$B$6:F530,'SALE PARTYWISE '!$C$10:$C$283,SALE!$L$7:L513)</f>
        <v>0</v>
      </c>
      <c r="J29" s="329">
        <f t="shared" ca="1" si="3"/>
        <v>0</v>
      </c>
    </row>
    <row r="30" spans="1:10" x14ac:dyDescent="0.25">
      <c r="A30" s="8">
        <v>21</v>
      </c>
      <c r="B30" s="10" t="s">
        <v>42</v>
      </c>
      <c r="C30" s="10" t="s">
        <v>63</v>
      </c>
      <c r="D30" s="310">
        <f>COUNTIF(SALE!$A$7:$A$502,$B$10:$B$273)</f>
        <v>0</v>
      </c>
      <c r="E30" s="310">
        <f>SUMIF(SALE!$A$7:$A$502,$B$10:$B$273,SALE!$K$7:$K$502)</f>
        <v>0</v>
      </c>
      <c r="F30" s="310">
        <f>SUMIF(SALE!$A$7:$A$502,$B$10:$B$273,SALE!$M$7:$M$502)</f>
        <v>0</v>
      </c>
      <c r="G30" s="310">
        <f>SUMIF(SALE!$A$7:$A$502,$B$10:$B$273,SALE!$N$7:$N$502)</f>
        <v>0</v>
      </c>
      <c r="H30" s="310">
        <f>SUMIF(SALE!$A$7:$A$502,$B$10:$B$273,SALE!$O$7:$O$502)</f>
        <v>0</v>
      </c>
      <c r="I30" s="310">
        <f ca="1">SUMIF(SALE!$B$6:F531,'SALE PARTYWISE '!$C$10:$C$283,SALE!$L$7:L514)</f>
        <v>0</v>
      </c>
      <c r="J30" s="329">
        <f t="shared" ca="1" si="3"/>
        <v>0</v>
      </c>
    </row>
    <row r="31" spans="1:10" ht="14.4" x14ac:dyDescent="0.3">
      <c r="A31" s="8">
        <v>22</v>
      </c>
      <c r="B31" s="303" t="s">
        <v>860</v>
      </c>
      <c r="C31" s="303" t="s">
        <v>861</v>
      </c>
      <c r="D31" s="310">
        <f>COUNTIF(SALE!$A$7:$A$502,$B$10:$B$273)</f>
        <v>0</v>
      </c>
      <c r="E31" s="310">
        <f>SUMIF(SALE!$A$7:$A$502,$B$10:$B$273,SALE!$K$7:$K$502)</f>
        <v>0</v>
      </c>
      <c r="F31" s="310">
        <f>SUMIF(SALE!$A$7:$A$502,$B$10:$B$273,SALE!$M$7:$M$502)</f>
        <v>0</v>
      </c>
      <c r="G31" s="310">
        <f>SUMIF(SALE!$A$7:$A$502,$B$10:$B$273,SALE!$N$7:$N$502)</f>
        <v>0</v>
      </c>
      <c r="H31" s="310">
        <f>SUMIF(SALE!$A$7:$A$502,$B$10:$B$273,SALE!$O$7:$O$502)</f>
        <v>0</v>
      </c>
      <c r="I31" s="310">
        <f ca="1">SUMIF(SALE!$B$6:F532,'SALE PARTYWISE '!$C$10:$C$283,SALE!$L$7:L515)</f>
        <v>0</v>
      </c>
      <c r="J31" s="329">
        <f t="shared" ca="1" si="3"/>
        <v>0</v>
      </c>
    </row>
    <row r="32" spans="1:10" ht="14.4" x14ac:dyDescent="0.3">
      <c r="A32" s="8">
        <v>23</v>
      </c>
      <c r="B32" s="438" t="s">
        <v>862</v>
      </c>
      <c r="C32" s="438" t="s">
        <v>863</v>
      </c>
      <c r="D32" s="436">
        <f>COUNTIF(SALE!$A$7:$A$502,$B$10:$B$273)</f>
        <v>28</v>
      </c>
      <c r="E32" s="436">
        <f>SUMIF(SALE!$A$7:$A$502,$B$10:$B$273,SALE!$K$7:$K$502)</f>
        <v>1184402.8799999999</v>
      </c>
      <c r="F32" s="310">
        <f>SUMIF(SALE!$A$7:$A$502,$B$10:$B$273,SALE!$M$7:$M$502)</f>
        <v>0</v>
      </c>
      <c r="G32" s="310">
        <f>SUMIF(SALE!$A$7:$A$502,$B$10:$B$273,SALE!$N$7:$N$502)</f>
        <v>165816.40320000003</v>
      </c>
      <c r="H32" s="310">
        <f>SUMIF(SALE!$A$7:$A$502,$B$10:$B$273,SALE!$O$7:$O$502)</f>
        <v>165816.40320000003</v>
      </c>
      <c r="I32" s="310">
        <f ca="1">SUMIF(SALE!$B$6:F533,'SALE PARTYWISE '!$C$10:$C$283,SALE!$L$7:L516)</f>
        <v>0</v>
      </c>
      <c r="J32" s="329">
        <f t="shared" ref="J32" ca="1" si="4">+I32+H32+G32+F32+E32</f>
        <v>1475410.9103999999</v>
      </c>
    </row>
    <row r="33" spans="1:10" x14ac:dyDescent="0.25">
      <c r="A33" s="8">
        <v>24</v>
      </c>
      <c r="B33" s="49" t="s">
        <v>978</v>
      </c>
      <c r="C33" s="49" t="s">
        <v>979</v>
      </c>
      <c r="D33" s="436">
        <f>COUNTIF(SALE!$A$7:$A$502,$B$10:$B$273)</f>
        <v>4</v>
      </c>
      <c r="E33" s="436">
        <f>SUMIF(SALE!$A$7:$A$502,$B$10:$B$273,SALE!$K$7:$K$502)</f>
        <v>25307.32</v>
      </c>
      <c r="F33" s="436">
        <f>SUMIF(SALE!$A$7:$A$502,$B$10:$B$273,SALE!$M$7:$M$502)</f>
        <v>4555.3176000000003</v>
      </c>
      <c r="G33" s="310">
        <f>SUMIF(SALE!$A$7:$A$502,$B$10:$B$273,SALE!$N$7:$N$502)</f>
        <v>0</v>
      </c>
      <c r="H33" s="310">
        <f>SUMIF(SALE!$A$7:$A$502,$B$10:$B$273,SALE!$O$7:$O$502)</f>
        <v>0</v>
      </c>
      <c r="I33" s="310">
        <f ca="1">SUMIF(SALE!$B$6:F534,'SALE PARTYWISE '!$C$10:$C$283,SALE!$L$7:L517)</f>
        <v>0</v>
      </c>
      <c r="J33" s="329">
        <f t="shared" ref="J33" ca="1" si="5">+I33+H33+G33+F33+E33</f>
        <v>1475410.9103999999</v>
      </c>
    </row>
    <row r="34" spans="1:10" ht="14.4" x14ac:dyDescent="0.3">
      <c r="A34" s="8">
        <v>25</v>
      </c>
      <c r="B34" s="423" t="s">
        <v>969</v>
      </c>
      <c r="C34" s="199" t="str">
        <f ca="1">VLOOKUP(B34,'SALE PARTY MASTR '!$B$5:$G$280,2,FALSE)</f>
        <v>Membrane Filers (India) Pvt.Ltd</v>
      </c>
      <c r="D34" s="436">
        <f>COUNTIF(SALE!$A$7:$A$502,$B$10:$B$273)</f>
        <v>1</v>
      </c>
      <c r="E34" s="436">
        <f>SUMIF(SALE!$A$7:$A$502,$B$10:$B$273,SALE!$K$7:$K$502)</f>
        <v>33300</v>
      </c>
      <c r="F34" s="436">
        <f>SUMIF(SALE!$A$7:$A$502,$B$10:$B$273,SALE!$M$7:$M$502)</f>
        <v>0</v>
      </c>
      <c r="G34" s="310">
        <f>SUMIF(SALE!$A$7:$A$502,$B$10:$B$273,SALE!$N$7:$N$502)</f>
        <v>2997</v>
      </c>
      <c r="H34" s="310">
        <f>SUMIF(SALE!$A$7:$A$502,$B$10:$B$273,SALE!$O$7:$O$502)</f>
        <v>2997</v>
      </c>
      <c r="I34" s="310">
        <f ca="1">SUMIF(SALE!$B$6:F535,'SALE PARTYWISE '!$C$10:$C$283,SALE!$L$7:L518)</f>
        <v>0</v>
      </c>
      <c r="J34" s="329">
        <f t="shared" ref="J34" ca="1" si="6">+I34+H34+G34+F34+E34</f>
        <v>1475410.9103999999</v>
      </c>
    </row>
    <row r="35" spans="1:10" ht="14.4" x14ac:dyDescent="0.3">
      <c r="A35" s="8">
        <v>26</v>
      </c>
      <c r="B35" s="423" t="s">
        <v>976</v>
      </c>
      <c r="C35" s="199" t="str">
        <f>VLOOKUP(B35,'SALE PARTY MASTR '!$B$5:$G$280,2,FALSE)</f>
        <v>Renata Precision Components Pvt Ltd</v>
      </c>
      <c r="D35" s="310">
        <f>COUNTIF(SALE!$A$7:$A$502,$B$10:$B$273)</f>
        <v>1</v>
      </c>
      <c r="E35" s="436">
        <f>SUMIF(SALE!$A$7:$A$502,$B$10:$B$273,SALE!$K$7:$K$502)</f>
        <v>32100</v>
      </c>
      <c r="F35" s="436">
        <f>SUMIF(SALE!$A$7:$A$502,$B$10:$B$273,SALE!$M$7:$M$502)</f>
        <v>0</v>
      </c>
      <c r="G35" s="310">
        <f>SUMIF(SALE!$A$7:$A$502,$B$10:$B$273,SALE!$N$7:$N$502)</f>
        <v>2889</v>
      </c>
      <c r="H35" s="310">
        <f>SUMIF(SALE!$A$7:$A$502,$B$10:$B$273,SALE!$O$7:$O$502)</f>
        <v>2889</v>
      </c>
      <c r="I35" s="310">
        <f ca="1">SUMIF(SALE!$B$6:F536,'SALE PARTYWISE '!$C$10:$C$283,SALE!$L$7:L519)</f>
        <v>0</v>
      </c>
      <c r="J35" s="329">
        <f t="shared" ref="J35" ca="1" si="7">+I35+H35+G35+F35+E35</f>
        <v>1475410.9103999999</v>
      </c>
    </row>
    <row r="36" spans="1:10" x14ac:dyDescent="0.25">
      <c r="A36" s="8"/>
      <c r="B36" s="8"/>
      <c r="C36" s="8"/>
      <c r="D36" s="310">
        <f>COUNTIF(SALE!$A$7:$A$502,$B$10:$B$273)</f>
        <v>0</v>
      </c>
      <c r="E36" s="329"/>
      <c r="F36" s="329"/>
      <c r="G36" s="329"/>
      <c r="H36" s="329"/>
      <c r="I36" s="329"/>
      <c r="J36" s="329"/>
    </row>
    <row r="37" spans="1:10" x14ac:dyDescent="0.25">
      <c r="A37" s="8"/>
      <c r="B37" s="8"/>
      <c r="C37" s="8"/>
      <c r="D37" s="310">
        <f>COUNTIF(SALE!$A$7:$A$502,$B$10:$B$273)</f>
        <v>0</v>
      </c>
      <c r="E37" s="329"/>
      <c r="F37" s="329"/>
      <c r="G37" s="329"/>
      <c r="H37" s="329"/>
      <c r="I37" s="329"/>
      <c r="J37" s="329"/>
    </row>
    <row r="38" spans="1:10" x14ac:dyDescent="0.25">
      <c r="A38" s="8"/>
      <c r="B38" s="8"/>
      <c r="C38" s="8"/>
      <c r="D38" s="310">
        <f>COUNTIF(SALE!$A$7:$A$502,$B$10:$B$273)</f>
        <v>0</v>
      </c>
      <c r="E38" s="329"/>
      <c r="F38" s="329"/>
      <c r="G38" s="329"/>
      <c r="H38" s="329"/>
      <c r="I38" s="329"/>
      <c r="J38" s="329"/>
    </row>
    <row r="39" spans="1:10" x14ac:dyDescent="0.25">
      <c r="A39" s="8"/>
      <c r="B39" s="8"/>
      <c r="C39" s="8"/>
      <c r="D39" s="310">
        <f>COUNTIF(SALE!$A$7:$A$502,$B$10:$B$273)</f>
        <v>0</v>
      </c>
      <c r="E39" s="329"/>
      <c r="F39" s="329"/>
      <c r="G39" s="329"/>
      <c r="H39" s="329"/>
      <c r="I39" s="329"/>
      <c r="J39" s="329"/>
    </row>
    <row r="40" spans="1:10" x14ac:dyDescent="0.25">
      <c r="A40" s="8"/>
      <c r="B40" s="8"/>
      <c r="C40" s="8"/>
      <c r="D40" s="310">
        <f>COUNTIF(SALE!$A$7:$A$502,$B$10:$B$273)</f>
        <v>0</v>
      </c>
      <c r="E40" s="329"/>
      <c r="F40" s="329"/>
      <c r="G40" s="329"/>
      <c r="H40" s="329"/>
      <c r="I40" s="329"/>
      <c r="J40" s="329"/>
    </row>
    <row r="41" spans="1:10" x14ac:dyDescent="0.25">
      <c r="A41" s="8"/>
      <c r="B41" s="8"/>
      <c r="C41" s="8"/>
      <c r="D41" s="310">
        <f>COUNTIF(SALE!$A$7:$A$502,$B$10:$B$273)</f>
        <v>0</v>
      </c>
      <c r="E41" s="329"/>
      <c r="F41" s="329"/>
      <c r="G41" s="329"/>
      <c r="H41" s="329"/>
      <c r="I41" s="329"/>
      <c r="J41" s="329"/>
    </row>
    <row r="42" spans="1:10" x14ac:dyDescent="0.25">
      <c r="A42" s="8"/>
      <c r="B42" s="8"/>
      <c r="C42" s="8"/>
      <c r="D42" s="310">
        <f>COUNTIF(SALE!$A$7:$A$502,$B$10:$B$273)</f>
        <v>0</v>
      </c>
      <c r="E42" s="329"/>
      <c r="F42" s="329"/>
      <c r="G42" s="329"/>
      <c r="H42" s="329"/>
      <c r="I42" s="329"/>
      <c r="J42" s="329"/>
    </row>
    <row r="43" spans="1:10" x14ac:dyDescent="0.25">
      <c r="A43" s="8"/>
      <c r="B43" s="8"/>
      <c r="C43" s="8"/>
      <c r="D43" s="8"/>
      <c r="E43" s="329"/>
      <c r="F43" s="329"/>
      <c r="G43" s="329"/>
      <c r="H43" s="329"/>
      <c r="I43" s="329"/>
      <c r="J43" s="329"/>
    </row>
    <row r="44" spans="1:10" x14ac:dyDescent="0.25">
      <c r="A44" s="8"/>
      <c r="B44" s="8"/>
      <c r="C44" s="8"/>
      <c r="D44" s="8"/>
      <c r="E44" s="329"/>
      <c r="F44" s="329"/>
      <c r="G44" s="329"/>
      <c r="H44" s="329"/>
      <c r="I44" s="329"/>
      <c r="J44" s="329"/>
    </row>
    <row r="45" spans="1:10" x14ac:dyDescent="0.25">
      <c r="A45" s="8"/>
      <c r="B45" s="8"/>
      <c r="C45" s="8"/>
      <c r="D45" s="8"/>
      <c r="E45" s="329"/>
      <c r="F45" s="329"/>
      <c r="G45" s="329"/>
      <c r="H45" s="329"/>
      <c r="I45" s="329"/>
      <c r="J45" s="329"/>
    </row>
    <row r="46" spans="1:10" x14ac:dyDescent="0.25">
      <c r="A46" s="8"/>
      <c r="B46" s="8"/>
      <c r="C46" s="8"/>
      <c r="D46" s="8"/>
      <c r="E46" s="329"/>
      <c r="F46" s="329"/>
      <c r="G46" s="329"/>
      <c r="H46" s="329"/>
      <c r="I46" s="329"/>
      <c r="J46" s="329"/>
    </row>
    <row r="47" spans="1:10" x14ac:dyDescent="0.25">
      <c r="A47" s="8"/>
      <c r="B47" s="8"/>
      <c r="C47" s="8"/>
      <c r="D47" s="8"/>
      <c r="E47" s="329"/>
      <c r="F47" s="329"/>
      <c r="G47" s="329"/>
      <c r="H47" s="329"/>
      <c r="I47" s="329"/>
      <c r="J47" s="329"/>
    </row>
    <row r="48" spans="1:10" x14ac:dyDescent="0.25">
      <c r="A48" s="8"/>
      <c r="B48" s="8"/>
      <c r="C48" s="8"/>
      <c r="D48" s="8"/>
      <c r="E48" s="329"/>
      <c r="F48" s="329"/>
      <c r="G48" s="329"/>
      <c r="H48" s="329"/>
      <c r="I48" s="329"/>
      <c r="J48" s="329"/>
    </row>
    <row r="49" spans="1:10" x14ac:dyDescent="0.25">
      <c r="A49" s="8"/>
      <c r="B49" s="8"/>
      <c r="C49" s="8"/>
      <c r="D49" s="8"/>
      <c r="E49" s="329"/>
      <c r="F49" s="329"/>
      <c r="G49" s="329"/>
      <c r="H49" s="329"/>
      <c r="I49" s="329"/>
      <c r="J49" s="329"/>
    </row>
    <row r="50" spans="1:10" x14ac:dyDescent="0.25">
      <c r="A50" s="12"/>
      <c r="B50" s="12"/>
      <c r="C50" s="12"/>
      <c r="D50" s="12"/>
      <c r="E50" s="330"/>
      <c r="F50" s="330"/>
      <c r="G50" s="330"/>
      <c r="H50" s="330"/>
      <c r="I50" s="330"/>
      <c r="J50" s="330"/>
    </row>
  </sheetData>
  <mergeCells count="1">
    <mergeCell ref="A2:J2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'SALE MASTER'!$N$2:$N$10</xm:f>
          </x14:formula1>
          <xm:sqref>J3</xm:sqref>
        </x14:dataValidation>
        <x14:dataValidation type="list" allowBlank="1" showInputMessage="1" showErrorMessage="1">
          <x14:formula1>
            <xm:f>'SALE MASTER'!$M$2:$M$13</xm:f>
          </x14:formula1>
          <xm:sqref>J4</xm:sqref>
        </x14:dataValidation>
        <x14:dataValidation type="list" allowBlank="1" showInputMessage="1" showErrorMessage="1">
          <x14:formula1>
            <xm:f>'[4]SALE MASTR PARTY'!#REF!</xm:f>
          </x14:formula1>
          <xm:sqref>B35</xm:sqref>
        </x14:dataValidation>
      </x14:dataValidation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94"/>
  <sheetViews>
    <sheetView workbookViewId="0">
      <selection activeCell="A5" sqref="A5:XFD5"/>
    </sheetView>
  </sheetViews>
  <sheetFormatPr defaultColWidth="8.88671875" defaultRowHeight="13.8" x14ac:dyDescent="0.25"/>
  <cols>
    <col min="1" max="1" width="4" style="5" customWidth="1"/>
    <col min="2" max="2" width="20.5546875" style="5" customWidth="1"/>
    <col min="3" max="3" width="34.109375" style="5" customWidth="1"/>
    <col min="4" max="4" width="17.44140625" style="5" bestFit="1" customWidth="1"/>
    <col min="5" max="5" width="7.44140625" style="5" bestFit="1" customWidth="1"/>
    <col min="6" max="6" width="8.33203125" style="5" customWidth="1"/>
    <col min="7" max="7" width="11.6640625" style="5" bestFit="1" customWidth="1"/>
    <col min="8" max="8" width="6.33203125" style="5" bestFit="1" customWidth="1"/>
    <col min="9" max="9" width="8.88671875" style="5" customWidth="1"/>
    <col min="10" max="16384" width="8.88671875" style="5"/>
  </cols>
  <sheetData>
    <row r="4" spans="1:10" x14ac:dyDescent="0.25">
      <c r="A4" s="6" t="s">
        <v>64</v>
      </c>
      <c r="B4" s="6" t="s">
        <v>4</v>
      </c>
      <c r="C4" s="6" t="s">
        <v>6</v>
      </c>
      <c r="D4" s="6" t="s">
        <v>12</v>
      </c>
      <c r="E4" s="6" t="s">
        <v>13</v>
      </c>
      <c r="F4" s="6" t="s">
        <v>8</v>
      </c>
      <c r="G4" s="6" t="s">
        <v>17</v>
      </c>
      <c r="H4" s="17" t="s">
        <v>66</v>
      </c>
      <c r="I4" s="17" t="s">
        <v>67</v>
      </c>
      <c r="J4" s="17" t="s">
        <v>457</v>
      </c>
    </row>
    <row r="5" spans="1:10" ht="14.4" thickBot="1" x14ac:dyDescent="0.3">
      <c r="A5" s="7" t="s">
        <v>65</v>
      </c>
      <c r="B5" s="4" t="s">
        <v>3</v>
      </c>
      <c r="C5" s="4" t="s">
        <v>5</v>
      </c>
      <c r="D5" s="21" t="s">
        <v>11</v>
      </c>
      <c r="E5" s="16" t="s">
        <v>14</v>
      </c>
      <c r="F5" s="21" t="s">
        <v>15</v>
      </c>
      <c r="G5" s="21" t="s">
        <v>16</v>
      </c>
      <c r="H5" s="6" t="s">
        <v>68</v>
      </c>
      <c r="I5" s="6" t="s">
        <v>69</v>
      </c>
      <c r="J5" s="6" t="s">
        <v>0</v>
      </c>
    </row>
    <row r="6" spans="1:10" ht="14.4" x14ac:dyDescent="0.3">
      <c r="A6" s="128">
        <v>1</v>
      </c>
      <c r="B6" s="416" t="s">
        <v>27</v>
      </c>
      <c r="C6" s="416" t="s">
        <v>48</v>
      </c>
      <c r="D6" s="354" t="s">
        <v>70</v>
      </c>
      <c r="E6" s="354" t="s">
        <v>71</v>
      </c>
      <c r="F6" s="354" t="s">
        <v>72</v>
      </c>
      <c r="G6" s="354"/>
      <c r="H6" s="354">
        <v>2</v>
      </c>
      <c r="I6" s="355" t="s">
        <v>895</v>
      </c>
      <c r="J6" s="354"/>
    </row>
    <row r="7" spans="1:10" ht="14.4" x14ac:dyDescent="0.3">
      <c r="A7" s="128">
        <v>2</v>
      </c>
      <c r="B7" s="417" t="s">
        <v>333</v>
      </c>
      <c r="C7" s="417" t="s">
        <v>393</v>
      </c>
      <c r="D7" s="336" t="s">
        <v>70</v>
      </c>
      <c r="E7" s="336" t="s">
        <v>71</v>
      </c>
      <c r="F7" s="336" t="s">
        <v>72</v>
      </c>
      <c r="G7" s="336"/>
      <c r="H7" s="336">
        <v>2</v>
      </c>
      <c r="I7" s="356" t="s">
        <v>895</v>
      </c>
      <c r="J7" s="336"/>
    </row>
    <row r="8" spans="1:10" ht="14.4" x14ac:dyDescent="0.3">
      <c r="A8" s="128">
        <v>3</v>
      </c>
      <c r="B8" s="417" t="s">
        <v>37</v>
      </c>
      <c r="C8" s="417" t="s">
        <v>58</v>
      </c>
      <c r="D8" s="336" t="s">
        <v>73</v>
      </c>
      <c r="E8" s="336" t="s">
        <v>71</v>
      </c>
      <c r="F8" s="336" t="s">
        <v>72</v>
      </c>
      <c r="G8" s="336"/>
      <c r="H8" s="336">
        <v>2</v>
      </c>
      <c r="I8" s="356" t="s">
        <v>896</v>
      </c>
      <c r="J8" s="336"/>
    </row>
    <row r="9" spans="1:10" ht="14.4" x14ac:dyDescent="0.3">
      <c r="A9" s="128">
        <v>4</v>
      </c>
      <c r="B9" s="417" t="s">
        <v>334</v>
      </c>
      <c r="C9" s="417" t="s">
        <v>394</v>
      </c>
      <c r="D9" s="336" t="s">
        <v>70</v>
      </c>
      <c r="E9" s="336" t="s">
        <v>71</v>
      </c>
      <c r="F9" s="336" t="s">
        <v>72</v>
      </c>
      <c r="G9" s="336"/>
      <c r="H9" s="336">
        <v>2</v>
      </c>
      <c r="I9" s="356" t="s">
        <v>895</v>
      </c>
      <c r="J9" s="336"/>
    </row>
    <row r="10" spans="1:10" ht="14.4" x14ac:dyDescent="0.3">
      <c r="A10" s="128">
        <v>5</v>
      </c>
      <c r="B10" s="417" t="s">
        <v>335</v>
      </c>
      <c r="C10" s="417" t="s">
        <v>395</v>
      </c>
      <c r="D10" s="336" t="s">
        <v>70</v>
      </c>
      <c r="E10" s="336" t="s">
        <v>71</v>
      </c>
      <c r="F10" s="336" t="s">
        <v>72</v>
      </c>
      <c r="G10" s="336"/>
      <c r="H10" s="336">
        <v>2</v>
      </c>
      <c r="I10" s="356" t="s">
        <v>895</v>
      </c>
      <c r="J10" s="336"/>
    </row>
    <row r="11" spans="1:10" ht="14.4" x14ac:dyDescent="0.3">
      <c r="A11" s="128">
        <v>6</v>
      </c>
      <c r="B11" s="3" t="s">
        <v>336</v>
      </c>
      <c r="C11" s="3" t="s">
        <v>396</v>
      </c>
      <c r="D11" s="336" t="s">
        <v>70</v>
      </c>
      <c r="E11" s="336" t="s">
        <v>71</v>
      </c>
      <c r="F11" s="336" t="s">
        <v>72</v>
      </c>
      <c r="G11" s="336"/>
      <c r="H11" s="336">
        <v>2</v>
      </c>
      <c r="I11" s="356" t="s">
        <v>895</v>
      </c>
      <c r="J11" s="336"/>
    </row>
    <row r="12" spans="1:10" ht="14.4" x14ac:dyDescent="0.3">
      <c r="A12" s="128">
        <v>7</v>
      </c>
      <c r="B12" s="417" t="s">
        <v>337</v>
      </c>
      <c r="C12" s="417" t="s">
        <v>397</v>
      </c>
      <c r="D12" s="336" t="s">
        <v>70</v>
      </c>
      <c r="E12" s="336" t="s">
        <v>71</v>
      </c>
      <c r="F12" s="336" t="s">
        <v>72</v>
      </c>
      <c r="G12" s="336"/>
      <c r="H12" s="336">
        <v>2</v>
      </c>
      <c r="I12" s="356" t="s">
        <v>895</v>
      </c>
      <c r="J12" s="336"/>
    </row>
    <row r="13" spans="1:10" ht="14.4" x14ac:dyDescent="0.3">
      <c r="A13" s="128">
        <v>8</v>
      </c>
      <c r="B13" s="417" t="s">
        <v>338</v>
      </c>
      <c r="C13" s="417" t="s">
        <v>398</v>
      </c>
      <c r="D13" s="336" t="s">
        <v>70</v>
      </c>
      <c r="E13" s="336" t="s">
        <v>71</v>
      </c>
      <c r="F13" s="336" t="s">
        <v>72</v>
      </c>
      <c r="G13" s="336"/>
      <c r="H13" s="336">
        <v>2</v>
      </c>
      <c r="I13" s="356" t="s">
        <v>895</v>
      </c>
      <c r="J13" s="336"/>
    </row>
    <row r="14" spans="1:10" ht="14.4" x14ac:dyDescent="0.3">
      <c r="A14" s="128">
        <v>9</v>
      </c>
      <c r="B14" s="417" t="s">
        <v>339</v>
      </c>
      <c r="C14" s="417" t="s">
        <v>399</v>
      </c>
      <c r="D14" s="336" t="s">
        <v>70</v>
      </c>
      <c r="E14" s="336" t="s">
        <v>71</v>
      </c>
      <c r="F14" s="336" t="s">
        <v>72</v>
      </c>
      <c r="G14" s="336"/>
      <c r="H14" s="336">
        <v>2</v>
      </c>
      <c r="I14" s="356" t="s">
        <v>895</v>
      </c>
      <c r="J14" s="336"/>
    </row>
    <row r="15" spans="1:10" ht="14.4" x14ac:dyDescent="0.3">
      <c r="A15" s="128">
        <v>10</v>
      </c>
      <c r="B15" s="418" t="s">
        <v>340</v>
      </c>
      <c r="C15" s="418" t="s">
        <v>400</v>
      </c>
      <c r="D15" s="336" t="s">
        <v>70</v>
      </c>
      <c r="E15" s="336" t="s">
        <v>71</v>
      </c>
      <c r="F15" s="336" t="s">
        <v>72</v>
      </c>
      <c r="G15" s="336"/>
      <c r="H15" s="336">
        <v>2</v>
      </c>
      <c r="I15" s="356" t="s">
        <v>895</v>
      </c>
      <c r="J15" s="336"/>
    </row>
    <row r="16" spans="1:10" ht="14.4" x14ac:dyDescent="0.3">
      <c r="A16" s="128">
        <v>11</v>
      </c>
      <c r="B16" s="417" t="s">
        <v>341</v>
      </c>
      <c r="C16" s="417" t="s">
        <v>401</v>
      </c>
      <c r="D16" s="336" t="s">
        <v>70</v>
      </c>
      <c r="E16" s="336" t="s">
        <v>71</v>
      </c>
      <c r="F16" s="336" t="s">
        <v>72</v>
      </c>
      <c r="G16" s="336"/>
      <c r="H16" s="336">
        <v>2</v>
      </c>
      <c r="I16" s="356" t="s">
        <v>895</v>
      </c>
      <c r="J16" s="336"/>
    </row>
    <row r="17" spans="1:10" ht="14.4" x14ac:dyDescent="0.3">
      <c r="A17" s="128">
        <v>12</v>
      </c>
      <c r="B17" s="417" t="s">
        <v>24</v>
      </c>
      <c r="C17" s="417" t="s">
        <v>45</v>
      </c>
      <c r="D17" s="336" t="s">
        <v>70</v>
      </c>
      <c r="E17" s="336" t="s">
        <v>71</v>
      </c>
      <c r="F17" s="336" t="s">
        <v>72</v>
      </c>
      <c r="G17" s="336"/>
      <c r="H17" s="336">
        <v>2</v>
      </c>
      <c r="I17" s="356" t="s">
        <v>895</v>
      </c>
      <c r="J17" s="336"/>
    </row>
    <row r="18" spans="1:10" ht="14.4" x14ac:dyDescent="0.3">
      <c r="A18" s="128">
        <v>13</v>
      </c>
      <c r="B18" s="417" t="s">
        <v>342</v>
      </c>
      <c r="C18" s="417" t="s">
        <v>402</v>
      </c>
      <c r="D18" s="336" t="s">
        <v>70</v>
      </c>
      <c r="E18" s="336" t="s">
        <v>71</v>
      </c>
      <c r="F18" s="336" t="s">
        <v>72</v>
      </c>
      <c r="G18" s="336"/>
      <c r="H18" s="336">
        <v>2</v>
      </c>
      <c r="I18" s="356" t="s">
        <v>895</v>
      </c>
      <c r="J18" s="336"/>
    </row>
    <row r="19" spans="1:10" ht="14.4" x14ac:dyDescent="0.3">
      <c r="A19" s="128">
        <v>14</v>
      </c>
      <c r="B19" s="417" t="s">
        <v>343</v>
      </c>
      <c r="C19" s="417" t="s">
        <v>403</v>
      </c>
      <c r="D19" s="336" t="s">
        <v>70</v>
      </c>
      <c r="E19" s="336" t="s">
        <v>71</v>
      </c>
      <c r="F19" s="336" t="s">
        <v>72</v>
      </c>
      <c r="G19" s="336"/>
      <c r="H19" s="336">
        <v>2</v>
      </c>
      <c r="I19" s="356" t="s">
        <v>895</v>
      </c>
      <c r="J19" s="336"/>
    </row>
    <row r="20" spans="1:10" ht="14.4" x14ac:dyDescent="0.3">
      <c r="A20" s="128">
        <v>15</v>
      </c>
      <c r="B20" s="417" t="s">
        <v>344</v>
      </c>
      <c r="C20" s="417" t="s">
        <v>404</v>
      </c>
      <c r="D20" s="336" t="s">
        <v>70</v>
      </c>
      <c r="E20" s="336" t="s">
        <v>71</v>
      </c>
      <c r="F20" s="336" t="s">
        <v>72</v>
      </c>
      <c r="G20" s="336"/>
      <c r="H20" s="336">
        <v>2</v>
      </c>
      <c r="I20" s="356" t="s">
        <v>895</v>
      </c>
      <c r="J20" s="336"/>
    </row>
    <row r="21" spans="1:10" ht="14.4" x14ac:dyDescent="0.3">
      <c r="A21" s="128">
        <v>16</v>
      </c>
      <c r="B21" s="417" t="s">
        <v>23</v>
      </c>
      <c r="C21" s="417" t="s">
        <v>405</v>
      </c>
      <c r="D21" s="336" t="s">
        <v>70</v>
      </c>
      <c r="E21" s="336" t="s">
        <v>71</v>
      </c>
      <c r="F21" s="336" t="s">
        <v>72</v>
      </c>
      <c r="G21" s="336"/>
      <c r="H21" s="336">
        <v>2</v>
      </c>
      <c r="I21" s="356" t="s">
        <v>895</v>
      </c>
      <c r="J21" s="336"/>
    </row>
    <row r="22" spans="1:10" ht="14.4" x14ac:dyDescent="0.3">
      <c r="A22" s="128">
        <v>17</v>
      </c>
      <c r="B22" s="417" t="s">
        <v>345</v>
      </c>
      <c r="C22" s="417" t="s">
        <v>406</v>
      </c>
      <c r="D22" s="336" t="s">
        <v>70</v>
      </c>
      <c r="E22" s="336" t="s">
        <v>71</v>
      </c>
      <c r="F22" s="336" t="s">
        <v>72</v>
      </c>
      <c r="G22" s="336"/>
      <c r="H22" s="336">
        <v>2</v>
      </c>
      <c r="I22" s="356" t="s">
        <v>895</v>
      </c>
      <c r="J22" s="336"/>
    </row>
    <row r="23" spans="1:10" ht="14.4" x14ac:dyDescent="0.3">
      <c r="A23" s="128">
        <v>18</v>
      </c>
      <c r="B23" s="417" t="s">
        <v>346</v>
      </c>
      <c r="C23" s="417" t="s">
        <v>407</v>
      </c>
      <c r="D23" s="336" t="s">
        <v>70</v>
      </c>
      <c r="E23" s="336" t="s">
        <v>71</v>
      </c>
      <c r="F23" s="336" t="s">
        <v>72</v>
      </c>
      <c r="G23" s="336"/>
      <c r="H23" s="336">
        <v>2</v>
      </c>
      <c r="I23" s="356" t="s">
        <v>895</v>
      </c>
      <c r="J23" s="336"/>
    </row>
    <row r="24" spans="1:10" ht="14.4" x14ac:dyDescent="0.3">
      <c r="A24" s="128">
        <v>19</v>
      </c>
      <c r="B24" s="417" t="s">
        <v>347</v>
      </c>
      <c r="C24" s="417" t="s">
        <v>408</v>
      </c>
      <c r="D24" s="336" t="s">
        <v>70</v>
      </c>
      <c r="E24" s="336" t="s">
        <v>71</v>
      </c>
      <c r="F24" s="336" t="s">
        <v>72</v>
      </c>
      <c r="G24" s="336"/>
      <c r="H24" s="336">
        <v>2</v>
      </c>
      <c r="I24" s="356" t="s">
        <v>895</v>
      </c>
      <c r="J24" s="336"/>
    </row>
    <row r="25" spans="1:10" ht="14.4" x14ac:dyDescent="0.3">
      <c r="A25" s="128">
        <v>20</v>
      </c>
      <c r="B25" s="417" t="s">
        <v>348</v>
      </c>
      <c r="C25" s="417" t="s">
        <v>409</v>
      </c>
      <c r="D25" s="336" t="s">
        <v>70</v>
      </c>
      <c r="E25" s="336" t="s">
        <v>71</v>
      </c>
      <c r="F25" s="336" t="s">
        <v>72</v>
      </c>
      <c r="G25" s="336"/>
      <c r="H25" s="336">
        <v>2</v>
      </c>
      <c r="I25" s="356" t="s">
        <v>895</v>
      </c>
      <c r="J25" s="336"/>
    </row>
    <row r="26" spans="1:10" ht="14.4" x14ac:dyDescent="0.3">
      <c r="A26" s="128">
        <v>21</v>
      </c>
      <c r="B26" s="417" t="s">
        <v>349</v>
      </c>
      <c r="C26" s="417" t="s">
        <v>410</v>
      </c>
      <c r="D26" s="336" t="s">
        <v>70</v>
      </c>
      <c r="E26" s="336" t="s">
        <v>71</v>
      </c>
      <c r="F26" s="336" t="s">
        <v>72</v>
      </c>
      <c r="G26" s="336"/>
      <c r="H26" s="336">
        <v>2</v>
      </c>
      <c r="I26" s="356" t="s">
        <v>895</v>
      </c>
      <c r="J26" s="336"/>
    </row>
    <row r="27" spans="1:10" ht="14.4" x14ac:dyDescent="0.3">
      <c r="A27" s="128">
        <v>22</v>
      </c>
      <c r="B27" s="417" t="s">
        <v>350</v>
      </c>
      <c r="C27" s="417" t="s">
        <v>411</v>
      </c>
      <c r="D27" s="336" t="s">
        <v>70</v>
      </c>
      <c r="E27" s="336" t="s">
        <v>71</v>
      </c>
      <c r="F27" s="336" t="s">
        <v>72</v>
      </c>
      <c r="G27" s="336"/>
      <c r="H27" s="336">
        <v>2</v>
      </c>
      <c r="I27" s="356" t="s">
        <v>895</v>
      </c>
      <c r="J27" s="336"/>
    </row>
    <row r="28" spans="1:10" ht="14.4" x14ac:dyDescent="0.3">
      <c r="A28" s="128">
        <v>23</v>
      </c>
      <c r="B28" s="417" t="s">
        <v>351</v>
      </c>
      <c r="C28" s="417" t="s">
        <v>412</v>
      </c>
      <c r="D28" s="336" t="s">
        <v>70</v>
      </c>
      <c r="E28" s="336" t="s">
        <v>71</v>
      </c>
      <c r="F28" s="336" t="s">
        <v>72</v>
      </c>
      <c r="G28" s="336"/>
      <c r="H28" s="336">
        <v>2</v>
      </c>
      <c r="I28" s="356" t="s">
        <v>895</v>
      </c>
      <c r="J28" s="336"/>
    </row>
    <row r="29" spans="1:10" ht="14.4" x14ac:dyDescent="0.3">
      <c r="A29" s="128">
        <v>24</v>
      </c>
      <c r="B29" s="417" t="s">
        <v>352</v>
      </c>
      <c r="C29" s="417" t="s">
        <v>413</v>
      </c>
      <c r="D29" s="336" t="s">
        <v>70</v>
      </c>
      <c r="E29" s="336" t="s">
        <v>71</v>
      </c>
      <c r="F29" s="336" t="s">
        <v>72</v>
      </c>
      <c r="G29" s="336"/>
      <c r="H29" s="336">
        <v>2</v>
      </c>
      <c r="I29" s="356" t="s">
        <v>895</v>
      </c>
      <c r="J29" s="336"/>
    </row>
    <row r="30" spans="1:10" ht="14.4" x14ac:dyDescent="0.3">
      <c r="A30" s="128">
        <v>25</v>
      </c>
      <c r="B30" s="417" t="s">
        <v>353</v>
      </c>
      <c r="C30" s="417" t="s">
        <v>414</v>
      </c>
      <c r="D30" s="336" t="s">
        <v>70</v>
      </c>
      <c r="E30" s="336" t="s">
        <v>71</v>
      </c>
      <c r="F30" s="336" t="s">
        <v>72</v>
      </c>
      <c r="G30" s="336"/>
      <c r="H30" s="336">
        <v>2</v>
      </c>
      <c r="I30" s="356" t="s">
        <v>895</v>
      </c>
      <c r="J30" s="336"/>
    </row>
    <row r="31" spans="1:10" ht="14.4" x14ac:dyDescent="0.3">
      <c r="A31" s="128">
        <v>26</v>
      </c>
      <c r="B31" s="417" t="s">
        <v>865</v>
      </c>
      <c r="C31" s="417" t="s">
        <v>415</v>
      </c>
      <c r="D31" s="336" t="s">
        <v>70</v>
      </c>
      <c r="E31" s="336" t="s">
        <v>71</v>
      </c>
      <c r="F31" s="336" t="s">
        <v>72</v>
      </c>
      <c r="G31" s="336"/>
      <c r="H31" s="336">
        <v>2</v>
      </c>
      <c r="I31" s="356" t="s">
        <v>895</v>
      </c>
      <c r="J31" s="336"/>
    </row>
    <row r="32" spans="1:10" ht="14.4" x14ac:dyDescent="0.3">
      <c r="A32" s="128">
        <v>27</v>
      </c>
      <c r="B32" s="417" t="s">
        <v>29</v>
      </c>
      <c r="C32" s="417" t="s">
        <v>50</v>
      </c>
      <c r="D32" s="336" t="s">
        <v>73</v>
      </c>
      <c r="E32" s="336" t="s">
        <v>71</v>
      </c>
      <c r="F32" s="336" t="s">
        <v>72</v>
      </c>
      <c r="G32" s="336"/>
      <c r="H32" s="336">
        <v>2</v>
      </c>
      <c r="I32" s="356" t="s">
        <v>896</v>
      </c>
      <c r="J32" s="336"/>
    </row>
    <row r="33" spans="1:10" ht="14.4" x14ac:dyDescent="0.3">
      <c r="A33" s="128">
        <v>28</v>
      </c>
      <c r="B33" s="419" t="s">
        <v>354</v>
      </c>
      <c r="C33" s="417" t="s">
        <v>416</v>
      </c>
      <c r="D33" s="336" t="s">
        <v>206</v>
      </c>
      <c r="E33" s="336" t="s">
        <v>71</v>
      </c>
      <c r="F33" s="336" t="s">
        <v>72</v>
      </c>
      <c r="G33" s="336"/>
      <c r="H33" s="336">
        <v>2</v>
      </c>
      <c r="I33" s="356" t="s">
        <v>896</v>
      </c>
      <c r="J33" s="336"/>
    </row>
    <row r="34" spans="1:10" ht="14.4" x14ac:dyDescent="0.3">
      <c r="A34" s="128">
        <v>29</v>
      </c>
      <c r="B34" s="417" t="s">
        <v>866</v>
      </c>
      <c r="C34" s="417" t="s">
        <v>867</v>
      </c>
      <c r="D34" s="336" t="s">
        <v>70</v>
      </c>
      <c r="E34" s="336" t="s">
        <v>71</v>
      </c>
      <c r="F34" s="336" t="s">
        <v>72</v>
      </c>
      <c r="G34" s="336"/>
      <c r="H34" s="336">
        <v>2</v>
      </c>
      <c r="I34" s="356" t="s">
        <v>895</v>
      </c>
      <c r="J34" s="336">
        <v>2</v>
      </c>
    </row>
    <row r="35" spans="1:10" ht="14.4" x14ac:dyDescent="0.3">
      <c r="A35" s="128">
        <v>30</v>
      </c>
      <c r="B35" s="417" t="s">
        <v>355</v>
      </c>
      <c r="C35" s="417" t="s">
        <v>417</v>
      </c>
      <c r="D35" s="336" t="s">
        <v>70</v>
      </c>
      <c r="E35" s="336" t="s">
        <v>71</v>
      </c>
      <c r="F35" s="336" t="s">
        <v>72</v>
      </c>
      <c r="G35" s="336"/>
      <c r="H35" s="336">
        <v>2</v>
      </c>
      <c r="I35" s="356" t="s">
        <v>895</v>
      </c>
      <c r="J35" s="336"/>
    </row>
    <row r="36" spans="1:10" ht="14.4" x14ac:dyDescent="0.3">
      <c r="A36" s="128">
        <v>31</v>
      </c>
      <c r="B36" s="417" t="s">
        <v>356</v>
      </c>
      <c r="C36" s="417" t="s">
        <v>418</v>
      </c>
      <c r="D36" s="336" t="s">
        <v>70</v>
      </c>
      <c r="E36" s="336" t="s">
        <v>71</v>
      </c>
      <c r="F36" s="336" t="s">
        <v>72</v>
      </c>
      <c r="G36" s="336"/>
      <c r="H36" s="336">
        <v>2</v>
      </c>
      <c r="I36" s="356" t="s">
        <v>895</v>
      </c>
      <c r="J36" s="336"/>
    </row>
    <row r="37" spans="1:10" ht="14.4" x14ac:dyDescent="0.3">
      <c r="A37" s="128">
        <v>32</v>
      </c>
      <c r="B37" s="417" t="s">
        <v>357</v>
      </c>
      <c r="C37" s="417" t="s">
        <v>419</v>
      </c>
      <c r="D37" s="336" t="s">
        <v>70</v>
      </c>
      <c r="E37" s="336" t="s">
        <v>71</v>
      </c>
      <c r="F37" s="336" t="s">
        <v>72</v>
      </c>
      <c r="G37" s="336"/>
      <c r="H37" s="336">
        <v>2</v>
      </c>
      <c r="I37" s="356" t="s">
        <v>895</v>
      </c>
      <c r="J37" s="336">
        <v>2</v>
      </c>
    </row>
    <row r="38" spans="1:10" ht="14.4" x14ac:dyDescent="0.3">
      <c r="A38" s="128">
        <v>33</v>
      </c>
      <c r="B38" s="420" t="s">
        <v>358</v>
      </c>
      <c r="C38" s="420" t="s">
        <v>420</v>
      </c>
      <c r="D38" s="336" t="s">
        <v>70</v>
      </c>
      <c r="E38" s="336" t="s">
        <v>71</v>
      </c>
      <c r="F38" s="336" t="s">
        <v>72</v>
      </c>
      <c r="G38" s="336"/>
      <c r="H38" s="336">
        <v>2</v>
      </c>
      <c r="I38" s="356" t="s">
        <v>895</v>
      </c>
      <c r="J38" s="336"/>
    </row>
    <row r="39" spans="1:10" ht="14.4" x14ac:dyDescent="0.3">
      <c r="A39" s="128">
        <v>34</v>
      </c>
      <c r="B39" s="417" t="s">
        <v>359</v>
      </c>
      <c r="C39" s="417" t="s">
        <v>421</v>
      </c>
      <c r="D39" s="336" t="s">
        <v>70</v>
      </c>
      <c r="E39" s="336" t="s">
        <v>71</v>
      </c>
      <c r="F39" s="336" t="s">
        <v>72</v>
      </c>
      <c r="G39" s="336"/>
      <c r="H39" s="336">
        <v>2</v>
      </c>
      <c r="I39" s="356" t="s">
        <v>895</v>
      </c>
      <c r="J39" s="336"/>
    </row>
    <row r="40" spans="1:10" ht="14.4" x14ac:dyDescent="0.3">
      <c r="A40" s="128">
        <v>35</v>
      </c>
      <c r="B40" s="421" t="s">
        <v>360</v>
      </c>
      <c r="C40" s="421" t="s">
        <v>422</v>
      </c>
      <c r="D40" s="336" t="s">
        <v>70</v>
      </c>
      <c r="E40" s="336" t="s">
        <v>71</v>
      </c>
      <c r="F40" s="336" t="s">
        <v>72</v>
      </c>
      <c r="G40" s="336"/>
      <c r="H40" s="336">
        <v>2</v>
      </c>
      <c r="I40" s="356" t="s">
        <v>895</v>
      </c>
      <c r="J40" s="336"/>
    </row>
    <row r="41" spans="1:10" ht="14.4" x14ac:dyDescent="0.3">
      <c r="A41" s="128">
        <v>36</v>
      </c>
      <c r="B41" s="417" t="s">
        <v>361</v>
      </c>
      <c r="C41" s="417" t="s">
        <v>423</v>
      </c>
      <c r="D41" s="336" t="s">
        <v>70</v>
      </c>
      <c r="E41" s="336" t="s">
        <v>71</v>
      </c>
      <c r="F41" s="336" t="s">
        <v>72</v>
      </c>
      <c r="G41" s="336"/>
      <c r="H41" s="336">
        <v>2</v>
      </c>
      <c r="I41" s="356" t="s">
        <v>895</v>
      </c>
      <c r="J41" s="336"/>
    </row>
    <row r="42" spans="1:10" ht="14.4" x14ac:dyDescent="0.3">
      <c r="A42" s="128">
        <v>37</v>
      </c>
      <c r="B42" s="417" t="s">
        <v>25</v>
      </c>
      <c r="C42" s="417" t="s">
        <v>46</v>
      </c>
      <c r="D42" s="336" t="s">
        <v>73</v>
      </c>
      <c r="E42" s="336" t="s">
        <v>71</v>
      </c>
      <c r="F42" s="336" t="s">
        <v>72</v>
      </c>
      <c r="G42" s="336"/>
      <c r="H42" s="336">
        <v>2</v>
      </c>
      <c r="I42" s="356" t="s">
        <v>896</v>
      </c>
      <c r="J42" s="336"/>
    </row>
    <row r="43" spans="1:10" ht="14.4" x14ac:dyDescent="0.3">
      <c r="A43" s="128">
        <v>38</v>
      </c>
      <c r="B43" s="3" t="s">
        <v>362</v>
      </c>
      <c r="C43" s="3" t="s">
        <v>424</v>
      </c>
      <c r="D43" s="336" t="s">
        <v>70</v>
      </c>
      <c r="E43" s="336" t="s">
        <v>71</v>
      </c>
      <c r="F43" s="336" t="s">
        <v>72</v>
      </c>
      <c r="G43" s="336"/>
      <c r="H43" s="336">
        <v>2</v>
      </c>
      <c r="I43" s="356" t="s">
        <v>895</v>
      </c>
      <c r="J43" s="336"/>
    </row>
    <row r="44" spans="1:10" ht="14.4" x14ac:dyDescent="0.3">
      <c r="A44" s="128">
        <v>39</v>
      </c>
      <c r="B44" s="3" t="s">
        <v>363</v>
      </c>
      <c r="C44" s="3" t="s">
        <v>425</v>
      </c>
      <c r="D44" s="336" t="s">
        <v>70</v>
      </c>
      <c r="E44" s="336" t="s">
        <v>71</v>
      </c>
      <c r="F44" s="336" t="s">
        <v>72</v>
      </c>
      <c r="G44" s="336"/>
      <c r="H44" s="336">
        <v>2</v>
      </c>
      <c r="I44" s="356" t="s">
        <v>895</v>
      </c>
      <c r="J44" s="336"/>
    </row>
    <row r="45" spans="1:10" ht="14.4" x14ac:dyDescent="0.3">
      <c r="A45" s="128">
        <v>40</v>
      </c>
      <c r="B45" s="3" t="s">
        <v>364</v>
      </c>
      <c r="C45" s="3" t="s">
        <v>426</v>
      </c>
      <c r="D45" s="336" t="s">
        <v>70</v>
      </c>
      <c r="E45" s="336" t="s">
        <v>71</v>
      </c>
      <c r="F45" s="336" t="s">
        <v>72</v>
      </c>
      <c r="G45" s="336"/>
      <c r="H45" s="336">
        <v>2</v>
      </c>
      <c r="I45" s="356" t="s">
        <v>895</v>
      </c>
      <c r="J45" s="336"/>
    </row>
    <row r="46" spans="1:10" ht="14.4" x14ac:dyDescent="0.3">
      <c r="A46" s="128">
        <v>41</v>
      </c>
      <c r="B46" s="3" t="s">
        <v>365</v>
      </c>
      <c r="C46" s="3" t="s">
        <v>427</v>
      </c>
      <c r="D46" s="336" t="s">
        <v>70</v>
      </c>
      <c r="E46" s="336" t="s">
        <v>71</v>
      </c>
      <c r="F46" s="336" t="s">
        <v>72</v>
      </c>
      <c r="G46" s="336"/>
      <c r="H46" s="336">
        <v>2</v>
      </c>
      <c r="I46" s="356" t="s">
        <v>895</v>
      </c>
      <c r="J46" s="336"/>
    </row>
    <row r="47" spans="1:10" ht="14.4" x14ac:dyDescent="0.3">
      <c r="A47" s="128">
        <v>42</v>
      </c>
      <c r="B47" s="3" t="s">
        <v>28</v>
      </c>
      <c r="C47" s="3" t="s">
        <v>428</v>
      </c>
      <c r="D47" s="336" t="s">
        <v>70</v>
      </c>
      <c r="E47" s="336" t="s">
        <v>71</v>
      </c>
      <c r="F47" s="336" t="s">
        <v>72</v>
      </c>
      <c r="G47" s="336"/>
      <c r="H47" s="336">
        <v>2</v>
      </c>
      <c r="I47" s="356" t="s">
        <v>895</v>
      </c>
      <c r="J47" s="336"/>
    </row>
    <row r="48" spans="1:10" ht="14.4" x14ac:dyDescent="0.3">
      <c r="A48" s="128">
        <v>43</v>
      </c>
      <c r="B48" s="3" t="s">
        <v>32</v>
      </c>
      <c r="C48" s="3" t="s">
        <v>53</v>
      </c>
      <c r="D48" s="336" t="s">
        <v>70</v>
      </c>
      <c r="E48" s="336" t="s">
        <v>71</v>
      </c>
      <c r="F48" s="336" t="s">
        <v>72</v>
      </c>
      <c r="G48" s="336"/>
      <c r="H48" s="336">
        <v>2</v>
      </c>
      <c r="I48" s="356" t="s">
        <v>895</v>
      </c>
      <c r="J48" s="336"/>
    </row>
    <row r="49" spans="1:10" ht="14.4" x14ac:dyDescent="0.3">
      <c r="A49" s="128">
        <v>44</v>
      </c>
      <c r="B49" s="3" t="s">
        <v>366</v>
      </c>
      <c r="C49" s="3" t="s">
        <v>429</v>
      </c>
      <c r="D49" s="336" t="s">
        <v>70</v>
      </c>
      <c r="E49" s="336" t="s">
        <v>71</v>
      </c>
      <c r="F49" s="336" t="s">
        <v>72</v>
      </c>
      <c r="G49" s="336"/>
      <c r="H49" s="336">
        <v>2</v>
      </c>
      <c r="I49" s="356" t="s">
        <v>895</v>
      </c>
      <c r="J49" s="336"/>
    </row>
    <row r="50" spans="1:10" ht="14.4" x14ac:dyDescent="0.3">
      <c r="A50" s="128">
        <v>45</v>
      </c>
      <c r="B50" s="417" t="s">
        <v>367</v>
      </c>
      <c r="C50" s="417" t="s">
        <v>430</v>
      </c>
      <c r="D50" s="336" t="s">
        <v>70</v>
      </c>
      <c r="E50" s="336" t="s">
        <v>71</v>
      </c>
      <c r="F50" s="336" t="s">
        <v>72</v>
      </c>
      <c r="G50" s="336"/>
      <c r="H50" s="336">
        <v>2</v>
      </c>
      <c r="I50" s="356" t="s">
        <v>895</v>
      </c>
      <c r="J50" s="336"/>
    </row>
    <row r="51" spans="1:10" ht="14.4" x14ac:dyDescent="0.3">
      <c r="A51" s="128">
        <v>46</v>
      </c>
      <c r="B51" s="417" t="s">
        <v>368</v>
      </c>
      <c r="C51" s="417" t="s">
        <v>431</v>
      </c>
      <c r="D51" s="336" t="s">
        <v>70</v>
      </c>
      <c r="E51" s="336" t="s">
        <v>71</v>
      </c>
      <c r="F51" s="336" t="s">
        <v>72</v>
      </c>
      <c r="G51" s="336"/>
      <c r="H51" s="336">
        <v>2</v>
      </c>
      <c r="I51" s="356" t="s">
        <v>895</v>
      </c>
      <c r="J51" s="336"/>
    </row>
    <row r="52" spans="1:10" ht="14.4" x14ac:dyDescent="0.3">
      <c r="A52" s="128">
        <v>47</v>
      </c>
      <c r="B52" s="417" t="s">
        <v>369</v>
      </c>
      <c r="C52" s="417" t="s">
        <v>432</v>
      </c>
      <c r="D52" s="336" t="s">
        <v>70</v>
      </c>
      <c r="E52" s="336" t="s">
        <v>71</v>
      </c>
      <c r="F52" s="336" t="s">
        <v>72</v>
      </c>
      <c r="G52" s="336"/>
      <c r="H52" s="336">
        <v>2</v>
      </c>
      <c r="I52" s="356" t="s">
        <v>895</v>
      </c>
      <c r="J52" s="336"/>
    </row>
    <row r="53" spans="1:10" ht="14.4" x14ac:dyDescent="0.3">
      <c r="A53" s="128">
        <v>48</v>
      </c>
      <c r="B53" s="417" t="s">
        <v>370</v>
      </c>
      <c r="C53" s="417" t="s">
        <v>433</v>
      </c>
      <c r="D53" s="336" t="s">
        <v>70</v>
      </c>
      <c r="E53" s="336" t="s">
        <v>71</v>
      </c>
      <c r="F53" s="336" t="s">
        <v>72</v>
      </c>
      <c r="G53" s="336"/>
      <c r="H53" s="336">
        <v>2</v>
      </c>
      <c r="I53" s="356" t="s">
        <v>895</v>
      </c>
      <c r="J53" s="336"/>
    </row>
    <row r="54" spans="1:10" ht="14.4" x14ac:dyDescent="0.3">
      <c r="A54" s="128">
        <v>49</v>
      </c>
      <c r="B54" s="417" t="s">
        <v>371</v>
      </c>
      <c r="C54" s="417" t="s">
        <v>434</v>
      </c>
      <c r="D54" s="336" t="s">
        <v>70</v>
      </c>
      <c r="E54" s="336" t="s">
        <v>71</v>
      </c>
      <c r="F54" s="336" t="s">
        <v>72</v>
      </c>
      <c r="G54" s="336"/>
      <c r="H54" s="336">
        <v>2</v>
      </c>
      <c r="I54" s="356" t="s">
        <v>895</v>
      </c>
      <c r="J54" s="336"/>
    </row>
    <row r="55" spans="1:10" ht="14.4" x14ac:dyDescent="0.3">
      <c r="A55" s="128">
        <v>50</v>
      </c>
      <c r="B55" s="417" t="s">
        <v>372</v>
      </c>
      <c r="C55" s="417" t="s">
        <v>435</v>
      </c>
      <c r="D55" s="336" t="s">
        <v>70</v>
      </c>
      <c r="E55" s="336" t="s">
        <v>71</v>
      </c>
      <c r="F55" s="336" t="s">
        <v>72</v>
      </c>
      <c r="G55" s="336"/>
      <c r="H55" s="336">
        <v>2</v>
      </c>
      <c r="I55" s="356" t="s">
        <v>896</v>
      </c>
      <c r="J55" s="336"/>
    </row>
    <row r="56" spans="1:10" ht="14.4" x14ac:dyDescent="0.3">
      <c r="A56" s="128">
        <v>51</v>
      </c>
      <c r="B56" s="417" t="s">
        <v>373</v>
      </c>
      <c r="C56" s="417" t="s">
        <v>436</v>
      </c>
      <c r="D56" s="336" t="s">
        <v>70</v>
      </c>
      <c r="E56" s="336" t="s">
        <v>71</v>
      </c>
      <c r="F56" s="336" t="s">
        <v>72</v>
      </c>
      <c r="G56" s="336"/>
      <c r="H56" s="336">
        <v>2</v>
      </c>
      <c r="I56" s="356" t="s">
        <v>895</v>
      </c>
      <c r="J56" s="336"/>
    </row>
    <row r="57" spans="1:10" ht="14.4" x14ac:dyDescent="0.3">
      <c r="A57" s="128">
        <v>52</v>
      </c>
      <c r="B57" s="417" t="s">
        <v>374</v>
      </c>
      <c r="C57" s="417" t="s">
        <v>437</v>
      </c>
      <c r="D57" s="336" t="s">
        <v>70</v>
      </c>
      <c r="E57" s="336" t="s">
        <v>71</v>
      </c>
      <c r="F57" s="336" t="s">
        <v>72</v>
      </c>
      <c r="G57" s="336"/>
      <c r="H57" s="336">
        <v>2</v>
      </c>
      <c r="I57" s="356" t="s">
        <v>895</v>
      </c>
      <c r="J57" s="336"/>
    </row>
    <row r="58" spans="1:10" ht="14.4" x14ac:dyDescent="0.3">
      <c r="A58" s="128">
        <v>53</v>
      </c>
      <c r="B58" s="417" t="s">
        <v>375</v>
      </c>
      <c r="C58" s="417" t="s">
        <v>438</v>
      </c>
      <c r="D58" s="336" t="s">
        <v>70</v>
      </c>
      <c r="E58" s="336" t="s">
        <v>71</v>
      </c>
      <c r="F58" s="336" t="s">
        <v>72</v>
      </c>
      <c r="G58" s="336"/>
      <c r="H58" s="336">
        <v>2</v>
      </c>
      <c r="I58" s="356" t="s">
        <v>895</v>
      </c>
      <c r="J58" s="336"/>
    </row>
    <row r="59" spans="1:10" ht="14.4" x14ac:dyDescent="0.3">
      <c r="A59" s="128">
        <v>54</v>
      </c>
      <c r="B59" s="417" t="s">
        <v>376</v>
      </c>
      <c r="C59" s="417" t="s">
        <v>439</v>
      </c>
      <c r="D59" s="336" t="s">
        <v>70</v>
      </c>
      <c r="E59" s="336" t="s">
        <v>71</v>
      </c>
      <c r="F59" s="336" t="s">
        <v>72</v>
      </c>
      <c r="G59" s="336"/>
      <c r="H59" s="336">
        <v>2</v>
      </c>
      <c r="I59" s="356" t="s">
        <v>895</v>
      </c>
      <c r="J59" s="336"/>
    </row>
    <row r="60" spans="1:10" ht="14.4" x14ac:dyDescent="0.3">
      <c r="A60" s="128">
        <v>55</v>
      </c>
      <c r="B60" s="417" t="s">
        <v>377</v>
      </c>
      <c r="C60" s="417" t="s">
        <v>440</v>
      </c>
      <c r="D60" s="336" t="s">
        <v>70</v>
      </c>
      <c r="E60" s="336" t="s">
        <v>71</v>
      </c>
      <c r="F60" s="336" t="s">
        <v>72</v>
      </c>
      <c r="G60" s="336"/>
      <c r="H60" s="336">
        <v>2</v>
      </c>
      <c r="I60" s="356" t="s">
        <v>895</v>
      </c>
      <c r="J60" s="336"/>
    </row>
    <row r="61" spans="1:10" ht="14.4" x14ac:dyDescent="0.3">
      <c r="A61" s="128">
        <v>56</v>
      </c>
      <c r="B61" s="417" t="s">
        <v>378</v>
      </c>
      <c r="C61" s="417" t="s">
        <v>441</v>
      </c>
      <c r="D61" s="336" t="s">
        <v>70</v>
      </c>
      <c r="E61" s="336" t="s">
        <v>71</v>
      </c>
      <c r="F61" s="336" t="s">
        <v>72</v>
      </c>
      <c r="G61" s="336"/>
      <c r="H61" s="336">
        <v>2</v>
      </c>
      <c r="I61" s="356" t="s">
        <v>895</v>
      </c>
      <c r="J61" s="336">
        <v>10</v>
      </c>
    </row>
    <row r="62" spans="1:10" ht="14.4" x14ac:dyDescent="0.3">
      <c r="A62" s="128">
        <v>57</v>
      </c>
      <c r="B62" s="417" t="s">
        <v>379</v>
      </c>
      <c r="C62" s="417" t="s">
        <v>442</v>
      </c>
      <c r="D62" s="336" t="s">
        <v>70</v>
      </c>
      <c r="E62" s="336" t="s">
        <v>71</v>
      </c>
      <c r="F62" s="336" t="s">
        <v>72</v>
      </c>
      <c r="G62" s="336"/>
      <c r="H62" s="336">
        <v>2</v>
      </c>
      <c r="I62" s="356" t="s">
        <v>895</v>
      </c>
      <c r="J62" s="336"/>
    </row>
    <row r="63" spans="1:10" ht="14.4" x14ac:dyDescent="0.3">
      <c r="A63" s="128">
        <v>58</v>
      </c>
      <c r="B63" s="417" t="s">
        <v>380</v>
      </c>
      <c r="C63" s="417" t="s">
        <v>443</v>
      </c>
      <c r="D63" s="336" t="s">
        <v>70</v>
      </c>
      <c r="E63" s="336" t="s">
        <v>71</v>
      </c>
      <c r="F63" s="336" t="s">
        <v>72</v>
      </c>
      <c r="G63" s="336"/>
      <c r="H63" s="336">
        <v>2</v>
      </c>
      <c r="I63" s="356" t="s">
        <v>895</v>
      </c>
      <c r="J63" s="336"/>
    </row>
    <row r="64" spans="1:10" ht="14.4" x14ac:dyDescent="0.3">
      <c r="A64" s="128">
        <v>59</v>
      </c>
      <c r="B64" s="417" t="s">
        <v>381</v>
      </c>
      <c r="C64" s="417" t="s">
        <v>444</v>
      </c>
      <c r="D64" s="336" t="s">
        <v>70</v>
      </c>
      <c r="E64" s="336" t="s">
        <v>71</v>
      </c>
      <c r="F64" s="336" t="s">
        <v>72</v>
      </c>
      <c r="G64" s="336"/>
      <c r="H64" s="336">
        <v>2</v>
      </c>
      <c r="I64" s="356" t="s">
        <v>895</v>
      </c>
      <c r="J64" s="336"/>
    </row>
    <row r="65" spans="1:10" ht="14.4" x14ac:dyDescent="0.3">
      <c r="A65" s="128">
        <v>60</v>
      </c>
      <c r="B65" s="417" t="s">
        <v>382</v>
      </c>
      <c r="C65" s="3" t="s">
        <v>445</v>
      </c>
      <c r="D65" s="336" t="s">
        <v>70</v>
      </c>
      <c r="E65" s="336" t="s">
        <v>71</v>
      </c>
      <c r="F65" s="336" t="s">
        <v>72</v>
      </c>
      <c r="G65" s="336"/>
      <c r="H65" s="336">
        <v>2</v>
      </c>
      <c r="I65" s="356" t="s">
        <v>895</v>
      </c>
      <c r="J65" s="336"/>
    </row>
    <row r="66" spans="1:10" ht="14.4" x14ac:dyDescent="0.3">
      <c r="A66" s="128">
        <v>61</v>
      </c>
      <c r="B66" s="417" t="s">
        <v>383</v>
      </c>
      <c r="C66" s="417" t="s">
        <v>446</v>
      </c>
      <c r="D66" s="336" t="s">
        <v>70</v>
      </c>
      <c r="E66" s="336" t="s">
        <v>71</v>
      </c>
      <c r="F66" s="336" t="s">
        <v>72</v>
      </c>
      <c r="G66" s="336"/>
      <c r="H66" s="336">
        <v>2</v>
      </c>
      <c r="I66" s="356" t="s">
        <v>895</v>
      </c>
      <c r="J66" s="336"/>
    </row>
    <row r="67" spans="1:10" ht="14.4" x14ac:dyDescent="0.3">
      <c r="A67" s="128">
        <v>62</v>
      </c>
      <c r="B67" s="417" t="s">
        <v>384</v>
      </c>
      <c r="C67" s="417" t="s">
        <v>447</v>
      </c>
      <c r="D67" s="336" t="s">
        <v>70</v>
      </c>
      <c r="E67" s="336" t="s">
        <v>71</v>
      </c>
      <c r="F67" s="336" t="s">
        <v>72</v>
      </c>
      <c r="G67" s="336"/>
      <c r="H67" s="336">
        <v>2</v>
      </c>
      <c r="I67" s="356" t="s">
        <v>895</v>
      </c>
      <c r="J67" s="336"/>
    </row>
    <row r="68" spans="1:10" ht="14.4" x14ac:dyDescent="0.3">
      <c r="A68" s="128">
        <v>63</v>
      </c>
      <c r="B68" s="417" t="s">
        <v>385</v>
      </c>
      <c r="C68" s="417" t="s">
        <v>448</v>
      </c>
      <c r="D68" s="336" t="s">
        <v>70</v>
      </c>
      <c r="E68" s="336" t="s">
        <v>71</v>
      </c>
      <c r="F68" s="336" t="s">
        <v>72</v>
      </c>
      <c r="G68" s="336"/>
      <c r="H68" s="336">
        <v>2</v>
      </c>
      <c r="I68" s="356" t="s">
        <v>895</v>
      </c>
      <c r="J68" s="336"/>
    </row>
    <row r="69" spans="1:10" ht="14.4" x14ac:dyDescent="0.3">
      <c r="A69" s="128">
        <v>64</v>
      </c>
      <c r="B69" s="417" t="s">
        <v>386</v>
      </c>
      <c r="C69" s="417" t="s">
        <v>449</v>
      </c>
      <c r="D69" s="336" t="s">
        <v>70</v>
      </c>
      <c r="E69" s="336" t="s">
        <v>71</v>
      </c>
      <c r="F69" s="336" t="s">
        <v>72</v>
      </c>
      <c r="G69" s="336"/>
      <c r="H69" s="336">
        <v>2</v>
      </c>
      <c r="I69" s="356" t="s">
        <v>895</v>
      </c>
      <c r="J69" s="336"/>
    </row>
    <row r="70" spans="1:10" ht="14.4" x14ac:dyDescent="0.3">
      <c r="A70" s="128">
        <v>65</v>
      </c>
      <c r="B70" s="417" t="s">
        <v>387</v>
      </c>
      <c r="C70" s="417" t="s">
        <v>450</v>
      </c>
      <c r="D70" s="336" t="s">
        <v>70</v>
      </c>
      <c r="E70" s="336" t="s">
        <v>71</v>
      </c>
      <c r="F70" s="336" t="s">
        <v>72</v>
      </c>
      <c r="G70" s="336"/>
      <c r="H70" s="336">
        <v>2</v>
      </c>
      <c r="I70" s="356" t="s">
        <v>895</v>
      </c>
      <c r="J70" s="336"/>
    </row>
    <row r="71" spans="1:10" ht="14.4" x14ac:dyDescent="0.3">
      <c r="A71" s="128">
        <v>66</v>
      </c>
      <c r="B71" s="422" t="s">
        <v>35</v>
      </c>
      <c r="C71" s="422" t="s">
        <v>56</v>
      </c>
      <c r="D71" s="336" t="s">
        <v>70</v>
      </c>
      <c r="E71" s="336" t="s">
        <v>71</v>
      </c>
      <c r="F71" s="336" t="s">
        <v>72</v>
      </c>
      <c r="G71" s="336"/>
      <c r="H71" s="336">
        <v>2</v>
      </c>
      <c r="I71" s="356" t="s">
        <v>895</v>
      </c>
      <c r="J71" s="336"/>
    </row>
    <row r="72" spans="1:10" ht="14.4" x14ac:dyDescent="0.3">
      <c r="A72" s="128">
        <v>67</v>
      </c>
      <c r="B72" s="417" t="s">
        <v>388</v>
      </c>
      <c r="C72" s="417" t="s">
        <v>451</v>
      </c>
      <c r="D72" s="336" t="s">
        <v>70</v>
      </c>
      <c r="E72" s="336" t="s">
        <v>71</v>
      </c>
      <c r="F72" s="336" t="s">
        <v>72</v>
      </c>
      <c r="G72" s="336"/>
      <c r="H72" s="336">
        <v>2</v>
      </c>
      <c r="I72" s="356" t="s">
        <v>895</v>
      </c>
      <c r="J72" s="336"/>
    </row>
    <row r="73" spans="1:10" ht="14.4" x14ac:dyDescent="0.3">
      <c r="A73" s="128">
        <v>68</v>
      </c>
      <c r="B73" s="417" t="s">
        <v>868</v>
      </c>
      <c r="C73" s="417" t="s">
        <v>869</v>
      </c>
      <c r="D73" s="336" t="s">
        <v>70</v>
      </c>
      <c r="E73" s="336" t="s">
        <v>71</v>
      </c>
      <c r="F73" s="336" t="s">
        <v>72</v>
      </c>
      <c r="G73" s="336"/>
      <c r="H73" s="336">
        <v>2</v>
      </c>
      <c r="I73" s="356" t="s">
        <v>895</v>
      </c>
      <c r="J73" s="336">
        <v>10</v>
      </c>
    </row>
    <row r="74" spans="1:10" ht="14.4" x14ac:dyDescent="0.3">
      <c r="A74" s="128">
        <v>69</v>
      </c>
      <c r="B74" s="417" t="s">
        <v>389</v>
      </c>
      <c r="C74" s="417" t="s">
        <v>452</v>
      </c>
      <c r="D74" s="336" t="s">
        <v>70</v>
      </c>
      <c r="E74" s="336" t="s">
        <v>71</v>
      </c>
      <c r="F74" s="336" t="s">
        <v>72</v>
      </c>
      <c r="G74" s="336"/>
      <c r="H74" s="336">
        <v>2</v>
      </c>
      <c r="I74" s="356" t="s">
        <v>895</v>
      </c>
      <c r="J74" s="336"/>
    </row>
    <row r="75" spans="1:10" ht="14.4" x14ac:dyDescent="0.3">
      <c r="A75" s="128">
        <v>70</v>
      </c>
      <c r="B75" s="417" t="s">
        <v>870</v>
      </c>
      <c r="C75" s="417" t="s">
        <v>871</v>
      </c>
      <c r="D75" s="336" t="s">
        <v>70</v>
      </c>
      <c r="E75" s="336" t="s">
        <v>71</v>
      </c>
      <c r="F75" s="336" t="s">
        <v>72</v>
      </c>
      <c r="G75" s="336"/>
      <c r="H75" s="336">
        <v>2</v>
      </c>
      <c r="I75" s="356" t="s">
        <v>895</v>
      </c>
      <c r="J75" s="336"/>
    </row>
    <row r="76" spans="1:10" ht="14.4" x14ac:dyDescent="0.3">
      <c r="A76" s="128">
        <v>71</v>
      </c>
      <c r="B76" s="417" t="s">
        <v>872</v>
      </c>
      <c r="C76" s="417" t="s">
        <v>873</v>
      </c>
      <c r="D76" s="336" t="s">
        <v>70</v>
      </c>
      <c r="E76" s="336" t="s">
        <v>71</v>
      </c>
      <c r="F76" s="336" t="s">
        <v>72</v>
      </c>
      <c r="G76" s="336"/>
      <c r="H76" s="336">
        <v>2</v>
      </c>
      <c r="I76" s="356" t="s">
        <v>895</v>
      </c>
      <c r="J76" s="336"/>
    </row>
    <row r="77" spans="1:10" ht="14.4" x14ac:dyDescent="0.3">
      <c r="A77" s="128">
        <v>72</v>
      </c>
      <c r="B77" s="3" t="s">
        <v>390</v>
      </c>
      <c r="C77" s="3" t="s">
        <v>453</v>
      </c>
      <c r="D77" s="336" t="s">
        <v>70</v>
      </c>
      <c r="E77" s="336" t="s">
        <v>71</v>
      </c>
      <c r="F77" s="336" t="s">
        <v>72</v>
      </c>
      <c r="G77" s="336"/>
      <c r="H77" s="336">
        <v>2</v>
      </c>
      <c r="I77" s="356" t="s">
        <v>895</v>
      </c>
      <c r="J77" s="336"/>
    </row>
    <row r="78" spans="1:10" ht="14.4" x14ac:dyDescent="0.3">
      <c r="A78" s="128">
        <v>73</v>
      </c>
      <c r="B78" s="3" t="s">
        <v>391</v>
      </c>
      <c r="C78" s="3" t="s">
        <v>454</v>
      </c>
      <c r="D78" s="336" t="s">
        <v>70</v>
      </c>
      <c r="E78" s="336" t="s">
        <v>71</v>
      </c>
      <c r="F78" s="336" t="s">
        <v>72</v>
      </c>
      <c r="G78" s="336"/>
      <c r="H78" s="336">
        <v>2</v>
      </c>
      <c r="I78" s="356" t="s">
        <v>895</v>
      </c>
      <c r="J78" s="336"/>
    </row>
    <row r="79" spans="1:10" ht="14.4" x14ac:dyDescent="0.3">
      <c r="A79" s="128">
        <v>74</v>
      </c>
      <c r="B79" s="3" t="s">
        <v>392</v>
      </c>
      <c r="C79" s="3" t="s">
        <v>455</v>
      </c>
      <c r="D79" s="336" t="s">
        <v>70</v>
      </c>
      <c r="E79" s="336" t="s">
        <v>71</v>
      </c>
      <c r="F79" s="336" t="s">
        <v>72</v>
      </c>
      <c r="G79" s="336"/>
      <c r="H79" s="336">
        <v>2</v>
      </c>
      <c r="I79" s="356" t="s">
        <v>895</v>
      </c>
      <c r="J79" s="336"/>
    </row>
    <row r="80" spans="1:10" ht="14.4" x14ac:dyDescent="0.3">
      <c r="A80" s="128">
        <v>75</v>
      </c>
      <c r="B80" s="3" t="s">
        <v>874</v>
      </c>
      <c r="C80" s="3" t="s">
        <v>875</v>
      </c>
      <c r="D80" s="336" t="s">
        <v>70</v>
      </c>
      <c r="E80" s="336" t="s">
        <v>71</v>
      </c>
      <c r="F80" s="336" t="s">
        <v>72</v>
      </c>
      <c r="G80" s="336"/>
      <c r="H80" s="336">
        <v>2</v>
      </c>
      <c r="I80" s="356" t="s">
        <v>895</v>
      </c>
      <c r="J80" s="336"/>
    </row>
    <row r="81" spans="1:9" ht="14.4" x14ac:dyDescent="0.3">
      <c r="A81" s="128">
        <v>76</v>
      </c>
      <c r="B81" s="3" t="s">
        <v>876</v>
      </c>
      <c r="C81" s="3" t="s">
        <v>877</v>
      </c>
      <c r="D81" s="336" t="s">
        <v>70</v>
      </c>
      <c r="E81" s="336" t="s">
        <v>71</v>
      </c>
      <c r="F81" s="336" t="s">
        <v>72</v>
      </c>
      <c r="G81" s="336"/>
      <c r="H81" s="336">
        <v>2</v>
      </c>
      <c r="I81" s="356" t="s">
        <v>895</v>
      </c>
    </row>
    <row r="82" spans="1:9" ht="14.4" x14ac:dyDescent="0.3">
      <c r="A82" s="128">
        <v>77</v>
      </c>
      <c r="B82" s="3" t="s">
        <v>862</v>
      </c>
      <c r="C82" s="3" t="s">
        <v>956</v>
      </c>
      <c r="D82" s="336" t="s">
        <v>70</v>
      </c>
      <c r="E82" s="336" t="s">
        <v>71</v>
      </c>
      <c r="F82" s="336" t="s">
        <v>72</v>
      </c>
      <c r="G82" s="336"/>
      <c r="H82" s="336">
        <v>2</v>
      </c>
      <c r="I82" s="356" t="s">
        <v>895</v>
      </c>
    </row>
    <row r="83" spans="1:9" ht="14.4" x14ac:dyDescent="0.3">
      <c r="A83" s="128">
        <v>78</v>
      </c>
      <c r="B83" s="3" t="s">
        <v>957</v>
      </c>
      <c r="C83" s="3" t="s">
        <v>958</v>
      </c>
      <c r="D83" s="336" t="s">
        <v>70</v>
      </c>
      <c r="E83" s="336" t="s">
        <v>71</v>
      </c>
      <c r="F83" s="336" t="s">
        <v>72</v>
      </c>
      <c r="G83" s="336"/>
      <c r="H83" s="336">
        <v>2</v>
      </c>
      <c r="I83" s="356" t="s">
        <v>895</v>
      </c>
    </row>
    <row r="84" spans="1:9" ht="14.4" x14ac:dyDescent="0.3">
      <c r="A84" s="128">
        <v>79</v>
      </c>
      <c r="B84" s="3" t="s">
        <v>878</v>
      </c>
      <c r="C84" s="3" t="s">
        <v>879</v>
      </c>
      <c r="D84" s="336" t="s">
        <v>70</v>
      </c>
      <c r="E84" s="336" t="s">
        <v>71</v>
      </c>
      <c r="F84" s="336" t="s">
        <v>72</v>
      </c>
      <c r="G84" s="336"/>
      <c r="H84" s="336">
        <v>2</v>
      </c>
      <c r="I84" s="356" t="s">
        <v>895</v>
      </c>
    </row>
    <row r="85" spans="1:9" ht="14.4" x14ac:dyDescent="0.3">
      <c r="A85" s="128">
        <v>80</v>
      </c>
      <c r="B85" s="3" t="s">
        <v>880</v>
      </c>
      <c r="C85" s="3" t="s">
        <v>881</v>
      </c>
      <c r="D85" s="336" t="s">
        <v>70</v>
      </c>
      <c r="E85" s="336" t="s">
        <v>71</v>
      </c>
      <c r="F85" s="336" t="s">
        <v>72</v>
      </c>
      <c r="G85" s="336"/>
      <c r="H85" s="336">
        <v>2</v>
      </c>
      <c r="I85" s="356" t="s">
        <v>895</v>
      </c>
    </row>
    <row r="86" spans="1:9" ht="14.4" x14ac:dyDescent="0.3">
      <c r="A86" s="128">
        <v>81</v>
      </c>
      <c r="B86" s="3" t="s">
        <v>959</v>
      </c>
      <c r="C86" s="3" t="s">
        <v>960</v>
      </c>
      <c r="D86" s="336" t="s">
        <v>70</v>
      </c>
      <c r="E86" s="336" t="s">
        <v>71</v>
      </c>
      <c r="F86" s="336" t="s">
        <v>72</v>
      </c>
      <c r="G86" s="336"/>
      <c r="H86" s="336">
        <v>2</v>
      </c>
      <c r="I86" s="356" t="s">
        <v>895</v>
      </c>
    </row>
    <row r="87" spans="1:9" ht="14.4" x14ac:dyDescent="0.3">
      <c r="A87" s="128">
        <v>82</v>
      </c>
      <c r="B87" s="417" t="s">
        <v>961</v>
      </c>
      <c r="C87" s="417" t="s">
        <v>962</v>
      </c>
      <c r="D87" s="336" t="s">
        <v>70</v>
      </c>
      <c r="E87" s="336" t="s">
        <v>71</v>
      </c>
      <c r="F87" s="336" t="s">
        <v>72</v>
      </c>
      <c r="G87" s="336"/>
      <c r="H87" s="336">
        <v>2</v>
      </c>
      <c r="I87" s="356" t="s">
        <v>895</v>
      </c>
    </row>
    <row r="88" spans="1:9" ht="14.4" x14ac:dyDescent="0.3">
      <c r="A88" s="128">
        <v>83</v>
      </c>
      <c r="B88" s="417" t="s">
        <v>963</v>
      </c>
      <c r="C88" s="417" t="s">
        <v>964</v>
      </c>
      <c r="D88" s="336" t="s">
        <v>70</v>
      </c>
      <c r="E88" s="336" t="s">
        <v>71</v>
      </c>
      <c r="F88" s="336" t="s">
        <v>72</v>
      </c>
      <c r="G88" s="336"/>
      <c r="H88" s="336">
        <v>2</v>
      </c>
      <c r="I88" s="356" t="s">
        <v>895</v>
      </c>
    </row>
    <row r="89" spans="1:9" ht="14.4" x14ac:dyDescent="0.3">
      <c r="A89" s="128">
        <v>84</v>
      </c>
      <c r="B89" s="417" t="s">
        <v>965</v>
      </c>
      <c r="C89" s="417" t="s">
        <v>966</v>
      </c>
      <c r="D89" s="336" t="s">
        <v>70</v>
      </c>
      <c r="E89" s="336" t="s">
        <v>71</v>
      </c>
      <c r="F89" s="336" t="s">
        <v>72</v>
      </c>
      <c r="G89" s="336"/>
      <c r="H89" s="336">
        <v>2</v>
      </c>
      <c r="I89" s="356" t="s">
        <v>895</v>
      </c>
    </row>
    <row r="90" spans="1:9" ht="14.4" x14ac:dyDescent="0.3">
      <c r="A90" s="128">
        <v>85</v>
      </c>
      <c r="B90" s="417" t="s">
        <v>967</v>
      </c>
      <c r="C90" s="417" t="s">
        <v>968</v>
      </c>
      <c r="D90" s="336" t="s">
        <v>70</v>
      </c>
      <c r="E90" s="336" t="s">
        <v>71</v>
      </c>
      <c r="F90" s="336" t="s">
        <v>72</v>
      </c>
      <c r="G90" s="336"/>
      <c r="H90" s="336">
        <v>2</v>
      </c>
      <c r="I90" s="356" t="s">
        <v>895</v>
      </c>
    </row>
    <row r="91" spans="1:9" ht="14.4" x14ac:dyDescent="0.3">
      <c r="A91" s="128">
        <v>86</v>
      </c>
      <c r="B91" s="423" t="s">
        <v>969</v>
      </c>
      <c r="C91" s="424" t="s">
        <v>970</v>
      </c>
      <c r="D91" s="336" t="s">
        <v>70</v>
      </c>
      <c r="E91" s="336" t="s">
        <v>71</v>
      </c>
      <c r="F91" s="336" t="s">
        <v>72</v>
      </c>
      <c r="G91" s="336"/>
      <c r="H91" s="336">
        <v>2</v>
      </c>
      <c r="I91" s="356" t="s">
        <v>895</v>
      </c>
    </row>
    <row r="92" spans="1:9" ht="14.4" x14ac:dyDescent="0.3">
      <c r="A92" s="128">
        <v>87</v>
      </c>
      <c r="B92" s="417" t="s">
        <v>971</v>
      </c>
      <c r="C92" s="417" t="s">
        <v>972</v>
      </c>
      <c r="D92" s="336" t="s">
        <v>70</v>
      </c>
      <c r="E92" s="336" t="s">
        <v>71</v>
      </c>
      <c r="F92" s="336" t="s">
        <v>72</v>
      </c>
      <c r="G92" s="336"/>
      <c r="H92" s="336">
        <v>2</v>
      </c>
      <c r="I92" s="356" t="s">
        <v>895</v>
      </c>
    </row>
    <row r="93" spans="1:9" ht="14.4" x14ac:dyDescent="0.3">
      <c r="A93" s="128">
        <v>88</v>
      </c>
      <c r="B93" s="417" t="s">
        <v>973</v>
      </c>
      <c r="C93" s="417" t="s">
        <v>974</v>
      </c>
      <c r="D93" s="336" t="s">
        <v>70</v>
      </c>
      <c r="E93" s="336" t="s">
        <v>71</v>
      </c>
      <c r="F93" s="336" t="s">
        <v>72</v>
      </c>
      <c r="G93" s="336"/>
      <c r="H93" s="336">
        <v>2</v>
      </c>
      <c r="I93" s="356" t="s">
        <v>895</v>
      </c>
    </row>
    <row r="94" spans="1:9" ht="14.4" x14ac:dyDescent="0.3">
      <c r="A94" s="128">
        <v>89</v>
      </c>
      <c r="B94" s="417" t="s">
        <v>921</v>
      </c>
      <c r="C94" s="417" t="s">
        <v>975</v>
      </c>
      <c r="D94" s="336" t="s">
        <v>70</v>
      </c>
      <c r="E94" s="336" t="s">
        <v>71</v>
      </c>
      <c r="F94" s="336" t="s">
        <v>72</v>
      </c>
      <c r="G94" s="336"/>
      <c r="H94" s="336">
        <v>2</v>
      </c>
      <c r="I94" s="356" t="s">
        <v>895</v>
      </c>
    </row>
  </sheetData>
  <autoFilter ref="A5:J94"/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4"/>
  <sheetViews>
    <sheetView topLeftCell="A64" workbookViewId="0">
      <selection activeCell="C89" sqref="C89"/>
    </sheetView>
  </sheetViews>
  <sheetFormatPr defaultColWidth="8.88671875" defaultRowHeight="13.8" x14ac:dyDescent="0.25"/>
  <cols>
    <col min="1" max="1" width="8.88671875" style="5"/>
    <col min="2" max="2" width="47" style="5" customWidth="1"/>
    <col min="3" max="3" width="15.33203125" style="376" customWidth="1"/>
    <col min="4" max="4" width="22.44140625" style="5" customWidth="1"/>
    <col min="5" max="5" width="19.33203125" style="5" customWidth="1"/>
    <col min="6" max="6" width="22.33203125" style="5" customWidth="1"/>
    <col min="7" max="16384" width="8.88671875" style="5"/>
  </cols>
  <sheetData>
    <row r="2" spans="1:6" s="127" customFormat="1" ht="43.2" customHeight="1" x14ac:dyDescent="0.25">
      <c r="A2" s="357" t="s">
        <v>698</v>
      </c>
      <c r="B2" s="357" t="s">
        <v>699</v>
      </c>
      <c r="C2" s="358" t="s">
        <v>700</v>
      </c>
      <c r="D2" s="357" t="s">
        <v>701</v>
      </c>
      <c r="E2" s="357" t="s">
        <v>702</v>
      </c>
      <c r="F2" s="357" t="s">
        <v>703</v>
      </c>
    </row>
    <row r="3" spans="1:6" s="127" customFormat="1" ht="12" customHeight="1" x14ac:dyDescent="0.25">
      <c r="A3" s="359">
        <v>1</v>
      </c>
      <c r="B3" s="360" t="s">
        <v>704</v>
      </c>
      <c r="C3" s="361">
        <v>0</v>
      </c>
      <c r="D3" s="362" t="s">
        <v>705</v>
      </c>
      <c r="E3" s="363" t="s">
        <v>705</v>
      </c>
      <c r="F3" s="362" t="s">
        <v>705</v>
      </c>
    </row>
    <row r="4" spans="1:6" s="127" customFormat="1" ht="12" customHeight="1" x14ac:dyDescent="0.25">
      <c r="A4" s="364">
        <v>2</v>
      </c>
      <c r="B4" s="365" t="s">
        <v>706</v>
      </c>
      <c r="C4" s="366">
        <v>0</v>
      </c>
      <c r="D4" s="367" t="s">
        <v>705</v>
      </c>
      <c r="E4" s="368" t="s">
        <v>705</v>
      </c>
      <c r="F4" s="367" t="s">
        <v>705</v>
      </c>
    </row>
    <row r="5" spans="1:6" s="127" customFormat="1" ht="12" customHeight="1" x14ac:dyDescent="0.25">
      <c r="A5" s="364">
        <v>3</v>
      </c>
      <c r="B5" s="365" t="s">
        <v>707</v>
      </c>
      <c r="C5" s="366">
        <v>0</v>
      </c>
      <c r="D5" s="367" t="s">
        <v>705</v>
      </c>
      <c r="E5" s="368" t="s">
        <v>705</v>
      </c>
      <c r="F5" s="367" t="s">
        <v>705</v>
      </c>
    </row>
    <row r="6" spans="1:6" s="127" customFormat="1" ht="12" customHeight="1" x14ac:dyDescent="0.25">
      <c r="A6" s="364">
        <v>4</v>
      </c>
      <c r="B6" s="365" t="s">
        <v>708</v>
      </c>
      <c r="C6" s="366">
        <v>0</v>
      </c>
      <c r="D6" s="367" t="s">
        <v>705</v>
      </c>
      <c r="E6" s="368" t="s">
        <v>705</v>
      </c>
      <c r="F6" s="367" t="s">
        <v>705</v>
      </c>
    </row>
    <row r="7" spans="1:6" s="127" customFormat="1" ht="12" customHeight="1" x14ac:dyDescent="0.25">
      <c r="A7" s="364">
        <v>5</v>
      </c>
      <c r="B7" s="365" t="s">
        <v>709</v>
      </c>
      <c r="C7" s="366">
        <v>0</v>
      </c>
      <c r="D7" s="367" t="s">
        <v>705</v>
      </c>
      <c r="E7" s="368" t="s">
        <v>705</v>
      </c>
      <c r="F7" s="367" t="s">
        <v>705</v>
      </c>
    </row>
    <row r="8" spans="1:6" s="127" customFormat="1" ht="12" customHeight="1" x14ac:dyDescent="0.25">
      <c r="A8" s="364">
        <v>6</v>
      </c>
      <c r="B8" s="365" t="s">
        <v>710</v>
      </c>
      <c r="C8" s="366">
        <v>0</v>
      </c>
      <c r="D8" s="367" t="s">
        <v>705</v>
      </c>
      <c r="E8" s="368" t="s">
        <v>705</v>
      </c>
      <c r="F8" s="367" t="s">
        <v>705</v>
      </c>
    </row>
    <row r="9" spans="1:6" s="127" customFormat="1" ht="12" customHeight="1" x14ac:dyDescent="0.25">
      <c r="A9" s="364">
        <v>7</v>
      </c>
      <c r="B9" s="365" t="s">
        <v>711</v>
      </c>
      <c r="C9" s="366">
        <v>0</v>
      </c>
      <c r="D9" s="367" t="s">
        <v>705</v>
      </c>
      <c r="E9" s="368" t="s">
        <v>705</v>
      </c>
      <c r="F9" s="367" t="s">
        <v>705</v>
      </c>
    </row>
    <row r="10" spans="1:6" s="127" customFormat="1" ht="12" customHeight="1" x14ac:dyDescent="0.25">
      <c r="A10" s="364">
        <v>8</v>
      </c>
      <c r="B10" s="365" t="s">
        <v>712</v>
      </c>
      <c r="C10" s="366">
        <v>0</v>
      </c>
      <c r="D10" s="367" t="s">
        <v>705</v>
      </c>
      <c r="E10" s="368" t="s">
        <v>705</v>
      </c>
      <c r="F10" s="367" t="s">
        <v>705</v>
      </c>
    </row>
    <row r="11" spans="1:6" s="127" customFormat="1" ht="12" customHeight="1" x14ac:dyDescent="0.25">
      <c r="A11" s="364">
        <v>9</v>
      </c>
      <c r="B11" s="365" t="s">
        <v>713</v>
      </c>
      <c r="C11" s="366">
        <v>0</v>
      </c>
      <c r="D11" s="367" t="s">
        <v>705</v>
      </c>
      <c r="E11" s="368" t="s">
        <v>705</v>
      </c>
      <c r="F11" s="367" t="s">
        <v>705</v>
      </c>
    </row>
    <row r="12" spans="1:6" s="127" customFormat="1" ht="12" customHeight="1" x14ac:dyDescent="0.25">
      <c r="A12" s="364">
        <v>10</v>
      </c>
      <c r="B12" s="365" t="s">
        <v>714</v>
      </c>
      <c r="C12" s="366">
        <v>0</v>
      </c>
      <c r="D12" s="367" t="s">
        <v>705</v>
      </c>
      <c r="E12" s="368" t="s">
        <v>705</v>
      </c>
      <c r="F12" s="367" t="s">
        <v>705</v>
      </c>
    </row>
    <row r="13" spans="1:6" s="127" customFormat="1" ht="12" customHeight="1" x14ac:dyDescent="0.25">
      <c r="A13" s="364">
        <v>11</v>
      </c>
      <c r="B13" s="365" t="s">
        <v>715</v>
      </c>
      <c r="C13" s="366">
        <v>0</v>
      </c>
      <c r="D13" s="367" t="s">
        <v>705</v>
      </c>
      <c r="E13" s="368" t="s">
        <v>705</v>
      </c>
      <c r="F13" s="367" t="s">
        <v>705</v>
      </c>
    </row>
    <row r="14" spans="1:6" s="127" customFormat="1" ht="12" customHeight="1" x14ac:dyDescent="0.25">
      <c r="A14" s="364">
        <v>12</v>
      </c>
      <c r="B14" s="365" t="s">
        <v>716</v>
      </c>
      <c r="C14" s="366">
        <v>0</v>
      </c>
      <c r="D14" s="367" t="s">
        <v>705</v>
      </c>
      <c r="E14" s="368" t="s">
        <v>705</v>
      </c>
      <c r="F14" s="367" t="s">
        <v>705</v>
      </c>
    </row>
    <row r="15" spans="1:6" s="127" customFormat="1" ht="12" customHeight="1" x14ac:dyDescent="0.25">
      <c r="A15" s="364">
        <v>13</v>
      </c>
      <c r="B15" s="365" t="s">
        <v>717</v>
      </c>
      <c r="C15" s="366">
        <v>0</v>
      </c>
      <c r="D15" s="367" t="s">
        <v>705</v>
      </c>
      <c r="E15" s="368" t="s">
        <v>705</v>
      </c>
      <c r="F15" s="367" t="s">
        <v>705</v>
      </c>
    </row>
    <row r="16" spans="1:6" s="127" customFormat="1" ht="12" customHeight="1" x14ac:dyDescent="0.25">
      <c r="A16" s="364">
        <v>14</v>
      </c>
      <c r="B16" s="365" t="s">
        <v>718</v>
      </c>
      <c r="C16" s="366">
        <v>0</v>
      </c>
      <c r="D16" s="367" t="s">
        <v>705</v>
      </c>
      <c r="E16" s="368" t="s">
        <v>705</v>
      </c>
      <c r="F16" s="367" t="s">
        <v>705</v>
      </c>
    </row>
    <row r="17" spans="1:6" s="127" customFormat="1" ht="12" customHeight="1" x14ac:dyDescent="0.25">
      <c r="A17" s="364">
        <v>15</v>
      </c>
      <c r="B17" s="365" t="s">
        <v>719</v>
      </c>
      <c r="C17" s="366">
        <v>0</v>
      </c>
      <c r="D17" s="367" t="s">
        <v>705</v>
      </c>
      <c r="E17" s="368" t="s">
        <v>705</v>
      </c>
      <c r="F17" s="367" t="s">
        <v>705</v>
      </c>
    </row>
    <row r="18" spans="1:6" s="127" customFormat="1" ht="12" customHeight="1" x14ac:dyDescent="0.25">
      <c r="A18" s="364">
        <v>16</v>
      </c>
      <c r="B18" s="365" t="s">
        <v>720</v>
      </c>
      <c r="C18" s="366">
        <v>0</v>
      </c>
      <c r="D18" s="367" t="s">
        <v>705</v>
      </c>
      <c r="E18" s="368" t="s">
        <v>705</v>
      </c>
      <c r="F18" s="367" t="s">
        <v>705</v>
      </c>
    </row>
    <row r="19" spans="1:6" s="127" customFormat="1" ht="12" customHeight="1" x14ac:dyDescent="0.25">
      <c r="A19" s="364">
        <v>17</v>
      </c>
      <c r="B19" s="365" t="s">
        <v>721</v>
      </c>
      <c r="C19" s="366">
        <v>0</v>
      </c>
      <c r="D19" s="367" t="s">
        <v>705</v>
      </c>
      <c r="E19" s="368" t="s">
        <v>705</v>
      </c>
      <c r="F19" s="367" t="s">
        <v>705</v>
      </c>
    </row>
    <row r="20" spans="1:6" s="127" customFormat="1" ht="12" customHeight="1" x14ac:dyDescent="0.25">
      <c r="A20" s="364">
        <v>18</v>
      </c>
      <c r="B20" s="365" t="s">
        <v>722</v>
      </c>
      <c r="C20" s="366">
        <v>0</v>
      </c>
      <c r="D20" s="367" t="s">
        <v>705</v>
      </c>
      <c r="E20" s="368" t="s">
        <v>705</v>
      </c>
      <c r="F20" s="367" t="s">
        <v>705</v>
      </c>
    </row>
    <row r="21" spans="1:6" s="127" customFormat="1" ht="12" customHeight="1" x14ac:dyDescent="0.25">
      <c r="A21" s="364">
        <v>19</v>
      </c>
      <c r="B21" s="365" t="s">
        <v>723</v>
      </c>
      <c r="C21" s="366">
        <v>0</v>
      </c>
      <c r="D21" s="367" t="s">
        <v>705</v>
      </c>
      <c r="E21" s="368" t="s">
        <v>705</v>
      </c>
      <c r="F21" s="367" t="s">
        <v>705</v>
      </c>
    </row>
    <row r="22" spans="1:6" s="127" customFormat="1" ht="12" customHeight="1" x14ac:dyDescent="0.25">
      <c r="A22" s="364">
        <v>20</v>
      </c>
      <c r="B22" s="365" t="s">
        <v>724</v>
      </c>
      <c r="C22" s="366">
        <v>0</v>
      </c>
      <c r="D22" s="367" t="s">
        <v>705</v>
      </c>
      <c r="E22" s="368" t="s">
        <v>705</v>
      </c>
      <c r="F22" s="367" t="s">
        <v>705</v>
      </c>
    </row>
    <row r="23" spans="1:6" s="127" customFormat="1" ht="12" customHeight="1" x14ac:dyDescent="0.25">
      <c r="A23" s="364">
        <v>21</v>
      </c>
      <c r="B23" s="365" t="s">
        <v>725</v>
      </c>
      <c r="C23" s="366">
        <v>0</v>
      </c>
      <c r="D23" s="367" t="s">
        <v>705</v>
      </c>
      <c r="E23" s="368" t="s">
        <v>705</v>
      </c>
      <c r="F23" s="367" t="s">
        <v>705</v>
      </c>
    </row>
    <row r="24" spans="1:6" s="127" customFormat="1" ht="12" customHeight="1" x14ac:dyDescent="0.25">
      <c r="A24" s="364">
        <v>22</v>
      </c>
      <c r="B24" s="365" t="s">
        <v>726</v>
      </c>
      <c r="C24" s="366">
        <v>0</v>
      </c>
      <c r="D24" s="367" t="s">
        <v>705</v>
      </c>
      <c r="E24" s="368" t="s">
        <v>705</v>
      </c>
      <c r="F24" s="367" t="s">
        <v>705</v>
      </c>
    </row>
    <row r="25" spans="1:6" s="127" customFormat="1" ht="12" customHeight="1" x14ac:dyDescent="0.25">
      <c r="A25" s="364">
        <v>23</v>
      </c>
      <c r="B25" s="365" t="s">
        <v>727</v>
      </c>
      <c r="C25" s="366">
        <v>5</v>
      </c>
      <c r="D25" s="367" t="s">
        <v>728</v>
      </c>
      <c r="E25" s="368" t="s">
        <v>728</v>
      </c>
      <c r="F25" s="367" t="s">
        <v>705</v>
      </c>
    </row>
    <row r="26" spans="1:6" s="127" customFormat="1" ht="12" customHeight="1" x14ac:dyDescent="0.25">
      <c r="A26" s="364">
        <v>24</v>
      </c>
      <c r="B26" s="365" t="s">
        <v>729</v>
      </c>
      <c r="C26" s="366">
        <v>5</v>
      </c>
      <c r="D26" s="367" t="s">
        <v>705</v>
      </c>
      <c r="E26" s="368" t="s">
        <v>728</v>
      </c>
      <c r="F26" s="367" t="s">
        <v>728</v>
      </c>
    </row>
    <row r="27" spans="1:6" s="127" customFormat="1" ht="12" customHeight="1" x14ac:dyDescent="0.25">
      <c r="A27" s="369">
        <v>25</v>
      </c>
      <c r="B27" s="370" t="s">
        <v>730</v>
      </c>
      <c r="C27" s="371">
        <v>5</v>
      </c>
      <c r="D27" s="372" t="s">
        <v>728</v>
      </c>
      <c r="E27" s="373" t="s">
        <v>728</v>
      </c>
      <c r="F27" s="372" t="s">
        <v>705</v>
      </c>
    </row>
    <row r="28" spans="1:6" s="127" customFormat="1" ht="12" customHeight="1" x14ac:dyDescent="0.25">
      <c r="A28" s="359">
        <v>26</v>
      </c>
      <c r="B28" s="360" t="s">
        <v>731</v>
      </c>
      <c r="C28" s="361">
        <v>5</v>
      </c>
      <c r="D28" s="362" t="s">
        <v>728</v>
      </c>
      <c r="E28" s="363" t="s">
        <v>728</v>
      </c>
      <c r="F28" s="362" t="s">
        <v>728</v>
      </c>
    </row>
    <row r="29" spans="1:6" s="127" customFormat="1" ht="12" customHeight="1" x14ac:dyDescent="0.25">
      <c r="A29" s="364">
        <v>27</v>
      </c>
      <c r="B29" s="365" t="s">
        <v>732</v>
      </c>
      <c r="C29" s="366">
        <v>5</v>
      </c>
      <c r="D29" s="367" t="s">
        <v>728</v>
      </c>
      <c r="E29" s="368" t="s">
        <v>728</v>
      </c>
      <c r="F29" s="367" t="s">
        <v>728</v>
      </c>
    </row>
    <row r="30" spans="1:6" s="127" customFormat="1" ht="12" customHeight="1" x14ac:dyDescent="0.25">
      <c r="A30" s="364">
        <v>28</v>
      </c>
      <c r="B30" s="365" t="s">
        <v>733</v>
      </c>
      <c r="C30" s="366">
        <v>5</v>
      </c>
      <c r="D30" s="367" t="s">
        <v>728</v>
      </c>
      <c r="E30" s="368" t="s">
        <v>728</v>
      </c>
      <c r="F30" s="367" t="s">
        <v>728</v>
      </c>
    </row>
    <row r="31" spans="1:6" s="127" customFormat="1" ht="12" customHeight="1" x14ac:dyDescent="0.25">
      <c r="A31" s="364">
        <v>29</v>
      </c>
      <c r="B31" s="365" t="s">
        <v>734</v>
      </c>
      <c r="C31" s="366">
        <v>12</v>
      </c>
      <c r="D31" s="367" t="s">
        <v>728</v>
      </c>
      <c r="E31" s="368" t="s">
        <v>728</v>
      </c>
      <c r="F31" s="367" t="s">
        <v>705</v>
      </c>
    </row>
    <row r="32" spans="1:6" s="127" customFormat="1" ht="12" customHeight="1" x14ac:dyDescent="0.25">
      <c r="A32" s="364">
        <v>30</v>
      </c>
      <c r="B32" s="365" t="s">
        <v>735</v>
      </c>
      <c r="C32" s="366">
        <v>12</v>
      </c>
      <c r="D32" s="367" t="s">
        <v>728</v>
      </c>
      <c r="E32" s="368" t="s">
        <v>728</v>
      </c>
      <c r="F32" s="367" t="s">
        <v>728</v>
      </c>
    </row>
    <row r="33" spans="1:6" s="127" customFormat="1" ht="12" customHeight="1" x14ac:dyDescent="0.25">
      <c r="A33" s="364">
        <v>31</v>
      </c>
      <c r="B33" s="365" t="s">
        <v>736</v>
      </c>
      <c r="C33" s="366">
        <v>18</v>
      </c>
      <c r="D33" s="367" t="s">
        <v>728</v>
      </c>
      <c r="E33" s="368" t="s">
        <v>728</v>
      </c>
      <c r="F33" s="367" t="s">
        <v>728</v>
      </c>
    </row>
    <row r="34" spans="1:6" s="127" customFormat="1" ht="12" customHeight="1" x14ac:dyDescent="0.25">
      <c r="A34" s="364">
        <v>32</v>
      </c>
      <c r="B34" s="365" t="s">
        <v>737</v>
      </c>
      <c r="C34" s="366">
        <v>18</v>
      </c>
      <c r="D34" s="367" t="s">
        <v>728</v>
      </c>
      <c r="E34" s="368" t="s">
        <v>728</v>
      </c>
      <c r="F34" s="367" t="s">
        <v>728</v>
      </c>
    </row>
    <row r="35" spans="1:6" s="127" customFormat="1" ht="12" customHeight="1" x14ac:dyDescent="0.25">
      <c r="A35" s="364">
        <v>33</v>
      </c>
      <c r="B35" s="365" t="s">
        <v>738</v>
      </c>
      <c r="C35" s="366">
        <v>18</v>
      </c>
      <c r="D35" s="367" t="s">
        <v>728</v>
      </c>
      <c r="E35" s="368" t="s">
        <v>728</v>
      </c>
      <c r="F35" s="367" t="s">
        <v>705</v>
      </c>
    </row>
    <row r="36" spans="1:6" s="127" customFormat="1" ht="12" customHeight="1" x14ac:dyDescent="0.25">
      <c r="A36" s="364">
        <v>34</v>
      </c>
      <c r="B36" s="365" t="s">
        <v>739</v>
      </c>
      <c r="C36" s="366">
        <v>18</v>
      </c>
      <c r="D36" s="367" t="s">
        <v>728</v>
      </c>
      <c r="E36" s="368" t="s">
        <v>728</v>
      </c>
      <c r="F36" s="367" t="s">
        <v>728</v>
      </c>
    </row>
    <row r="37" spans="1:6" s="127" customFormat="1" ht="12" customHeight="1" x14ac:dyDescent="0.25">
      <c r="A37" s="364">
        <v>35</v>
      </c>
      <c r="B37" s="365" t="s">
        <v>740</v>
      </c>
      <c r="C37" s="366">
        <v>18</v>
      </c>
      <c r="D37" s="367" t="s">
        <v>728</v>
      </c>
      <c r="E37" s="368" t="s">
        <v>728</v>
      </c>
      <c r="F37" s="367" t="s">
        <v>728</v>
      </c>
    </row>
    <row r="38" spans="1:6" s="127" customFormat="1" ht="12" customHeight="1" x14ac:dyDescent="0.25">
      <c r="A38" s="364">
        <v>36</v>
      </c>
      <c r="B38" s="365" t="s">
        <v>741</v>
      </c>
      <c r="C38" s="366">
        <v>18</v>
      </c>
      <c r="D38" s="367" t="s">
        <v>728</v>
      </c>
      <c r="E38" s="368" t="s">
        <v>728</v>
      </c>
      <c r="F38" s="367" t="s">
        <v>705</v>
      </c>
    </row>
    <row r="39" spans="1:6" s="127" customFormat="1" ht="12" customHeight="1" x14ac:dyDescent="0.25">
      <c r="A39" s="364">
        <v>37</v>
      </c>
      <c r="B39" s="365" t="s">
        <v>742</v>
      </c>
      <c r="C39" s="366">
        <v>18</v>
      </c>
      <c r="D39" s="367" t="s">
        <v>728</v>
      </c>
      <c r="E39" s="368" t="s">
        <v>728</v>
      </c>
      <c r="F39" s="367" t="s">
        <v>728</v>
      </c>
    </row>
    <row r="40" spans="1:6" s="127" customFormat="1" ht="12" customHeight="1" x14ac:dyDescent="0.25">
      <c r="A40" s="364">
        <v>38</v>
      </c>
      <c r="B40" s="365" t="s">
        <v>743</v>
      </c>
      <c r="C40" s="366">
        <v>18</v>
      </c>
      <c r="D40" s="367" t="s">
        <v>728</v>
      </c>
      <c r="E40" s="368" t="s">
        <v>728</v>
      </c>
      <c r="F40" s="367" t="s">
        <v>728</v>
      </c>
    </row>
    <row r="41" spans="1:6" s="127" customFormat="1" ht="12" customHeight="1" x14ac:dyDescent="0.25">
      <c r="A41" s="364">
        <v>39</v>
      </c>
      <c r="B41" s="365" t="s">
        <v>744</v>
      </c>
      <c r="C41" s="366">
        <v>18</v>
      </c>
      <c r="D41" s="367" t="s">
        <v>728</v>
      </c>
      <c r="E41" s="368" t="s">
        <v>705</v>
      </c>
      <c r="F41" s="367" t="s">
        <v>728</v>
      </c>
    </row>
    <row r="42" spans="1:6" s="127" customFormat="1" ht="12" customHeight="1" x14ac:dyDescent="0.25">
      <c r="A42" s="364">
        <v>40</v>
      </c>
      <c r="B42" s="365" t="s">
        <v>745</v>
      </c>
      <c r="C42" s="366">
        <v>18</v>
      </c>
      <c r="D42" s="367" t="s">
        <v>728</v>
      </c>
      <c r="E42" s="368" t="s">
        <v>728</v>
      </c>
      <c r="F42" s="367" t="s">
        <v>728</v>
      </c>
    </row>
    <row r="43" spans="1:6" s="127" customFormat="1" ht="12" customHeight="1" x14ac:dyDescent="0.25">
      <c r="A43" s="364">
        <v>41</v>
      </c>
      <c r="B43" s="365" t="s">
        <v>746</v>
      </c>
      <c r="C43" s="366">
        <v>18</v>
      </c>
      <c r="D43" s="367" t="s">
        <v>728</v>
      </c>
      <c r="E43" s="368" t="s">
        <v>728</v>
      </c>
      <c r="F43" s="367" t="s">
        <v>728</v>
      </c>
    </row>
    <row r="44" spans="1:6" s="127" customFormat="1" ht="12" customHeight="1" x14ac:dyDescent="0.25">
      <c r="A44" s="364">
        <v>42</v>
      </c>
      <c r="B44" s="365" t="s">
        <v>747</v>
      </c>
      <c r="C44" s="366">
        <v>18</v>
      </c>
      <c r="D44" s="367" t="s">
        <v>728</v>
      </c>
      <c r="E44" s="368" t="s">
        <v>728</v>
      </c>
      <c r="F44" s="367" t="s">
        <v>728</v>
      </c>
    </row>
    <row r="45" spans="1:6" s="127" customFormat="1" ht="12" customHeight="1" x14ac:dyDescent="0.25">
      <c r="A45" s="364">
        <v>43</v>
      </c>
      <c r="B45" s="365" t="s">
        <v>748</v>
      </c>
      <c r="C45" s="366">
        <v>18</v>
      </c>
      <c r="D45" s="367" t="s">
        <v>728</v>
      </c>
      <c r="E45" s="368" t="s">
        <v>728</v>
      </c>
      <c r="F45" s="367" t="s">
        <v>728</v>
      </c>
    </row>
    <row r="46" spans="1:6" s="127" customFormat="1" ht="12" customHeight="1" x14ac:dyDescent="0.25">
      <c r="A46" s="364">
        <v>44</v>
      </c>
      <c r="B46" s="365" t="s">
        <v>749</v>
      </c>
      <c r="C46" s="366">
        <v>18</v>
      </c>
      <c r="D46" s="367" t="s">
        <v>728</v>
      </c>
      <c r="E46" s="368" t="s">
        <v>728</v>
      </c>
      <c r="F46" s="367" t="s">
        <v>728</v>
      </c>
    </row>
    <row r="47" spans="1:6" s="127" customFormat="1" ht="12" customHeight="1" x14ac:dyDescent="0.25">
      <c r="A47" s="364">
        <v>45</v>
      </c>
      <c r="B47" s="365" t="s">
        <v>750</v>
      </c>
      <c r="C47" s="366">
        <v>18</v>
      </c>
      <c r="D47" s="367" t="s">
        <v>728</v>
      </c>
      <c r="E47" s="368" t="s">
        <v>705</v>
      </c>
      <c r="F47" s="367" t="s">
        <v>705</v>
      </c>
    </row>
    <row r="48" spans="1:6" s="127" customFormat="1" ht="12" customHeight="1" x14ac:dyDescent="0.25">
      <c r="A48" s="364">
        <v>46</v>
      </c>
      <c r="B48" s="365" t="s">
        <v>751</v>
      </c>
      <c r="C48" s="366">
        <v>18</v>
      </c>
      <c r="D48" s="367" t="s">
        <v>705</v>
      </c>
      <c r="E48" s="368" t="s">
        <v>728</v>
      </c>
      <c r="F48" s="367" t="s">
        <v>728</v>
      </c>
    </row>
    <row r="49" spans="1:6" s="127" customFormat="1" ht="12" customHeight="1" x14ac:dyDescent="0.25">
      <c r="A49" s="364">
        <v>47</v>
      </c>
      <c r="B49" s="365" t="s">
        <v>752</v>
      </c>
      <c r="C49" s="366">
        <v>18</v>
      </c>
      <c r="D49" s="367" t="s">
        <v>728</v>
      </c>
      <c r="E49" s="368" t="s">
        <v>728</v>
      </c>
      <c r="F49" s="367" t="s">
        <v>728</v>
      </c>
    </row>
    <row r="50" spans="1:6" s="127" customFormat="1" ht="12" customHeight="1" x14ac:dyDescent="0.25">
      <c r="A50" s="364">
        <v>48</v>
      </c>
      <c r="B50" s="365" t="s">
        <v>753</v>
      </c>
      <c r="C50" s="366">
        <v>18</v>
      </c>
      <c r="D50" s="367" t="s">
        <v>728</v>
      </c>
      <c r="E50" s="368" t="s">
        <v>728</v>
      </c>
      <c r="F50" s="367" t="s">
        <v>728</v>
      </c>
    </row>
    <row r="51" spans="1:6" s="127" customFormat="1" ht="12" customHeight="1" x14ac:dyDescent="0.25">
      <c r="A51" s="364">
        <v>49</v>
      </c>
      <c r="B51" s="365" t="s">
        <v>754</v>
      </c>
      <c r="C51" s="366">
        <v>18</v>
      </c>
      <c r="D51" s="367" t="s">
        <v>705</v>
      </c>
      <c r="E51" s="368" t="s">
        <v>728</v>
      </c>
      <c r="F51" s="367" t="s">
        <v>728</v>
      </c>
    </row>
    <row r="52" spans="1:6" s="127" customFormat="1" ht="12" customHeight="1" x14ac:dyDescent="0.25">
      <c r="A52" s="364">
        <v>50</v>
      </c>
      <c r="B52" s="365" t="s">
        <v>755</v>
      </c>
      <c r="C52" s="366">
        <v>18</v>
      </c>
      <c r="D52" s="367" t="s">
        <v>728</v>
      </c>
      <c r="E52" s="368" t="s">
        <v>728</v>
      </c>
      <c r="F52" s="367" t="s">
        <v>728</v>
      </c>
    </row>
    <row r="53" spans="1:6" s="127" customFormat="1" ht="12" customHeight="1" x14ac:dyDescent="0.25">
      <c r="A53" s="364">
        <v>51</v>
      </c>
      <c r="B53" s="365" t="s">
        <v>756</v>
      </c>
      <c r="C53" s="366">
        <v>18</v>
      </c>
      <c r="D53" s="367" t="s">
        <v>728</v>
      </c>
      <c r="E53" s="368" t="s">
        <v>728</v>
      </c>
      <c r="F53" s="367" t="s">
        <v>728</v>
      </c>
    </row>
    <row r="54" spans="1:6" s="127" customFormat="1" ht="12" customHeight="1" x14ac:dyDescent="0.25">
      <c r="A54" s="364">
        <v>52</v>
      </c>
      <c r="B54" s="365" t="s">
        <v>757</v>
      </c>
      <c r="C54" s="366">
        <v>18</v>
      </c>
      <c r="D54" s="367" t="s">
        <v>728</v>
      </c>
      <c r="E54" s="368" t="s">
        <v>728</v>
      </c>
      <c r="F54" s="367" t="s">
        <v>728</v>
      </c>
    </row>
    <row r="55" spans="1:6" s="127" customFormat="1" ht="12" customHeight="1" x14ac:dyDescent="0.25">
      <c r="A55" s="364">
        <v>53</v>
      </c>
      <c r="B55" s="365" t="s">
        <v>758</v>
      </c>
      <c r="C55" s="366">
        <v>18</v>
      </c>
      <c r="D55" s="367" t="s">
        <v>728</v>
      </c>
      <c r="E55" s="368" t="s">
        <v>728</v>
      </c>
      <c r="F55" s="367" t="s">
        <v>728</v>
      </c>
    </row>
    <row r="56" spans="1:6" s="127" customFormat="1" ht="12" customHeight="1" x14ac:dyDescent="0.25">
      <c r="A56" s="369">
        <v>54</v>
      </c>
      <c r="B56" s="370" t="s">
        <v>759</v>
      </c>
      <c r="C56" s="366">
        <v>18</v>
      </c>
      <c r="D56" s="372" t="s">
        <v>728</v>
      </c>
      <c r="E56" s="373" t="s">
        <v>728</v>
      </c>
      <c r="F56" s="372" t="s">
        <v>728</v>
      </c>
    </row>
    <row r="57" spans="1:6" s="127" customFormat="1" ht="12" customHeight="1" x14ac:dyDescent="0.25">
      <c r="A57" s="359">
        <v>55</v>
      </c>
      <c r="B57" s="360" t="s">
        <v>760</v>
      </c>
      <c r="C57" s="366">
        <v>18</v>
      </c>
      <c r="D57" s="362" t="s">
        <v>728</v>
      </c>
      <c r="E57" s="363" t="s">
        <v>728</v>
      </c>
      <c r="F57" s="362" t="s">
        <v>728</v>
      </c>
    </row>
    <row r="58" spans="1:6" s="127" customFormat="1" ht="12" customHeight="1" x14ac:dyDescent="0.25">
      <c r="A58" s="364">
        <v>56</v>
      </c>
      <c r="B58" s="365" t="s">
        <v>761</v>
      </c>
      <c r="C58" s="366">
        <v>18</v>
      </c>
      <c r="D58" s="367" t="s">
        <v>728</v>
      </c>
      <c r="E58" s="368" t="s">
        <v>728</v>
      </c>
      <c r="F58" s="367" t="s">
        <v>762</v>
      </c>
    </row>
    <row r="59" spans="1:6" s="127" customFormat="1" ht="12" customHeight="1" x14ac:dyDescent="0.25">
      <c r="A59" s="364">
        <v>57</v>
      </c>
      <c r="B59" s="365" t="s">
        <v>763</v>
      </c>
      <c r="C59" s="366">
        <v>18</v>
      </c>
      <c r="D59" s="367" t="s">
        <v>728</v>
      </c>
      <c r="E59" s="368" t="s">
        <v>728</v>
      </c>
      <c r="F59" s="367" t="s">
        <v>728</v>
      </c>
    </row>
    <row r="60" spans="1:6" s="127" customFormat="1" ht="12" customHeight="1" x14ac:dyDescent="0.25">
      <c r="A60" s="364">
        <v>58</v>
      </c>
      <c r="B60" s="365" t="s">
        <v>764</v>
      </c>
      <c r="C60" s="366">
        <v>18</v>
      </c>
      <c r="D60" s="367" t="s">
        <v>728</v>
      </c>
      <c r="E60" s="368" t="s">
        <v>728</v>
      </c>
      <c r="F60" s="367" t="s">
        <v>705</v>
      </c>
    </row>
    <row r="61" spans="1:6" s="127" customFormat="1" ht="12" customHeight="1" x14ac:dyDescent="0.25">
      <c r="A61" s="364">
        <v>59</v>
      </c>
      <c r="B61" s="365" t="s">
        <v>765</v>
      </c>
      <c r="C61" s="366">
        <v>18</v>
      </c>
      <c r="D61" s="367" t="s">
        <v>728</v>
      </c>
      <c r="E61" s="368" t="s">
        <v>728</v>
      </c>
      <c r="F61" s="367" t="s">
        <v>728</v>
      </c>
    </row>
    <row r="62" spans="1:6" s="127" customFormat="1" ht="12" customHeight="1" x14ac:dyDescent="0.25">
      <c r="A62" s="364">
        <v>60</v>
      </c>
      <c r="B62" s="365" t="s">
        <v>766</v>
      </c>
      <c r="C62" s="366">
        <v>18</v>
      </c>
      <c r="D62" s="367" t="s">
        <v>728</v>
      </c>
      <c r="E62" s="368" t="s">
        <v>705</v>
      </c>
      <c r="F62" s="367" t="s">
        <v>767</v>
      </c>
    </row>
    <row r="63" spans="1:6" s="127" customFormat="1" ht="12" customHeight="1" x14ac:dyDescent="0.25">
      <c r="A63" s="364">
        <v>61</v>
      </c>
      <c r="B63" s="365" t="s">
        <v>768</v>
      </c>
      <c r="C63" s="366">
        <v>18</v>
      </c>
      <c r="D63" s="367" t="s">
        <v>728</v>
      </c>
      <c r="E63" s="368" t="s">
        <v>728</v>
      </c>
      <c r="F63" s="367" t="s">
        <v>728</v>
      </c>
    </row>
    <row r="64" spans="1:6" s="127" customFormat="1" ht="12" customHeight="1" x14ac:dyDescent="0.25">
      <c r="A64" s="364">
        <v>62</v>
      </c>
      <c r="B64" s="365" t="s">
        <v>769</v>
      </c>
      <c r="C64" s="366">
        <v>18</v>
      </c>
      <c r="D64" s="367" t="s">
        <v>728</v>
      </c>
      <c r="E64" s="368" t="s">
        <v>728</v>
      </c>
      <c r="F64" s="367" t="s">
        <v>728</v>
      </c>
    </row>
    <row r="65" spans="1:6" s="127" customFormat="1" ht="12" customHeight="1" x14ac:dyDescent="0.25">
      <c r="A65" s="364">
        <v>63</v>
      </c>
      <c r="B65" s="365" t="s">
        <v>770</v>
      </c>
      <c r="C65" s="366">
        <v>18</v>
      </c>
      <c r="D65" s="367" t="s">
        <v>728</v>
      </c>
      <c r="E65" s="368" t="s">
        <v>728</v>
      </c>
      <c r="F65" s="367" t="s">
        <v>728</v>
      </c>
    </row>
    <row r="66" spans="1:6" s="127" customFormat="1" ht="12" customHeight="1" x14ac:dyDescent="0.25">
      <c r="A66" s="364">
        <v>64</v>
      </c>
      <c r="B66" s="365" t="s">
        <v>771</v>
      </c>
      <c r="C66" s="366">
        <v>18</v>
      </c>
      <c r="D66" s="367" t="s">
        <v>728</v>
      </c>
      <c r="E66" s="368" t="s">
        <v>728</v>
      </c>
      <c r="F66" s="367" t="s">
        <v>728</v>
      </c>
    </row>
    <row r="67" spans="1:6" s="127" customFormat="1" ht="12" customHeight="1" x14ac:dyDescent="0.25">
      <c r="A67" s="364">
        <v>65</v>
      </c>
      <c r="B67" s="365" t="s">
        <v>772</v>
      </c>
      <c r="C67" s="366">
        <v>18</v>
      </c>
      <c r="D67" s="367" t="s">
        <v>728</v>
      </c>
      <c r="E67" s="368" t="s">
        <v>728</v>
      </c>
      <c r="F67" s="367" t="s">
        <v>728</v>
      </c>
    </row>
    <row r="68" spans="1:6" s="127" customFormat="1" ht="12" customHeight="1" x14ac:dyDescent="0.25">
      <c r="A68" s="364">
        <v>66</v>
      </c>
      <c r="B68" s="365" t="s">
        <v>773</v>
      </c>
      <c r="C68" s="366">
        <v>18</v>
      </c>
      <c r="D68" s="367" t="s">
        <v>728</v>
      </c>
      <c r="E68" s="368" t="s">
        <v>728</v>
      </c>
      <c r="F68" s="367" t="s">
        <v>728</v>
      </c>
    </row>
    <row r="69" spans="1:6" s="127" customFormat="1" ht="12" customHeight="1" x14ac:dyDescent="0.25">
      <c r="A69" s="364">
        <v>67</v>
      </c>
      <c r="B69" s="365" t="s">
        <v>738</v>
      </c>
      <c r="C69" s="366">
        <v>28</v>
      </c>
      <c r="D69" s="367" t="s">
        <v>728</v>
      </c>
      <c r="E69" s="368" t="s">
        <v>728</v>
      </c>
      <c r="F69" s="367" t="s">
        <v>705</v>
      </c>
    </row>
    <row r="70" spans="1:6" s="127" customFormat="1" ht="12" customHeight="1" x14ac:dyDescent="0.25">
      <c r="A70" s="364">
        <v>68</v>
      </c>
      <c r="B70" s="365" t="s">
        <v>774</v>
      </c>
      <c r="C70" s="366">
        <v>28</v>
      </c>
      <c r="D70" s="367" t="s">
        <v>728</v>
      </c>
      <c r="E70" s="368" t="s">
        <v>728</v>
      </c>
      <c r="F70" s="367" t="s">
        <v>705</v>
      </c>
    </row>
    <row r="71" spans="1:6" s="127" customFormat="1" ht="12" customHeight="1" x14ac:dyDescent="0.25">
      <c r="A71" s="364">
        <v>69</v>
      </c>
      <c r="B71" s="365" t="s">
        <v>775</v>
      </c>
      <c r="C71" s="366">
        <v>28</v>
      </c>
      <c r="D71" s="367" t="s">
        <v>728</v>
      </c>
      <c r="E71" s="368" t="s">
        <v>728</v>
      </c>
      <c r="F71" s="367" t="s">
        <v>728</v>
      </c>
    </row>
    <row r="72" spans="1:6" s="127" customFormat="1" ht="12" customHeight="1" x14ac:dyDescent="0.25">
      <c r="A72" s="364">
        <v>70</v>
      </c>
      <c r="B72" s="365" t="s">
        <v>776</v>
      </c>
      <c r="C72" s="366">
        <v>28</v>
      </c>
      <c r="D72" s="367" t="s">
        <v>728</v>
      </c>
      <c r="E72" s="368" t="s">
        <v>728</v>
      </c>
      <c r="F72" s="367" t="s">
        <v>705</v>
      </c>
    </row>
    <row r="73" spans="1:6" s="127" customFormat="1" ht="12" customHeight="1" x14ac:dyDescent="0.25">
      <c r="A73" s="364">
        <v>71</v>
      </c>
      <c r="B73" s="365" t="s">
        <v>777</v>
      </c>
      <c r="C73" s="366">
        <v>28</v>
      </c>
      <c r="D73" s="367" t="s">
        <v>728</v>
      </c>
      <c r="E73" s="368" t="s">
        <v>728</v>
      </c>
      <c r="F73" s="367" t="s">
        <v>728</v>
      </c>
    </row>
    <row r="74" spans="1:6" s="127" customFormat="1" ht="12" customHeight="1" x14ac:dyDescent="0.25">
      <c r="A74" s="364">
        <v>72</v>
      </c>
      <c r="B74" s="365" t="s">
        <v>778</v>
      </c>
      <c r="C74" s="366">
        <v>40</v>
      </c>
      <c r="D74" s="367" t="s">
        <v>728</v>
      </c>
      <c r="E74" s="368" t="s">
        <v>728</v>
      </c>
      <c r="F74" s="367" t="s">
        <v>705</v>
      </c>
    </row>
    <row r="75" spans="1:6" s="127" customFormat="1" ht="12" customHeight="1" x14ac:dyDescent="0.25">
      <c r="A75" s="364">
        <v>73</v>
      </c>
      <c r="B75" s="365" t="s">
        <v>779</v>
      </c>
      <c r="C75" s="374">
        <v>18</v>
      </c>
      <c r="D75" s="367" t="s">
        <v>728</v>
      </c>
      <c r="E75" s="368" t="s">
        <v>728</v>
      </c>
      <c r="F75" s="367" t="s">
        <v>728</v>
      </c>
    </row>
    <row r="76" spans="1:6" s="127" customFormat="1" ht="12" customHeight="1" x14ac:dyDescent="0.25">
      <c r="A76" s="364">
        <v>74</v>
      </c>
      <c r="B76" s="365" t="s">
        <v>780</v>
      </c>
      <c r="C76" s="374">
        <v>18</v>
      </c>
      <c r="D76" s="367" t="s">
        <v>728</v>
      </c>
      <c r="E76" s="368" t="s">
        <v>728</v>
      </c>
      <c r="F76" s="367" t="s">
        <v>705</v>
      </c>
    </row>
    <row r="77" spans="1:6" s="127" customFormat="1" ht="12" customHeight="1" x14ac:dyDescent="0.25">
      <c r="A77" s="364">
        <v>75</v>
      </c>
      <c r="B77" s="365" t="s">
        <v>781</v>
      </c>
      <c r="C77" s="374">
        <v>5</v>
      </c>
      <c r="D77" s="367" t="s">
        <v>728</v>
      </c>
      <c r="E77" s="368" t="s">
        <v>728</v>
      </c>
      <c r="F77" s="367" t="s">
        <v>728</v>
      </c>
    </row>
    <row r="78" spans="1:6" s="127" customFormat="1" ht="12" customHeight="1" x14ac:dyDescent="0.25">
      <c r="A78" s="364">
        <v>76</v>
      </c>
      <c r="B78" s="365" t="s">
        <v>782</v>
      </c>
      <c r="C78" s="374">
        <v>18</v>
      </c>
      <c r="D78" s="367" t="s">
        <v>728</v>
      </c>
      <c r="E78" s="368" t="s">
        <v>728</v>
      </c>
      <c r="F78" s="367" t="s">
        <v>728</v>
      </c>
    </row>
    <row r="79" spans="1:6" s="127" customFormat="1" ht="12" customHeight="1" x14ac:dyDescent="0.25">
      <c r="A79" s="364">
        <v>77</v>
      </c>
      <c r="B79" s="365" t="s">
        <v>783</v>
      </c>
      <c r="C79" s="374" t="s">
        <v>784</v>
      </c>
      <c r="D79" s="367" t="s">
        <v>728</v>
      </c>
      <c r="E79" s="368" t="s">
        <v>728</v>
      </c>
      <c r="F79" s="367" t="s">
        <v>785</v>
      </c>
    </row>
    <row r="80" spans="1:6" s="127" customFormat="1" ht="12" customHeight="1" x14ac:dyDescent="0.25">
      <c r="A80" s="364">
        <v>78</v>
      </c>
      <c r="B80" s="365" t="s">
        <v>786</v>
      </c>
      <c r="C80" s="374" t="s">
        <v>784</v>
      </c>
      <c r="D80" s="367" t="s">
        <v>728</v>
      </c>
      <c r="E80" s="368" t="s">
        <v>728</v>
      </c>
      <c r="F80" s="367" t="s">
        <v>785</v>
      </c>
    </row>
    <row r="81" spans="1:6" s="127" customFormat="1" ht="12" customHeight="1" x14ac:dyDescent="0.25">
      <c r="A81" s="364">
        <v>79</v>
      </c>
      <c r="B81" s="365" t="s">
        <v>787</v>
      </c>
      <c r="C81" s="374" t="s">
        <v>784</v>
      </c>
      <c r="D81" s="367" t="s">
        <v>728</v>
      </c>
      <c r="E81" s="368" t="s">
        <v>728</v>
      </c>
      <c r="F81" s="367" t="s">
        <v>705</v>
      </c>
    </row>
    <row r="82" spans="1:6" s="127" customFormat="1" ht="12" customHeight="1" x14ac:dyDescent="0.25">
      <c r="A82" s="364">
        <v>80</v>
      </c>
      <c r="B82" s="365" t="s">
        <v>788</v>
      </c>
      <c r="C82" s="374" t="s">
        <v>784</v>
      </c>
      <c r="D82" s="367" t="s">
        <v>728</v>
      </c>
      <c r="E82" s="368" t="s">
        <v>728</v>
      </c>
      <c r="F82" s="367" t="s">
        <v>705</v>
      </c>
    </row>
    <row r="83" spans="1:6" s="127" customFormat="1" ht="12" customHeight="1" x14ac:dyDescent="0.25">
      <c r="A83" s="364">
        <v>81</v>
      </c>
      <c r="B83" s="365" t="s">
        <v>789</v>
      </c>
      <c r="C83" s="374" t="s">
        <v>784</v>
      </c>
      <c r="D83" s="367" t="s">
        <v>728</v>
      </c>
      <c r="E83" s="368" t="s">
        <v>728</v>
      </c>
      <c r="F83" s="367" t="s">
        <v>785</v>
      </c>
    </row>
    <row r="84" spans="1:6" s="127" customFormat="1" ht="12" customHeight="1" x14ac:dyDescent="0.25">
      <c r="A84" s="364">
        <v>82</v>
      </c>
      <c r="B84" s="365" t="s">
        <v>790</v>
      </c>
      <c r="C84" s="374" t="s">
        <v>791</v>
      </c>
      <c r="D84" s="367" t="s">
        <v>728</v>
      </c>
      <c r="E84" s="368" t="s">
        <v>728</v>
      </c>
      <c r="F84" s="367" t="s">
        <v>705</v>
      </c>
    </row>
    <row r="85" spans="1:6" s="127" customFormat="1" ht="12" customHeight="1" x14ac:dyDescent="0.25">
      <c r="A85" s="364">
        <v>83</v>
      </c>
      <c r="B85" s="365" t="s">
        <v>792</v>
      </c>
      <c r="C85" s="374" t="s">
        <v>791</v>
      </c>
      <c r="D85" s="367" t="s">
        <v>728</v>
      </c>
      <c r="E85" s="368" t="s">
        <v>728</v>
      </c>
      <c r="F85" s="367" t="s">
        <v>728</v>
      </c>
    </row>
    <row r="86" spans="1:6" s="127" customFormat="1" ht="12" customHeight="1" x14ac:dyDescent="0.25">
      <c r="A86" s="369">
        <v>84</v>
      </c>
      <c r="B86" s="370" t="s">
        <v>793</v>
      </c>
      <c r="C86" s="375" t="s">
        <v>791</v>
      </c>
      <c r="D86" s="372" t="s">
        <v>728</v>
      </c>
      <c r="E86" s="373" t="s">
        <v>728</v>
      </c>
      <c r="F86" s="372" t="s">
        <v>728</v>
      </c>
    </row>
    <row r="87" spans="1:6" s="127" customFormat="1" ht="12" customHeight="1" x14ac:dyDescent="0.25">
      <c r="C87" s="300"/>
    </row>
    <row r="88" spans="1:6" s="127" customFormat="1" ht="12" customHeight="1" x14ac:dyDescent="0.25">
      <c r="C88" s="300"/>
    </row>
    <row r="89" spans="1:6" s="127" customFormat="1" ht="12" customHeight="1" x14ac:dyDescent="0.25">
      <c r="C89" s="300"/>
    </row>
    <row r="90" spans="1:6" s="127" customFormat="1" ht="12" customHeight="1" x14ac:dyDescent="0.25">
      <c r="C90" s="300"/>
    </row>
    <row r="91" spans="1:6" s="127" customFormat="1" ht="12" customHeight="1" x14ac:dyDescent="0.25">
      <c r="C91" s="300"/>
    </row>
    <row r="92" spans="1:6" s="127" customFormat="1" ht="12" customHeight="1" x14ac:dyDescent="0.25">
      <c r="C92" s="300"/>
    </row>
    <row r="93" spans="1:6" s="127" customFormat="1" ht="12" customHeight="1" x14ac:dyDescent="0.25">
      <c r="C93" s="300"/>
    </row>
    <row r="94" spans="1:6" s="127" customFormat="1" ht="12" customHeight="1" x14ac:dyDescent="0.25">
      <c r="C94" s="300"/>
    </row>
    <row r="95" spans="1:6" s="127" customFormat="1" ht="12" customHeight="1" x14ac:dyDescent="0.25">
      <c r="C95" s="300"/>
    </row>
    <row r="96" spans="1:6" s="127" customFormat="1" ht="12" customHeight="1" x14ac:dyDescent="0.25">
      <c r="C96" s="300"/>
    </row>
    <row r="97" spans="3:3" s="127" customFormat="1" ht="12" customHeight="1" x14ac:dyDescent="0.25">
      <c r="C97" s="300"/>
    </row>
    <row r="98" spans="3:3" s="127" customFormat="1" ht="12" customHeight="1" x14ac:dyDescent="0.25">
      <c r="C98" s="300"/>
    </row>
    <row r="99" spans="3:3" s="127" customFormat="1" ht="12" customHeight="1" x14ac:dyDescent="0.25">
      <c r="C99" s="300"/>
    </row>
    <row r="100" spans="3:3" s="127" customFormat="1" ht="12" customHeight="1" x14ac:dyDescent="0.25">
      <c r="C100" s="300"/>
    </row>
    <row r="101" spans="3:3" s="127" customFormat="1" ht="12" customHeight="1" x14ac:dyDescent="0.25">
      <c r="C101" s="300"/>
    </row>
    <row r="102" spans="3:3" s="127" customFormat="1" ht="12" customHeight="1" x14ac:dyDescent="0.25">
      <c r="C102" s="300"/>
    </row>
    <row r="103" spans="3:3" s="127" customFormat="1" ht="12" customHeight="1" x14ac:dyDescent="0.25">
      <c r="C103" s="300"/>
    </row>
    <row r="104" spans="3:3" s="127" customFormat="1" ht="12" customHeight="1" x14ac:dyDescent="0.25">
      <c r="C104" s="300"/>
    </row>
  </sheetData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tabSelected="1" workbookViewId="0">
      <selection activeCell="G7" sqref="G7"/>
    </sheetView>
  </sheetViews>
  <sheetFormatPr defaultRowHeight="14.4" x14ac:dyDescent="0.3"/>
  <cols>
    <col min="1" max="1" width="27.6640625" bestFit="1" customWidth="1"/>
    <col min="2" max="2" width="8.33203125" bestFit="1" customWidth="1"/>
    <col min="3" max="3" width="5.33203125" bestFit="1" customWidth="1"/>
    <col min="4" max="4" width="8.6640625" bestFit="1" customWidth="1"/>
    <col min="5" max="5" width="16.109375" bestFit="1" customWidth="1"/>
    <col min="6" max="6" width="7.88671875" bestFit="1" customWidth="1"/>
    <col min="7" max="7" width="28.33203125" customWidth="1"/>
    <col min="8" max="8" width="12.109375" bestFit="1" customWidth="1"/>
    <col min="9" max="9" width="16.109375" bestFit="1" customWidth="1"/>
    <col min="10" max="10" width="9.5546875" bestFit="1" customWidth="1"/>
    <col min="11" max="11" width="7.33203125" bestFit="1" customWidth="1"/>
  </cols>
  <sheetData>
    <row r="1" spans="1:11" ht="55.2" x14ac:dyDescent="0.3">
      <c r="A1" s="64" t="s">
        <v>109</v>
      </c>
      <c r="B1" s="65" t="s">
        <v>163</v>
      </c>
      <c r="C1" s="65" t="s">
        <v>164</v>
      </c>
      <c r="D1" s="65" t="s">
        <v>165</v>
      </c>
      <c r="E1" s="65" t="s">
        <v>166</v>
      </c>
      <c r="F1" s="65" t="s">
        <v>167</v>
      </c>
      <c r="G1" s="65" t="s">
        <v>168</v>
      </c>
      <c r="H1" s="65" t="s">
        <v>169</v>
      </c>
      <c r="I1" s="65" t="s">
        <v>170</v>
      </c>
      <c r="J1" s="65" t="s">
        <v>171</v>
      </c>
      <c r="K1" s="65" t="s">
        <v>172</v>
      </c>
    </row>
    <row r="2" spans="1:11" ht="27.6" x14ac:dyDescent="0.3">
      <c r="A2" s="66" t="s">
        <v>173</v>
      </c>
      <c r="B2" s="67" t="s">
        <v>71</v>
      </c>
      <c r="C2" s="68" t="s">
        <v>174</v>
      </c>
      <c r="D2" s="69">
        <v>0</v>
      </c>
      <c r="E2" s="70" t="s">
        <v>175</v>
      </c>
      <c r="F2" s="71" t="s">
        <v>72</v>
      </c>
      <c r="G2" s="72" t="s">
        <v>176</v>
      </c>
      <c r="H2" s="7" t="s">
        <v>177</v>
      </c>
      <c r="I2" s="73" t="s">
        <v>178</v>
      </c>
      <c r="J2" s="73" t="s">
        <v>179</v>
      </c>
      <c r="K2" s="73" t="s">
        <v>180</v>
      </c>
    </row>
    <row r="3" spans="1:11" ht="55.8" x14ac:dyDescent="0.3">
      <c r="A3" s="66" t="s">
        <v>181</v>
      </c>
      <c r="B3" s="67" t="s">
        <v>182</v>
      </c>
      <c r="C3" s="68" t="s">
        <v>183</v>
      </c>
      <c r="D3" s="69">
        <v>0.1</v>
      </c>
      <c r="E3" s="70" t="s">
        <v>184</v>
      </c>
      <c r="F3" s="71" t="s">
        <v>185</v>
      </c>
      <c r="G3" s="74" t="s">
        <v>186</v>
      </c>
      <c r="H3" s="7" t="s">
        <v>187</v>
      </c>
      <c r="I3" s="73" t="s">
        <v>188</v>
      </c>
      <c r="J3" s="73" t="s">
        <v>189</v>
      </c>
      <c r="K3" s="73" t="s">
        <v>190</v>
      </c>
    </row>
    <row r="4" spans="1:11" ht="55.8" x14ac:dyDescent="0.3">
      <c r="A4" s="66" t="s">
        <v>191</v>
      </c>
      <c r="B4" s="67"/>
      <c r="C4" s="75" t="s">
        <v>192</v>
      </c>
      <c r="D4" s="69">
        <v>0.25</v>
      </c>
      <c r="E4" s="70" t="s">
        <v>193</v>
      </c>
      <c r="F4" s="71" t="s">
        <v>194</v>
      </c>
      <c r="G4" s="7" t="s">
        <v>195</v>
      </c>
      <c r="H4" s="76" t="s">
        <v>196</v>
      </c>
      <c r="I4" s="73"/>
      <c r="J4" s="73"/>
      <c r="K4" s="73"/>
    </row>
    <row r="5" spans="1:11" ht="28.2" x14ac:dyDescent="0.3">
      <c r="A5" s="66" t="s">
        <v>197</v>
      </c>
      <c r="B5" s="77"/>
      <c r="C5" s="78"/>
      <c r="D5" s="69">
        <v>3</v>
      </c>
      <c r="E5" s="70" t="s">
        <v>198</v>
      </c>
      <c r="F5" s="71" t="s">
        <v>199</v>
      </c>
      <c r="G5" s="7" t="s">
        <v>200</v>
      </c>
      <c r="H5" s="76" t="s">
        <v>201</v>
      </c>
      <c r="I5" s="73"/>
      <c r="J5" s="73"/>
      <c r="K5" s="73"/>
    </row>
    <row r="6" spans="1:11" x14ac:dyDescent="0.3">
      <c r="A6" s="66" t="s">
        <v>202</v>
      </c>
      <c r="B6" s="77"/>
      <c r="C6" s="78"/>
      <c r="D6" s="69">
        <v>5</v>
      </c>
      <c r="E6" s="70" t="s">
        <v>203</v>
      </c>
      <c r="F6" s="71"/>
      <c r="G6" s="7" t="s">
        <v>204</v>
      </c>
      <c r="H6" s="79"/>
      <c r="I6" s="73"/>
      <c r="J6" s="73"/>
      <c r="K6" s="73"/>
    </row>
    <row r="7" spans="1:11" x14ac:dyDescent="0.3">
      <c r="A7" s="66" t="s">
        <v>205</v>
      </c>
      <c r="B7" s="77"/>
      <c r="C7" s="78"/>
      <c r="D7" s="69">
        <v>12</v>
      </c>
      <c r="E7" s="70" t="s">
        <v>206</v>
      </c>
      <c r="F7" s="71"/>
      <c r="G7" s="7" t="s">
        <v>207</v>
      </c>
      <c r="H7" s="79"/>
      <c r="I7" s="73"/>
      <c r="J7" s="73"/>
      <c r="K7" s="73"/>
    </row>
    <row r="8" spans="1:11" x14ac:dyDescent="0.3">
      <c r="A8" s="66" t="s">
        <v>208</v>
      </c>
      <c r="B8" s="77"/>
      <c r="C8" s="78"/>
      <c r="D8" s="69">
        <v>18</v>
      </c>
      <c r="E8" s="70" t="s">
        <v>209</v>
      </c>
      <c r="F8" s="71"/>
      <c r="G8" s="7" t="s">
        <v>210</v>
      </c>
      <c r="H8" s="79"/>
      <c r="I8" s="73"/>
      <c r="J8" s="73"/>
      <c r="K8" s="73"/>
    </row>
    <row r="9" spans="1:11" x14ac:dyDescent="0.3">
      <c r="A9" s="66" t="s">
        <v>211</v>
      </c>
      <c r="B9" s="7"/>
      <c r="C9" s="7"/>
      <c r="D9" s="69">
        <v>28</v>
      </c>
      <c r="E9" s="70" t="s">
        <v>212</v>
      </c>
      <c r="F9" s="71"/>
      <c r="G9" s="7"/>
      <c r="H9" s="76" t="s">
        <v>196</v>
      </c>
      <c r="I9" s="73"/>
      <c r="J9" s="73"/>
      <c r="K9" s="73"/>
    </row>
    <row r="10" spans="1:11" x14ac:dyDescent="0.3">
      <c r="A10" s="66" t="s">
        <v>213</v>
      </c>
      <c r="B10" s="7"/>
      <c r="C10" s="7"/>
      <c r="D10" s="80"/>
      <c r="E10" s="70" t="s">
        <v>214</v>
      </c>
      <c r="F10" s="71"/>
      <c r="G10" s="7"/>
      <c r="H10" s="76" t="s">
        <v>201</v>
      </c>
      <c r="I10" s="73"/>
      <c r="J10" s="73"/>
      <c r="K10" s="73"/>
    </row>
    <row r="11" spans="1:11" x14ac:dyDescent="0.3">
      <c r="A11" s="66" t="s">
        <v>215</v>
      </c>
      <c r="B11" s="7"/>
      <c r="C11" s="7"/>
      <c r="D11" s="80"/>
      <c r="E11" s="70" t="s">
        <v>216</v>
      </c>
      <c r="F11" s="71"/>
      <c r="G11" s="7"/>
      <c r="H11" s="79"/>
      <c r="I11" s="73"/>
      <c r="J11" s="73"/>
      <c r="K11" s="73"/>
    </row>
    <row r="12" spans="1:11" x14ac:dyDescent="0.3">
      <c r="A12" s="66" t="s">
        <v>217</v>
      </c>
      <c r="B12" s="7"/>
      <c r="C12" s="7"/>
      <c r="D12" s="80"/>
      <c r="E12" s="70" t="s">
        <v>218</v>
      </c>
      <c r="F12" s="71"/>
      <c r="G12" s="7"/>
      <c r="H12" s="7" t="s">
        <v>177</v>
      </c>
      <c r="I12" s="73"/>
      <c r="J12" s="73"/>
      <c r="K12" s="73"/>
    </row>
    <row r="13" spans="1:11" ht="27.6" x14ac:dyDescent="0.3">
      <c r="A13" s="66" t="s">
        <v>219</v>
      </c>
      <c r="B13" s="7"/>
      <c r="C13" s="7"/>
      <c r="D13" s="80"/>
      <c r="E13" s="70" t="s">
        <v>220</v>
      </c>
      <c r="F13" s="71"/>
      <c r="G13" s="7"/>
      <c r="H13" s="7" t="s">
        <v>187</v>
      </c>
      <c r="I13" s="73"/>
      <c r="J13" s="73"/>
      <c r="K13" s="73"/>
    </row>
    <row r="14" spans="1:11" x14ac:dyDescent="0.3">
      <c r="A14" s="66" t="s">
        <v>221</v>
      </c>
      <c r="B14" s="7"/>
      <c r="C14" s="7"/>
      <c r="D14" s="80"/>
      <c r="E14" s="70" t="s">
        <v>222</v>
      </c>
      <c r="F14" s="71"/>
      <c r="G14" s="7"/>
      <c r="H14" s="76" t="s">
        <v>201</v>
      </c>
      <c r="I14" s="73"/>
      <c r="J14" s="73"/>
      <c r="K14" s="73"/>
    </row>
    <row r="15" spans="1:11" x14ac:dyDescent="0.3">
      <c r="A15" s="66" t="s">
        <v>223</v>
      </c>
      <c r="B15" s="7"/>
      <c r="C15" s="7"/>
      <c r="D15" s="80"/>
      <c r="E15" s="70" t="s">
        <v>224</v>
      </c>
      <c r="F15" s="71"/>
      <c r="G15" s="7"/>
      <c r="H15" s="79"/>
      <c r="I15" s="73"/>
      <c r="J15" s="73"/>
      <c r="K15" s="73"/>
    </row>
    <row r="16" spans="1:11" x14ac:dyDescent="0.3">
      <c r="A16" s="66" t="s">
        <v>225</v>
      </c>
      <c r="B16" s="7"/>
      <c r="C16" s="7"/>
      <c r="D16" s="80"/>
      <c r="E16" s="70" t="s">
        <v>226</v>
      </c>
      <c r="F16" s="71"/>
      <c r="G16" s="7"/>
      <c r="H16" s="79"/>
      <c r="I16" s="73"/>
      <c r="J16" s="73"/>
      <c r="K16" s="73"/>
    </row>
    <row r="17" spans="1:11" x14ac:dyDescent="0.3">
      <c r="A17" s="66" t="s">
        <v>227</v>
      </c>
      <c r="B17" s="7"/>
      <c r="C17" s="7"/>
      <c r="D17" s="80"/>
      <c r="E17" s="70" t="s">
        <v>228</v>
      </c>
      <c r="F17" s="71"/>
      <c r="G17" s="7"/>
      <c r="H17" s="79"/>
      <c r="I17" s="73"/>
      <c r="J17" s="73"/>
      <c r="K17" s="73"/>
    </row>
    <row r="18" spans="1:11" x14ac:dyDescent="0.3">
      <c r="A18" s="66" t="s">
        <v>229</v>
      </c>
      <c r="B18" s="7"/>
      <c r="C18" s="7"/>
      <c r="D18" s="80"/>
      <c r="E18" s="70" t="s">
        <v>230</v>
      </c>
      <c r="F18" s="71"/>
      <c r="G18" s="7"/>
      <c r="H18" s="79"/>
      <c r="I18" s="73"/>
      <c r="J18" s="73"/>
      <c r="K18" s="73"/>
    </row>
    <row r="19" spans="1:11" x14ac:dyDescent="0.3">
      <c r="A19" s="66" t="s">
        <v>231</v>
      </c>
      <c r="B19" s="7"/>
      <c r="C19" s="7"/>
      <c r="D19" s="80"/>
      <c r="E19" s="70" t="s">
        <v>232</v>
      </c>
      <c r="F19" s="71"/>
      <c r="G19" s="7"/>
      <c r="H19" s="79"/>
      <c r="I19" s="73"/>
      <c r="J19" s="73"/>
      <c r="K19" s="73"/>
    </row>
    <row r="20" spans="1:11" x14ac:dyDescent="0.3">
      <c r="A20" s="66" t="s">
        <v>233</v>
      </c>
      <c r="B20" s="7"/>
      <c r="C20" s="7"/>
      <c r="D20" s="80"/>
      <c r="E20" s="70" t="s">
        <v>234</v>
      </c>
      <c r="F20" s="71"/>
      <c r="G20" s="7"/>
      <c r="H20" s="79"/>
      <c r="I20" s="73"/>
      <c r="J20" s="73"/>
      <c r="K20" s="73"/>
    </row>
    <row r="21" spans="1:11" x14ac:dyDescent="0.3">
      <c r="A21" s="66" t="s">
        <v>235</v>
      </c>
      <c r="B21" s="7"/>
      <c r="C21" s="7"/>
      <c r="D21" s="80"/>
      <c r="E21" s="70" t="s">
        <v>236</v>
      </c>
      <c r="F21" s="71"/>
      <c r="G21" s="7"/>
      <c r="H21" s="79"/>
      <c r="I21" s="73"/>
      <c r="J21" s="73"/>
      <c r="K21" s="73"/>
    </row>
    <row r="22" spans="1:11" x14ac:dyDescent="0.3">
      <c r="A22" s="66" t="s">
        <v>237</v>
      </c>
      <c r="B22" s="7"/>
      <c r="C22" s="7"/>
      <c r="D22" s="80"/>
      <c r="E22" s="70" t="s">
        <v>238</v>
      </c>
      <c r="F22" s="71"/>
      <c r="G22" s="7"/>
      <c r="H22" s="79"/>
      <c r="I22" s="73"/>
      <c r="J22" s="73"/>
      <c r="K22" s="73"/>
    </row>
    <row r="23" spans="1:11" x14ac:dyDescent="0.3">
      <c r="A23" s="66" t="s">
        <v>239</v>
      </c>
      <c r="B23" s="7"/>
      <c r="C23" s="7"/>
      <c r="D23" s="80"/>
      <c r="E23" s="70" t="s">
        <v>240</v>
      </c>
      <c r="F23" s="71"/>
      <c r="G23" s="7"/>
      <c r="H23" s="79"/>
      <c r="I23" s="73"/>
      <c r="J23" s="73"/>
      <c r="K23" s="73"/>
    </row>
    <row r="24" spans="1:11" ht="27.6" x14ac:dyDescent="0.3">
      <c r="A24" s="66" t="s">
        <v>241</v>
      </c>
      <c r="B24" s="7"/>
      <c r="C24" s="7"/>
      <c r="D24" s="80"/>
      <c r="E24" s="70" t="s">
        <v>73</v>
      </c>
      <c r="F24" s="71"/>
      <c r="G24" s="7"/>
      <c r="H24" s="79"/>
      <c r="I24" s="73"/>
      <c r="J24" s="73"/>
      <c r="K24" s="73"/>
    </row>
    <row r="25" spans="1:11" x14ac:dyDescent="0.3">
      <c r="A25" s="66" t="s">
        <v>242</v>
      </c>
      <c r="B25" s="7"/>
      <c r="C25" s="7"/>
      <c r="D25" s="80"/>
      <c r="E25" s="70" t="s">
        <v>243</v>
      </c>
      <c r="F25" s="71"/>
      <c r="G25" s="7"/>
      <c r="H25" s="79"/>
      <c r="I25" s="73"/>
      <c r="J25" s="73"/>
      <c r="K25" s="73"/>
    </row>
    <row r="26" spans="1:11" x14ac:dyDescent="0.3">
      <c r="A26" s="66" t="s">
        <v>244</v>
      </c>
      <c r="B26" s="7"/>
      <c r="C26" s="7"/>
      <c r="D26" s="80"/>
      <c r="E26" s="70" t="s">
        <v>245</v>
      </c>
      <c r="F26" s="71"/>
      <c r="G26" s="7"/>
      <c r="H26" s="79"/>
      <c r="I26" s="73"/>
      <c r="J26" s="73"/>
      <c r="K26" s="73"/>
    </row>
    <row r="27" spans="1:11" ht="27.6" x14ac:dyDescent="0.3">
      <c r="A27" s="66" t="s">
        <v>246</v>
      </c>
      <c r="B27" s="7"/>
      <c r="C27" s="7"/>
      <c r="D27" s="80"/>
      <c r="E27" s="70" t="s">
        <v>247</v>
      </c>
      <c r="F27" s="71"/>
      <c r="G27" s="7"/>
      <c r="H27" s="79"/>
      <c r="I27" s="73"/>
      <c r="J27" s="73"/>
      <c r="K27" s="73"/>
    </row>
    <row r="28" spans="1:11" x14ac:dyDescent="0.3">
      <c r="A28" s="66" t="s">
        <v>248</v>
      </c>
      <c r="B28" s="7"/>
      <c r="C28" s="7"/>
      <c r="D28" s="80"/>
      <c r="E28" s="70" t="s">
        <v>249</v>
      </c>
      <c r="F28" s="71"/>
      <c r="G28" s="7"/>
      <c r="H28" s="79"/>
      <c r="I28" s="73"/>
      <c r="J28" s="73"/>
      <c r="K28" s="73"/>
    </row>
    <row r="29" spans="1:11" x14ac:dyDescent="0.3">
      <c r="A29" s="66" t="s">
        <v>250</v>
      </c>
      <c r="B29" s="7"/>
      <c r="C29" s="7"/>
      <c r="D29" s="80"/>
      <c r="E29" s="70" t="s">
        <v>251</v>
      </c>
      <c r="F29" s="71"/>
      <c r="G29" s="7"/>
      <c r="H29" s="79"/>
      <c r="I29" s="73"/>
      <c r="J29" s="73"/>
      <c r="K29" s="73"/>
    </row>
    <row r="30" spans="1:11" x14ac:dyDescent="0.3">
      <c r="A30" s="66" t="s">
        <v>252</v>
      </c>
      <c r="B30" s="7"/>
      <c r="C30" s="7"/>
      <c r="D30" s="80"/>
      <c r="E30" s="70" t="s">
        <v>253</v>
      </c>
      <c r="F30" s="71"/>
      <c r="G30" s="7"/>
      <c r="H30" s="79"/>
      <c r="I30" s="73"/>
      <c r="J30" s="73"/>
      <c r="K30" s="73"/>
    </row>
    <row r="31" spans="1:11" x14ac:dyDescent="0.3">
      <c r="A31" s="66" t="s">
        <v>254</v>
      </c>
      <c r="B31" s="7"/>
      <c r="C31" s="7"/>
      <c r="D31" s="80"/>
      <c r="E31" s="70" t="s">
        <v>255</v>
      </c>
      <c r="F31" s="71"/>
      <c r="G31" s="7"/>
      <c r="H31" s="79"/>
      <c r="I31" s="73"/>
      <c r="J31" s="73"/>
      <c r="K31" s="73"/>
    </row>
    <row r="32" spans="1:11" x14ac:dyDescent="0.3">
      <c r="A32" s="66" t="s">
        <v>256</v>
      </c>
      <c r="B32" s="7"/>
      <c r="C32" s="7"/>
      <c r="D32" s="80"/>
      <c r="E32" s="70" t="s">
        <v>257</v>
      </c>
      <c r="F32" s="71"/>
      <c r="G32" s="7"/>
      <c r="H32" s="79"/>
      <c r="I32" s="73"/>
      <c r="J32" s="73"/>
      <c r="K32" s="73"/>
    </row>
    <row r="33" spans="1:11" x14ac:dyDescent="0.3">
      <c r="A33" s="66" t="s">
        <v>258</v>
      </c>
      <c r="B33" s="7"/>
      <c r="C33" s="7"/>
      <c r="D33" s="80"/>
      <c r="E33" s="70" t="s">
        <v>259</v>
      </c>
      <c r="F33" s="71"/>
      <c r="G33" s="7"/>
      <c r="H33" s="79"/>
      <c r="I33" s="73"/>
      <c r="J33" s="73"/>
      <c r="K33" s="73"/>
    </row>
    <row r="34" spans="1:11" x14ac:dyDescent="0.3">
      <c r="A34" s="66" t="s">
        <v>260</v>
      </c>
      <c r="B34" s="7"/>
      <c r="C34" s="7"/>
      <c r="D34" s="80"/>
      <c r="E34" s="70" t="s">
        <v>261</v>
      </c>
      <c r="F34" s="71"/>
      <c r="G34" s="7"/>
      <c r="H34" s="79"/>
      <c r="I34" s="73"/>
      <c r="J34" s="73"/>
      <c r="K34" s="73"/>
    </row>
    <row r="35" spans="1:11" ht="27.6" x14ac:dyDescent="0.3">
      <c r="A35" s="66" t="s">
        <v>262</v>
      </c>
      <c r="B35" s="7"/>
      <c r="C35" s="7"/>
      <c r="D35" s="80"/>
      <c r="E35" s="70" t="s">
        <v>263</v>
      </c>
      <c r="F35" s="71"/>
      <c r="G35" s="7"/>
      <c r="H35" s="79"/>
      <c r="I35" s="73"/>
      <c r="J35" s="73"/>
      <c r="K35" s="73"/>
    </row>
    <row r="36" spans="1:11" x14ac:dyDescent="0.3">
      <c r="A36" s="66" t="s">
        <v>264</v>
      </c>
      <c r="B36" s="7"/>
      <c r="C36" s="7"/>
      <c r="D36" s="80"/>
      <c r="E36" s="70" t="s">
        <v>265</v>
      </c>
      <c r="F36" s="70"/>
      <c r="G36" s="7"/>
      <c r="H36" s="79"/>
      <c r="I36" s="73"/>
      <c r="J36" s="73"/>
      <c r="K36" s="73"/>
    </row>
    <row r="37" spans="1:11" ht="27.6" x14ac:dyDescent="0.3">
      <c r="A37" s="66" t="s">
        <v>266</v>
      </c>
      <c r="B37" s="7"/>
      <c r="C37" s="7"/>
      <c r="D37" s="80"/>
      <c r="E37" s="70" t="s">
        <v>267</v>
      </c>
      <c r="F37" s="71"/>
      <c r="G37" s="7"/>
      <c r="H37" s="79"/>
      <c r="I37" s="73"/>
      <c r="J37" s="73"/>
      <c r="K37" s="73"/>
    </row>
    <row r="38" spans="1:11" x14ac:dyDescent="0.3">
      <c r="A38" s="66" t="s">
        <v>268</v>
      </c>
      <c r="B38" s="7"/>
      <c r="C38" s="7"/>
      <c r="D38" s="80"/>
      <c r="E38" s="7" t="s">
        <v>269</v>
      </c>
      <c r="F38" s="71"/>
      <c r="G38" s="7"/>
      <c r="H38" s="79"/>
      <c r="I38" s="73"/>
      <c r="J38" s="73"/>
      <c r="K38" s="73"/>
    </row>
    <row r="39" spans="1:11" x14ac:dyDescent="0.3">
      <c r="A39" s="66" t="s">
        <v>270</v>
      </c>
      <c r="B39" s="7"/>
      <c r="C39" s="7"/>
      <c r="D39" s="80"/>
      <c r="E39" s="7"/>
      <c r="F39" s="71"/>
      <c r="G39" s="7"/>
      <c r="H39" s="79"/>
      <c r="I39" s="73"/>
      <c r="J39" s="73"/>
      <c r="K39" s="73"/>
    </row>
    <row r="40" spans="1:11" x14ac:dyDescent="0.3">
      <c r="A40" s="66" t="s">
        <v>271</v>
      </c>
      <c r="B40" s="7"/>
      <c r="C40" s="7"/>
      <c r="D40" s="80"/>
      <c r="E40" s="7"/>
      <c r="F40" s="71"/>
      <c r="G40" s="7"/>
      <c r="H40" s="79"/>
      <c r="I40" s="73"/>
      <c r="J40" s="73"/>
      <c r="K40" s="73"/>
    </row>
    <row r="41" spans="1:11" x14ac:dyDescent="0.3">
      <c r="A41" s="66" t="s">
        <v>272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</row>
    <row r="42" spans="1:11" x14ac:dyDescent="0.3">
      <c r="A42" s="66" t="s">
        <v>273</v>
      </c>
      <c r="B42" s="73"/>
      <c r="C42" s="73"/>
      <c r="D42" s="73"/>
      <c r="E42" s="73"/>
      <c r="F42" s="73"/>
      <c r="G42" s="73"/>
      <c r="H42" s="73"/>
      <c r="I42" s="73"/>
      <c r="J42" s="73"/>
      <c r="K42" s="73"/>
    </row>
    <row r="43" spans="1:11" x14ac:dyDescent="0.3">
      <c r="A43" s="66" t="s">
        <v>274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</row>
    <row r="44" spans="1:11" x14ac:dyDescent="0.3">
      <c r="A44" s="66" t="s">
        <v>275</v>
      </c>
      <c r="B44" s="73"/>
      <c r="C44" s="73"/>
      <c r="D44" s="73"/>
      <c r="E44" s="73"/>
      <c r="F44" s="73"/>
      <c r="G44" s="73"/>
      <c r="H44" s="73"/>
      <c r="I44" s="73"/>
      <c r="J44" s="73"/>
      <c r="K44" s="73"/>
    </row>
    <row r="45" spans="1:11" x14ac:dyDescent="0.3">
      <c r="A45" s="66" t="s">
        <v>276</v>
      </c>
      <c r="B45" s="73"/>
      <c r="C45" s="73"/>
      <c r="D45" s="73"/>
      <c r="E45" s="73"/>
      <c r="F45" s="73"/>
      <c r="G45" s="73"/>
      <c r="H45" s="73"/>
      <c r="I45" s="73"/>
      <c r="J45" s="73"/>
      <c r="K45" s="73"/>
    </row>
    <row r="46" spans="1:11" x14ac:dyDescent="0.3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4"/>
  <sheetViews>
    <sheetView workbookViewId="0">
      <selection activeCell="E16" sqref="E16:J17"/>
    </sheetView>
  </sheetViews>
  <sheetFormatPr defaultRowHeight="14.4" x14ac:dyDescent="0.3"/>
  <cols>
    <col min="2" max="2" width="32" bestFit="1" customWidth="1"/>
    <col min="3" max="3" width="16.33203125" bestFit="1" customWidth="1"/>
    <col min="4" max="4" width="12.6640625" bestFit="1" customWidth="1"/>
    <col min="5" max="6" width="13.109375" bestFit="1" customWidth="1"/>
    <col min="7" max="7" width="11.44140625" bestFit="1" customWidth="1"/>
    <col min="8" max="8" width="12" customWidth="1"/>
    <col min="9" max="9" width="12.109375" customWidth="1"/>
    <col min="10" max="10" width="11.88671875" bestFit="1" customWidth="1"/>
  </cols>
  <sheetData>
    <row r="3" spans="1:10" x14ac:dyDescent="0.3">
      <c r="A3" s="188"/>
      <c r="B3" s="188" t="s">
        <v>622</v>
      </c>
      <c r="C3" s="188"/>
      <c r="D3" s="189">
        <f>SUM(D5:D500)</f>
        <v>0</v>
      </c>
      <c r="E3" s="189">
        <f t="shared" ref="E3:J3" ca="1" si="0">SUM(E5:E500)</f>
        <v>10598928.005400002</v>
      </c>
      <c r="F3" s="189">
        <f t="shared" ca="1" si="0"/>
        <v>8472772.1300000008</v>
      </c>
      <c r="G3" s="189">
        <f t="shared" ca="1" si="0"/>
        <v>108816.35559999998</v>
      </c>
      <c r="H3" s="189">
        <f t="shared" ca="1" si="0"/>
        <v>1028316.7598999999</v>
      </c>
      <c r="I3" s="189">
        <f t="shared" ca="1" si="0"/>
        <v>1028316.7598999999</v>
      </c>
      <c r="J3" s="189">
        <f t="shared" ca="1" si="0"/>
        <v>0</v>
      </c>
    </row>
    <row r="4" spans="1:10" x14ac:dyDescent="0.3">
      <c r="A4" s="190" t="s">
        <v>74</v>
      </c>
      <c r="B4" s="190" t="s">
        <v>75</v>
      </c>
      <c r="C4" s="190" t="s">
        <v>109</v>
      </c>
      <c r="D4" s="190" t="s">
        <v>110</v>
      </c>
      <c r="E4" s="191" t="s">
        <v>111</v>
      </c>
      <c r="F4" s="191" t="s">
        <v>1</v>
      </c>
      <c r="G4" s="191" t="s">
        <v>88</v>
      </c>
      <c r="H4" s="191" t="s">
        <v>89</v>
      </c>
      <c r="I4" s="191" t="s">
        <v>90</v>
      </c>
      <c r="J4" s="191" t="s">
        <v>2</v>
      </c>
    </row>
    <row r="5" spans="1:10" x14ac:dyDescent="0.3">
      <c r="A5" s="8">
        <v>998898</v>
      </c>
      <c r="B5" s="27" t="s">
        <v>81</v>
      </c>
      <c r="C5" s="182" t="s">
        <v>246</v>
      </c>
      <c r="D5" s="8" t="s">
        <v>82</v>
      </c>
      <c r="E5" s="309">
        <f ca="1">SUMIF(SALE!$S$7:$S$544,$A$5:$A$16,SALE!$E$7:$E$494)</f>
        <v>567936.1948000004</v>
      </c>
      <c r="F5" s="309">
        <f ca="1">SUMIF(SALE!$S$7:$S$544,$A5:$A$16,SALE!$K$7:$K$494)</f>
        <v>481301.85999999987</v>
      </c>
      <c r="G5" s="309">
        <f ca="1">SUMIF(SALE!$S$7:$S$544,$A5:$A$16,SALE!$M$7:$M$494)</f>
        <v>4555.3176000000003</v>
      </c>
      <c r="H5" s="309">
        <f ca="1">SUMIF(SALE!$S$7:$S$544,$A5:$A$16,SALE!$N$7:$N$494)</f>
        <v>41039.508600000008</v>
      </c>
      <c r="I5" s="309">
        <f ca="1">SUMIF(SALE!$S$7:$S$544,$A5:$A$16,SALE!$O$7:$O$494)</f>
        <v>41039.508600000008</v>
      </c>
      <c r="J5" s="309">
        <f ca="1">SUMIF(SALE!$S$7:$S$544,$A5:$A$16,SALE!$L$7:$L$494)</f>
        <v>0</v>
      </c>
    </row>
    <row r="6" spans="1:10" x14ac:dyDescent="0.3">
      <c r="A6" s="8">
        <v>87081090</v>
      </c>
      <c r="B6" s="27" t="s">
        <v>81</v>
      </c>
      <c r="C6" s="183" t="s">
        <v>246</v>
      </c>
      <c r="D6" s="8" t="s">
        <v>83</v>
      </c>
      <c r="E6" s="310">
        <f ca="1">SUMIF(SALE!$S$7:$S$544,$A$5:$A$16,SALE!$E$7:$E$494)</f>
        <v>3944296.7936000018</v>
      </c>
      <c r="F6" s="310">
        <f ca="1">SUMIF(SALE!$S$7:$S$544,$A6:$A$16,SALE!$K$7:$K$494)</f>
        <v>3081481.870000001</v>
      </c>
      <c r="G6" s="310">
        <f ca="1">SUMIF(SALE!$S$7:$S$544,$A6:$A$16,SALE!$M$7:$M$494)</f>
        <v>104261.03799999999</v>
      </c>
      <c r="H6" s="310">
        <f ca="1">SUMIF(SALE!$S$7:$S$544,$A6:$A$16,SALE!$N$7:$N$494)</f>
        <v>379276.94279999984</v>
      </c>
      <c r="I6" s="310">
        <f ca="1">SUMIF(SALE!$S$7:$S$544,$A6:$A$16,SALE!$O$7:$O$494)</f>
        <v>379276.94279999984</v>
      </c>
      <c r="J6" s="310">
        <f ca="1">SUMIF(SALE!$S$7:$S$544,$A6:$A$16,SALE!$L$7:$L$494)</f>
        <v>0</v>
      </c>
    </row>
    <row r="7" spans="1:10" x14ac:dyDescent="0.3">
      <c r="A7" s="8">
        <v>87089900</v>
      </c>
      <c r="B7" s="27" t="s">
        <v>81</v>
      </c>
      <c r="C7" s="183" t="s">
        <v>246</v>
      </c>
      <c r="D7" s="8" t="s">
        <v>83</v>
      </c>
      <c r="E7" s="310">
        <f ca="1">SUMIF(SALE!$S$7:$S$544,$A$5:$A$16,SALE!$E$7:$E$494)</f>
        <v>967413.14559999993</v>
      </c>
      <c r="F7" s="310">
        <f ca="1">SUMIF(SALE!$S$7:$S$544,$A7:$A$16,SALE!$K$7:$K$494)</f>
        <v>755791.5199999999</v>
      </c>
      <c r="G7" s="310">
        <f ca="1">SUMIF(SALE!$S$7:$S$544,$A7:$A$16,SALE!$M$7:$M$494)</f>
        <v>0</v>
      </c>
      <c r="H7" s="310">
        <f ca="1">SUMIF(SALE!$S$7:$S$544,$A7:$A$16,SALE!$N$7:$N$494)</f>
        <v>105810.8128</v>
      </c>
      <c r="I7" s="310">
        <f ca="1">SUMIF(SALE!$S$7:$S$544,$A7:$A$16,SALE!$O$7:$O$494)</f>
        <v>105810.8128</v>
      </c>
      <c r="J7" s="310">
        <f ca="1">SUMIF(SALE!$S$7:$S$544,$A7:$A$16,SALE!$L$7:$L$494)</f>
        <v>0</v>
      </c>
    </row>
    <row r="8" spans="1:10" x14ac:dyDescent="0.3">
      <c r="A8" s="8">
        <v>85129000</v>
      </c>
      <c r="B8" s="27" t="s">
        <v>81</v>
      </c>
      <c r="C8" s="183" t="s">
        <v>246</v>
      </c>
      <c r="D8" s="8" t="s">
        <v>83</v>
      </c>
      <c r="E8" s="310">
        <f ca="1">SUMIF(SALE!$S$7:$S$544,$A$5:$A$16,SALE!$E$7:$E$494)</f>
        <v>1834500.3930000004</v>
      </c>
      <c r="F8" s="310">
        <f ca="1">SUMIF(SALE!$S$7:$S$544,$A8:$A$16,SALE!$K$7:$K$494)</f>
        <v>1554661.3499999994</v>
      </c>
      <c r="G8" s="310">
        <f ca="1">SUMIF(SALE!$S$7:$S$544,$A8:$A$16,SALE!$M$7:$M$494)</f>
        <v>0</v>
      </c>
      <c r="H8" s="310">
        <f ca="1">SUMIF(SALE!$S$7:$S$544,$A8:$A$16,SALE!$N$7:$N$494)</f>
        <v>139919.52149999997</v>
      </c>
      <c r="I8" s="310">
        <f ca="1">SUMIF(SALE!$S$7:$S$544,$A8:$A$16,SALE!$O$7:$O$494)</f>
        <v>139919.52149999997</v>
      </c>
      <c r="J8" s="310">
        <f ca="1">SUMIF(SALE!$S$7:$S$544,$A8:$A$16,SALE!$L$7:$L$494)</f>
        <v>0</v>
      </c>
    </row>
    <row r="9" spans="1:10" x14ac:dyDescent="0.3">
      <c r="A9" s="8">
        <v>998873</v>
      </c>
      <c r="B9" s="27" t="s">
        <v>81</v>
      </c>
      <c r="C9" s="183" t="s">
        <v>246</v>
      </c>
      <c r="D9" s="8" t="s">
        <v>82</v>
      </c>
      <c r="E9" s="310">
        <f ca="1">SUMIF(SALE!$S$7:$S$544,$A$5:$A$16,SALE!$E$7:$E$494)</f>
        <v>0</v>
      </c>
      <c r="F9" s="310">
        <f ca="1">SUMIF(SALE!$S$7:$S$544,$A9:$A$16,SALE!$K$7:$K$494)</f>
        <v>0</v>
      </c>
      <c r="G9" s="310">
        <f ca="1">SUMIF(SALE!$S$7:$S$544,$A9:$A$16,SALE!$M$7:$M$494)</f>
        <v>0</v>
      </c>
      <c r="H9" s="310">
        <f ca="1">SUMIF(SALE!$S$7:$S$544,$A9:$A$16,SALE!$N$7:$N$494)</f>
        <v>0</v>
      </c>
      <c r="I9" s="310">
        <f ca="1">SUMIF(SALE!$S$7:$S$544,$A9:$A$16,SALE!$O$7:$O$494)</f>
        <v>0</v>
      </c>
      <c r="J9" s="310">
        <f ca="1">SUMIF(SALE!$S$7:$S$544,$A9:$A$16,SALE!$L$7:$L$494)</f>
        <v>0</v>
      </c>
    </row>
    <row r="10" spans="1:10" x14ac:dyDescent="0.3">
      <c r="A10" s="8">
        <v>38140010</v>
      </c>
      <c r="B10" s="27" t="s">
        <v>84</v>
      </c>
      <c r="C10" s="183" t="s">
        <v>237</v>
      </c>
      <c r="D10" s="8" t="s">
        <v>83</v>
      </c>
      <c r="E10" s="310">
        <f ca="1">SUMIF(SALE!$S$7:$S$544,$A$5:$A$16,SALE!$E$7:$E$494)</f>
        <v>0</v>
      </c>
      <c r="F10" s="310">
        <f ca="1">SUMIF(SALE!$S$7:$S$544,$A10:$A$16,SALE!$K$7:$K$494)</f>
        <v>0</v>
      </c>
      <c r="G10" s="310">
        <f ca="1">SUMIF(SALE!$S$7:$S$544,$A10:$A$16,SALE!$M$7:$M$494)</f>
        <v>0</v>
      </c>
      <c r="H10" s="310">
        <f ca="1">SUMIF(SALE!$S$7:$S$544,$A10:$A$16,SALE!$N$7:$N$494)</f>
        <v>0</v>
      </c>
      <c r="I10" s="310">
        <f ca="1">SUMIF(SALE!$S$7:$S$544,$A10:$A$16,SALE!$O$7:$O$494)</f>
        <v>0</v>
      </c>
      <c r="J10" s="310">
        <f ca="1">SUMIF(SALE!$S$7:$S$544,$A10:$A$16,SALE!$L$7:$L$494)</f>
        <v>0</v>
      </c>
    </row>
    <row r="11" spans="1:10" x14ac:dyDescent="0.3">
      <c r="A11" s="8">
        <v>87141090</v>
      </c>
      <c r="B11" s="27" t="s">
        <v>81</v>
      </c>
      <c r="C11" s="183" t="s">
        <v>246</v>
      </c>
      <c r="D11" s="8" t="s">
        <v>83</v>
      </c>
      <c r="E11" s="310">
        <f ca="1">SUMIF(SALE!$S$7:$S$544,$A$5:$A$16,SALE!$E$7:$E$494)</f>
        <v>1768745.7920000011</v>
      </c>
      <c r="F11" s="310">
        <f ca="1">SUMIF(SALE!$S$7:$S$544,$A11:$A$16,SALE!$K$7:$K$494)</f>
        <v>1381832.6500000001</v>
      </c>
      <c r="G11" s="310">
        <f ca="1">SUMIF(SALE!$S$7:$S$544,$A11:$A$16,SALE!$M$7:$M$494)</f>
        <v>0</v>
      </c>
      <c r="H11" s="310">
        <f ca="1">SUMIF(SALE!$S$7:$S$544,$A11:$A$16,SALE!$N$7:$N$494)</f>
        <v>193456.571</v>
      </c>
      <c r="I11" s="310">
        <f ca="1">SUMIF(SALE!$S$7:$S$544,$A11:$A$16,SALE!$O$7:$O$494)</f>
        <v>193456.571</v>
      </c>
      <c r="J11" s="310">
        <f ca="1">SUMIF(SALE!$S$7:$S$544,$A11:$A$16,SALE!$L$7:$L$494)</f>
        <v>0</v>
      </c>
    </row>
    <row r="12" spans="1:10" x14ac:dyDescent="0.3">
      <c r="A12" s="8">
        <v>38249990</v>
      </c>
      <c r="B12" s="27" t="s">
        <v>85</v>
      </c>
      <c r="C12" s="183" t="s">
        <v>237</v>
      </c>
      <c r="D12" s="8" t="s">
        <v>83</v>
      </c>
      <c r="E12" s="310">
        <f ca="1">SUMIF(SALE!$S$7:$S$544,$A$5:$A$16,SALE!$E$7:$E$494)</f>
        <v>0</v>
      </c>
      <c r="F12" s="310">
        <f ca="1">SUMIF(SALE!$S$7:$S$544,$A12:$A$16,SALE!$K$7:$K$494)</f>
        <v>0</v>
      </c>
      <c r="G12" s="310">
        <f ca="1">SUMIF(SALE!$S$7:$S$544,$A12:$A$16,SALE!$M$7:$M$494)</f>
        <v>0</v>
      </c>
      <c r="H12" s="310">
        <f ca="1">SUMIF(SALE!$S$7:$S$544,$A12:$A$16,SALE!$N$7:$N$494)</f>
        <v>0</v>
      </c>
      <c r="I12" s="310">
        <f ca="1">SUMIF(SALE!$S$7:$S$544,$A12:$A$16,SALE!$O$7:$O$494)</f>
        <v>0</v>
      </c>
      <c r="J12" s="310">
        <f ca="1">SUMIF(SALE!$S$7:$S$544,$A12:$A$16,SALE!$L$7:$L$494)</f>
        <v>0</v>
      </c>
    </row>
    <row r="13" spans="1:10" x14ac:dyDescent="0.3">
      <c r="A13" s="8">
        <v>32082090</v>
      </c>
      <c r="B13" s="27" t="s">
        <v>86</v>
      </c>
      <c r="C13" s="183" t="s">
        <v>237</v>
      </c>
      <c r="D13" s="8" t="s">
        <v>83</v>
      </c>
      <c r="E13" s="310">
        <f ca="1">SUMIF(SALE!$S$7:$S$544,$A$5:$A$16,SALE!$E$7:$E$494)</f>
        <v>0</v>
      </c>
      <c r="F13" s="310">
        <f ca="1">SUMIF(SALE!$S$7:$S$544,$A13:$A$16,SALE!$K$7:$K$494)</f>
        <v>0</v>
      </c>
      <c r="G13" s="310">
        <f ca="1">SUMIF(SALE!$S$7:$S$544,$A13:$A$16,SALE!$M$7:$M$494)</f>
        <v>0</v>
      </c>
      <c r="H13" s="310">
        <f ca="1">SUMIF(SALE!$S$7:$S$544,$A13:$A$16,SALE!$N$7:$N$494)</f>
        <v>0</v>
      </c>
      <c r="I13" s="310">
        <f ca="1">SUMIF(SALE!$S$7:$S$544,$A13:$A$16,SALE!$O$7:$O$494)</f>
        <v>0</v>
      </c>
      <c r="J13" s="310">
        <f ca="1">SUMIF(SALE!$S$7:$S$544,$A13:$A$16,SALE!$L$7:$L$494)</f>
        <v>0</v>
      </c>
    </row>
    <row r="14" spans="1:10" x14ac:dyDescent="0.3">
      <c r="A14" s="8">
        <v>38140010</v>
      </c>
      <c r="B14" s="27" t="s">
        <v>84</v>
      </c>
      <c r="C14" s="183" t="s">
        <v>237</v>
      </c>
      <c r="D14" s="8" t="s">
        <v>83</v>
      </c>
      <c r="E14" s="310">
        <f ca="1">SUMIF(SALE!$S$7:$S$544,$A$5:$A$16,SALE!$E$7:$E$494)</f>
        <v>0</v>
      </c>
      <c r="F14" s="310">
        <f ca="1">SUMIF(SALE!$S$7:$S$544,$A14:$A$16,SALE!$K$7:$K$494)</f>
        <v>0</v>
      </c>
      <c r="G14" s="310">
        <f ca="1">SUMIF(SALE!$S$7:$S$544,$A14:$A$16,SALE!$M$7:$M$494)</f>
        <v>0</v>
      </c>
      <c r="H14" s="310">
        <f ca="1">SUMIF(SALE!$S$7:$S$544,$A14:$A$16,SALE!$N$7:$N$494)</f>
        <v>0</v>
      </c>
      <c r="I14" s="310">
        <f ca="1">SUMIF(SALE!$S$7:$S$544,$A14:$A$16,SALE!$O$7:$O$494)</f>
        <v>0</v>
      </c>
      <c r="J14" s="310">
        <f ca="1">SUMIF(SALE!$S$7:$S$544,$A14:$A$16,SALE!$L$7:$L$494)</f>
        <v>0</v>
      </c>
    </row>
    <row r="15" spans="1:10" x14ac:dyDescent="0.3">
      <c r="A15" s="132">
        <v>85119000</v>
      </c>
      <c r="B15" s="306" t="s">
        <v>81</v>
      </c>
      <c r="C15" s="183" t="s">
        <v>246</v>
      </c>
      <c r="D15" s="132" t="s">
        <v>83</v>
      </c>
      <c r="E15" s="310">
        <f ca="1">SUMIF(SALE!$S$7:$S$544,$A$5:$A$16,SALE!$E$7:$E$494)</f>
        <v>781867.41760000004</v>
      </c>
      <c r="F15" s="310">
        <f ca="1">SUMIF(SALE!$S$7:$S$544,$A15:$A$16,SALE!$K$7:$K$494)</f>
        <v>610833.92000000004</v>
      </c>
      <c r="G15" s="310">
        <f ca="1">SUMIF(SALE!$S$7:$S$544,$A15:$A$16,SALE!$M$7:$M$494)</f>
        <v>0</v>
      </c>
      <c r="H15" s="310">
        <f ca="1">SUMIF(SALE!$S$7:$S$544,$A15:$A$16,SALE!$N$7:$N$494)</f>
        <v>85516.748800000016</v>
      </c>
      <c r="I15" s="310">
        <f ca="1">SUMIF(SALE!$S$7:$S$544,$A15:$A$16,SALE!$O$7:$O$494)</f>
        <v>85516.748800000016</v>
      </c>
      <c r="J15" s="310">
        <f ca="1">SUMIF(SALE!$S$7:$S$544,$A15:$A$16,SALE!$L$7:$L$494)</f>
        <v>0</v>
      </c>
    </row>
    <row r="16" spans="1:10" x14ac:dyDescent="0.3">
      <c r="A16" s="132">
        <v>87142090</v>
      </c>
      <c r="B16" s="306" t="s">
        <v>81</v>
      </c>
      <c r="C16" s="183" t="s">
        <v>246</v>
      </c>
      <c r="D16" s="132" t="s">
        <v>83</v>
      </c>
      <c r="E16" s="310">
        <f ca="1">SUMIF(SALE!$S$7:$S$544,$A$5:$A$16,SALE!$E$7:$E$494)</f>
        <v>734168.26879999996</v>
      </c>
      <c r="F16" s="310">
        <f ca="1">SUMIF(SALE!$S$7:$S$544,$A16:$A$16,SALE!$K$7:$K$494)</f>
        <v>573568.96000000008</v>
      </c>
      <c r="G16" s="310">
        <f ca="1">SUMIF(SALE!$S$7:$S$544,$A16:$A$16,SALE!$M$7:$M$494)</f>
        <v>0</v>
      </c>
      <c r="H16" s="310">
        <f ca="1">SUMIF(SALE!$S$7:$S$544,$A16:$A$16,SALE!$N$7:$N$494)</f>
        <v>80299.654400000014</v>
      </c>
      <c r="I16" s="310">
        <f ca="1">SUMIF(SALE!$S$7:$S$544,$A16:$A$16,SALE!$O$7:$O$494)</f>
        <v>80299.654400000014</v>
      </c>
      <c r="J16" s="310">
        <f ca="1">SUMIF(SALE!$S$7:$S$544,$A16:$A$16,SALE!$L$7:$L$494)</f>
        <v>0</v>
      </c>
    </row>
    <row r="17" spans="1:10" x14ac:dyDescent="0.3">
      <c r="A17" s="8">
        <v>8421</v>
      </c>
      <c r="B17" s="411" t="s">
        <v>81</v>
      </c>
      <c r="C17" s="183" t="s">
        <v>246</v>
      </c>
      <c r="D17" s="8" t="s">
        <v>83</v>
      </c>
      <c r="E17" s="310">
        <f ca="1">SUMIF(SALE!$S$7:$S$544,$A$5:$A$16,SALE!$E$7:$E$494)</f>
        <v>0</v>
      </c>
      <c r="F17" s="310">
        <f ca="1">SUMIF(SALE!$S$7:$S$544,$A$16:$A17,SALE!$K$7:$K$494)</f>
        <v>33300</v>
      </c>
      <c r="G17" s="310">
        <f ca="1">SUMIF(SALE!$S$7:$S$544,$A$16:$A17,SALE!$M$7:$M$494)</f>
        <v>0</v>
      </c>
      <c r="H17" s="310">
        <f ca="1">SUMIF(SALE!$S$7:$S$544,$A$16:$A17,SALE!$N$7:$N$494)</f>
        <v>2997</v>
      </c>
      <c r="I17" s="310">
        <f ca="1">SUMIF(SALE!$S$7:$S$544,$A$16:$A17,SALE!$O$7:$O$494)</f>
        <v>2997</v>
      </c>
      <c r="J17" s="310">
        <f ca="1">SUMIF(SALE!$S$7:$S$544,$A$16:$A17,SALE!$L$7:$L$494)</f>
        <v>0</v>
      </c>
    </row>
    <row r="18" spans="1:10" x14ac:dyDescent="0.3">
      <c r="A18" s="132"/>
      <c r="B18" s="132"/>
      <c r="C18" s="132"/>
      <c r="D18" s="200"/>
      <c r="E18" s="200"/>
      <c r="F18" s="200"/>
      <c r="G18" s="200"/>
      <c r="H18" s="200"/>
      <c r="I18" s="200"/>
      <c r="J18" s="200"/>
    </row>
    <row r="19" spans="1:10" x14ac:dyDescent="0.3">
      <c r="A19" s="132"/>
      <c r="B19" s="132"/>
      <c r="C19" s="132"/>
      <c r="D19" s="200"/>
      <c r="E19" s="200"/>
      <c r="F19" s="200"/>
      <c r="G19" s="200"/>
      <c r="H19" s="200"/>
      <c r="I19" s="200"/>
      <c r="J19" s="200"/>
    </row>
    <row r="20" spans="1:10" x14ac:dyDescent="0.3">
      <c r="A20" s="132"/>
      <c r="B20" s="132"/>
      <c r="C20" s="132"/>
      <c r="D20" s="200"/>
      <c r="E20" s="200"/>
      <c r="F20" s="200"/>
      <c r="G20" s="200"/>
      <c r="H20" s="200"/>
      <c r="I20" s="200"/>
      <c r="J20" s="200"/>
    </row>
    <row r="21" spans="1:10" x14ac:dyDescent="0.3">
      <c r="A21" s="132"/>
      <c r="B21" s="132"/>
      <c r="C21" s="132"/>
      <c r="D21" s="200"/>
      <c r="E21" s="200"/>
      <c r="F21" s="200"/>
      <c r="G21" s="200"/>
      <c r="H21" s="200"/>
      <c r="I21" s="200"/>
      <c r="J21" s="200"/>
    </row>
    <row r="22" spans="1:10" x14ac:dyDescent="0.3">
      <c r="A22" s="132"/>
      <c r="B22" s="132"/>
      <c r="C22" s="132"/>
      <c r="D22" s="200"/>
      <c r="E22" s="200"/>
      <c r="F22" s="200"/>
      <c r="G22" s="200"/>
      <c r="H22" s="200"/>
      <c r="I22" s="200"/>
      <c r="J22" s="200"/>
    </row>
    <row r="23" spans="1:10" x14ac:dyDescent="0.3">
      <c r="A23" s="132"/>
      <c r="B23" s="132"/>
      <c r="C23" s="132"/>
      <c r="D23" s="200"/>
      <c r="E23" s="200"/>
      <c r="F23" s="200"/>
      <c r="G23" s="200"/>
      <c r="H23" s="200"/>
      <c r="I23" s="200"/>
      <c r="J23" s="200"/>
    </row>
    <row r="24" spans="1:10" x14ac:dyDescent="0.3">
      <c r="A24" s="125"/>
      <c r="B24" s="125"/>
      <c r="C24" s="125"/>
      <c r="D24" s="311"/>
      <c r="E24" s="311"/>
      <c r="F24" s="311"/>
      <c r="G24" s="311"/>
      <c r="H24" s="311"/>
      <c r="I24" s="311"/>
      <c r="J24" s="311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'[5]SALE MASTER LIST'!#REF!</xm:f>
          </x14:formula1>
          <xm:sqref>A7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32"/>
  <sheetViews>
    <sheetView topLeftCell="B1" workbookViewId="0">
      <selection activeCell="B1" sqref="A1:XFD1048576"/>
    </sheetView>
  </sheetViews>
  <sheetFormatPr defaultColWidth="8.88671875" defaultRowHeight="13.8" x14ac:dyDescent="0.25"/>
  <cols>
    <col min="1" max="1" width="36" style="5" bestFit="1" customWidth="1"/>
    <col min="2" max="2" width="15.44140625" style="5" customWidth="1"/>
    <col min="3" max="3" width="29.6640625" style="5" customWidth="1"/>
    <col min="4" max="4" width="16.33203125" style="5" bestFit="1" customWidth="1"/>
    <col min="5" max="6" width="10.109375" style="5" customWidth="1"/>
    <col min="7" max="7" width="9.5546875" style="5" customWidth="1"/>
    <col min="8" max="11" width="8.88671875" style="5"/>
    <col min="12" max="12" width="9.6640625" style="5" customWidth="1"/>
    <col min="13" max="16384" width="8.88671875" style="5"/>
  </cols>
  <sheetData>
    <row r="5" spans="1:16" ht="25.95" customHeight="1" x14ac:dyDescent="0.25">
      <c r="A5" s="39" t="s">
        <v>75</v>
      </c>
      <c r="B5" s="40" t="s">
        <v>115</v>
      </c>
      <c r="C5" s="41" t="s">
        <v>116</v>
      </c>
      <c r="D5" s="42" t="s">
        <v>117</v>
      </c>
    </row>
    <row r="6" spans="1:16" x14ac:dyDescent="0.25">
      <c r="A6" s="43" t="s">
        <v>118</v>
      </c>
      <c r="B6" s="5">
        <f>+E11</f>
        <v>0</v>
      </c>
      <c r="C6" s="5">
        <f>+I11</f>
        <v>0</v>
      </c>
      <c r="D6" s="5">
        <f>+M11</f>
        <v>0</v>
      </c>
    </row>
    <row r="7" spans="1:16" x14ac:dyDescent="0.25">
      <c r="A7" s="43" t="s">
        <v>119</v>
      </c>
      <c r="B7" s="5">
        <f>+F11</f>
        <v>0</v>
      </c>
      <c r="C7" s="5">
        <f>+J11</f>
        <v>0</v>
      </c>
      <c r="D7" s="5">
        <f>+N11</f>
        <v>0</v>
      </c>
    </row>
    <row r="8" spans="1:16" x14ac:dyDescent="0.25">
      <c r="A8" s="43" t="s">
        <v>120</v>
      </c>
      <c r="B8" s="5">
        <f>+G11</f>
        <v>0</v>
      </c>
      <c r="C8" s="5">
        <f>+K11</f>
        <v>0</v>
      </c>
      <c r="D8" s="5">
        <f>+O11</f>
        <v>0</v>
      </c>
    </row>
    <row r="9" spans="1:16" x14ac:dyDescent="0.25">
      <c r="A9" s="43" t="s">
        <v>121</v>
      </c>
      <c r="B9" s="5">
        <f>+H11</f>
        <v>0</v>
      </c>
      <c r="C9" s="5">
        <f>+L11</f>
        <v>0</v>
      </c>
      <c r="D9" s="5">
        <f>+P11</f>
        <v>0</v>
      </c>
    </row>
    <row r="11" spans="1:16" x14ac:dyDescent="0.25">
      <c r="A11" s="272" t="s">
        <v>622</v>
      </c>
      <c r="B11" s="186"/>
      <c r="C11" s="186"/>
      <c r="D11" s="186"/>
      <c r="E11" s="256">
        <f>SUM(E15:E320)</f>
        <v>0</v>
      </c>
      <c r="F11" s="256">
        <f t="shared" ref="F11:P11" si="0">SUM(F15:F32)</f>
        <v>0</v>
      </c>
      <c r="G11" s="256">
        <f t="shared" si="0"/>
        <v>0</v>
      </c>
      <c r="H11" s="256">
        <f t="shared" si="0"/>
        <v>0</v>
      </c>
      <c r="I11" s="256">
        <f t="shared" si="0"/>
        <v>0</v>
      </c>
      <c r="J11" s="256">
        <f t="shared" si="0"/>
        <v>0</v>
      </c>
      <c r="K11" s="256">
        <f t="shared" si="0"/>
        <v>0</v>
      </c>
      <c r="L11" s="256">
        <f t="shared" si="0"/>
        <v>0</v>
      </c>
      <c r="M11" s="256">
        <f t="shared" si="0"/>
        <v>0</v>
      </c>
      <c r="N11" s="256">
        <f t="shared" si="0"/>
        <v>0</v>
      </c>
      <c r="O11" s="256">
        <f t="shared" si="0"/>
        <v>0</v>
      </c>
      <c r="P11" s="256">
        <f t="shared" si="0"/>
        <v>0</v>
      </c>
    </row>
    <row r="12" spans="1:16" x14ac:dyDescent="0.25">
      <c r="E12" s="519" t="s">
        <v>115</v>
      </c>
      <c r="F12" s="520"/>
      <c r="G12" s="520"/>
      <c r="H12" s="521"/>
      <c r="I12" s="519" t="s">
        <v>116</v>
      </c>
      <c r="J12" s="520"/>
      <c r="K12" s="520"/>
      <c r="L12" s="521"/>
      <c r="M12" s="519" t="s">
        <v>117</v>
      </c>
      <c r="N12" s="520"/>
      <c r="O12" s="520"/>
      <c r="P12" s="521"/>
    </row>
    <row r="13" spans="1:16" x14ac:dyDescent="0.25">
      <c r="A13" s="7" t="s">
        <v>4</v>
      </c>
      <c r="B13" s="7" t="s">
        <v>6</v>
      </c>
      <c r="C13" s="7" t="s">
        <v>8</v>
      </c>
      <c r="D13" s="7" t="s">
        <v>8</v>
      </c>
      <c r="E13" s="522" t="s">
        <v>799</v>
      </c>
      <c r="F13" s="522"/>
      <c r="G13" s="522" t="s">
        <v>798</v>
      </c>
      <c r="H13" s="522"/>
      <c r="I13" s="522" t="s">
        <v>799</v>
      </c>
      <c r="J13" s="522"/>
      <c r="K13" s="522" t="s">
        <v>798</v>
      </c>
      <c r="L13" s="522"/>
      <c r="M13" s="522" t="s">
        <v>799</v>
      </c>
      <c r="N13" s="522"/>
      <c r="O13" s="522" t="s">
        <v>798</v>
      </c>
      <c r="P13" s="522"/>
    </row>
    <row r="14" spans="1:16" x14ac:dyDescent="0.25">
      <c r="A14" s="4" t="s">
        <v>3</v>
      </c>
      <c r="B14" s="4" t="s">
        <v>5</v>
      </c>
      <c r="C14" s="4" t="s">
        <v>7</v>
      </c>
      <c r="D14" s="4" t="s">
        <v>9</v>
      </c>
      <c r="E14" s="7" t="s">
        <v>796</v>
      </c>
      <c r="F14" s="7" t="s">
        <v>797</v>
      </c>
      <c r="G14" s="7" t="s">
        <v>796</v>
      </c>
      <c r="H14" s="7" t="s">
        <v>797</v>
      </c>
      <c r="I14" s="7" t="s">
        <v>796</v>
      </c>
      <c r="J14" s="7" t="s">
        <v>797</v>
      </c>
      <c r="K14" s="7" t="s">
        <v>796</v>
      </c>
      <c r="L14" s="7" t="s">
        <v>797</v>
      </c>
      <c r="M14" s="7" t="s">
        <v>796</v>
      </c>
      <c r="N14" s="7" t="s">
        <v>797</v>
      </c>
      <c r="O14" s="7" t="s">
        <v>796</v>
      </c>
      <c r="P14" s="7" t="s">
        <v>797</v>
      </c>
    </row>
    <row r="15" spans="1:16" x14ac:dyDescent="0.25">
      <c r="A15" s="6"/>
      <c r="B15" s="6"/>
      <c r="C15" s="6"/>
      <c r="D15" s="6"/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</row>
    <row r="16" spans="1:16" x14ac:dyDescent="0.2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</row>
    <row r="17" spans="1:16" x14ac:dyDescent="0.2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</row>
    <row r="18" spans="1:16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x14ac:dyDescent="0.2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x14ac:dyDescent="0.2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x14ac:dyDescent="0.25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</row>
    <row r="22" spans="1:16" x14ac:dyDescent="0.25">
      <c r="A22" s="8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</row>
    <row r="23" spans="1:16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</row>
    <row r="24" spans="1:16" x14ac:dyDescent="0.25">
      <c r="A24" s="8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</row>
    <row r="25" spans="1:16" x14ac:dyDescent="0.25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</row>
    <row r="26" spans="1:16" x14ac:dyDescent="0.2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</row>
    <row r="27" spans="1:16" x14ac:dyDescent="0.25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</row>
    <row r="28" spans="1:16" x14ac:dyDescent="0.25">
      <c r="A28" s="8"/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</row>
    <row r="29" spans="1:16" x14ac:dyDescent="0.25">
      <c r="A29" s="8"/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</row>
    <row r="30" spans="1:16" x14ac:dyDescent="0.2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</row>
    <row r="31" spans="1:16" x14ac:dyDescent="0.2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</row>
    <row r="32" spans="1:1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</row>
  </sheetData>
  <mergeCells count="9">
    <mergeCell ref="M12:P12"/>
    <mergeCell ref="M13:N13"/>
    <mergeCell ref="O13:P13"/>
    <mergeCell ref="E13:F13"/>
    <mergeCell ref="G13:H13"/>
    <mergeCell ref="E12:H12"/>
    <mergeCell ref="I12:L12"/>
    <mergeCell ref="I13:J13"/>
    <mergeCell ref="K13:L13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5"/>
  <sheetViews>
    <sheetView workbookViewId="0">
      <selection activeCell="A4" sqref="A4:J5"/>
    </sheetView>
  </sheetViews>
  <sheetFormatPr defaultRowHeight="14.4" x14ac:dyDescent="0.3"/>
  <sheetData>
    <row r="4" spans="1:10" x14ac:dyDescent="0.3">
      <c r="A4" t="s">
        <v>8</v>
      </c>
      <c r="B4" t="s">
        <v>8</v>
      </c>
      <c r="C4" t="s">
        <v>8</v>
      </c>
      <c r="D4" t="s">
        <v>12</v>
      </c>
      <c r="E4" t="s">
        <v>13</v>
      </c>
      <c r="F4" t="s">
        <v>8</v>
      </c>
      <c r="G4" t="s">
        <v>17</v>
      </c>
      <c r="I4" t="s">
        <v>19</v>
      </c>
      <c r="J4" t="s">
        <v>21</v>
      </c>
    </row>
    <row r="5" spans="1:10" x14ac:dyDescent="0.3">
      <c r="A5" s="1" t="s">
        <v>7</v>
      </c>
      <c r="B5" s="1" t="s">
        <v>9</v>
      </c>
      <c r="C5" s="1" t="s">
        <v>10</v>
      </c>
      <c r="D5" s="1" t="s">
        <v>11</v>
      </c>
      <c r="E5" s="1" t="s">
        <v>14</v>
      </c>
      <c r="F5" s="1" t="s">
        <v>15</v>
      </c>
      <c r="G5" s="1" t="s">
        <v>16</v>
      </c>
      <c r="H5" s="1" t="s">
        <v>0</v>
      </c>
      <c r="I5" s="1" t="s">
        <v>18</v>
      </c>
      <c r="J5" s="1" t="s">
        <v>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21"/>
  <sheetViews>
    <sheetView topLeftCell="I1" workbookViewId="0">
      <selection activeCell="W10" sqref="W10"/>
    </sheetView>
  </sheetViews>
  <sheetFormatPr defaultRowHeight="14.4" x14ac:dyDescent="0.3"/>
  <cols>
    <col min="3" max="3" width="19.33203125" customWidth="1"/>
    <col min="4" max="4" width="17.44140625" customWidth="1"/>
    <col min="5" max="5" width="20.6640625" customWidth="1"/>
    <col min="6" max="6" width="18.44140625" customWidth="1"/>
    <col min="7" max="7" width="19.33203125" customWidth="1"/>
    <col min="8" max="8" width="15.88671875" customWidth="1"/>
    <col min="10" max="10" width="15.109375" bestFit="1" customWidth="1"/>
    <col min="11" max="11" width="11.33203125" bestFit="1" customWidth="1"/>
    <col min="12" max="12" width="13.5546875" bestFit="1" customWidth="1"/>
    <col min="22" max="22" width="9.6640625" style="128" customWidth="1"/>
  </cols>
  <sheetData>
    <row r="2" spans="1:27" s="257" customFormat="1" x14ac:dyDescent="0.3">
      <c r="A2" s="254"/>
      <c r="B2" s="255"/>
      <c r="C2" s="255"/>
      <c r="D2" s="255"/>
      <c r="E2" s="255"/>
      <c r="F2" s="255"/>
      <c r="G2" s="255"/>
      <c r="H2" s="255"/>
      <c r="I2" s="256" t="s">
        <v>844</v>
      </c>
      <c r="J2" s="211"/>
      <c r="K2" s="211"/>
      <c r="L2" s="211"/>
      <c r="M2" s="211"/>
      <c r="N2" s="211"/>
      <c r="O2" s="211">
        <f t="shared" ref="O2:AA2" si="0">SUM(O6:O500)</f>
        <v>0</v>
      </c>
      <c r="P2" s="211"/>
      <c r="Q2" s="211">
        <f t="shared" si="0"/>
        <v>0</v>
      </c>
      <c r="R2" s="211">
        <f t="shared" si="0"/>
        <v>0</v>
      </c>
      <c r="S2" s="211">
        <f t="shared" si="0"/>
        <v>0</v>
      </c>
      <c r="T2" s="211"/>
      <c r="U2" s="211"/>
      <c r="V2" s="211"/>
      <c r="W2" s="211"/>
      <c r="X2" s="211"/>
      <c r="Y2" s="211"/>
      <c r="Z2" s="211"/>
      <c r="AA2" s="211">
        <f t="shared" si="0"/>
        <v>0</v>
      </c>
    </row>
    <row r="3" spans="1:27" s="257" customFormat="1" x14ac:dyDescent="0.3">
      <c r="A3" s="254"/>
      <c r="B3" s="255"/>
      <c r="C3" s="255"/>
      <c r="D3" s="255"/>
      <c r="E3" s="255"/>
      <c r="F3" s="255"/>
      <c r="G3" s="255"/>
      <c r="H3" s="255"/>
      <c r="I3" s="256" t="s">
        <v>845</v>
      </c>
      <c r="J3" s="211"/>
      <c r="K3" s="211"/>
      <c r="L3" s="211"/>
      <c r="M3" s="211"/>
      <c r="N3" s="211"/>
      <c r="O3" s="211"/>
      <c r="P3" s="211"/>
      <c r="Q3" s="211"/>
      <c r="R3" s="211"/>
      <c r="S3" s="211"/>
      <c r="T3" s="211"/>
      <c r="U3" s="211"/>
      <c r="V3" s="211"/>
      <c r="W3" s="211"/>
      <c r="X3" s="211"/>
      <c r="Y3" s="211"/>
      <c r="Z3" s="211"/>
      <c r="AA3" s="211"/>
    </row>
    <row r="4" spans="1:27" s="257" customFormat="1" x14ac:dyDescent="0.3">
      <c r="A4" s="263"/>
      <c r="B4" s="264"/>
      <c r="C4" s="264"/>
      <c r="D4" s="264"/>
      <c r="E4" s="264"/>
      <c r="F4" s="264"/>
      <c r="G4" s="264"/>
      <c r="H4" s="264"/>
      <c r="I4" s="265" t="s">
        <v>846</v>
      </c>
      <c r="J4" s="203"/>
      <c r="K4" s="203"/>
      <c r="L4" s="203"/>
      <c r="M4" s="203"/>
      <c r="N4" s="203"/>
      <c r="O4" s="203"/>
      <c r="P4" s="203"/>
      <c r="Q4" s="203"/>
      <c r="R4" s="203"/>
      <c r="S4" s="203"/>
      <c r="T4" s="203"/>
      <c r="U4" s="203"/>
      <c r="V4" s="203"/>
      <c r="W4" s="203"/>
      <c r="X4" s="203"/>
      <c r="Y4" s="203"/>
      <c r="Z4" s="203"/>
      <c r="AA4" s="203"/>
    </row>
    <row r="5" spans="1:27" x14ac:dyDescent="0.3">
      <c r="A5" s="6" t="s">
        <v>4</v>
      </c>
      <c r="B5" s="6" t="s">
        <v>6</v>
      </c>
      <c r="C5" s="205" t="s">
        <v>821</v>
      </c>
      <c r="D5" s="266" t="s">
        <v>821</v>
      </c>
      <c r="E5" s="266" t="s">
        <v>823</v>
      </c>
      <c r="F5" s="266" t="s">
        <v>823</v>
      </c>
      <c r="G5" s="267" t="s">
        <v>826</v>
      </c>
      <c r="H5" s="268" t="s">
        <v>826</v>
      </c>
      <c r="I5" s="267" t="s">
        <v>813</v>
      </c>
      <c r="J5" s="269" t="s">
        <v>103</v>
      </c>
      <c r="K5" s="270" t="s">
        <v>108</v>
      </c>
      <c r="L5" s="271" t="s">
        <v>99</v>
      </c>
      <c r="M5" s="271" t="s">
        <v>0</v>
      </c>
      <c r="N5" s="271" t="s">
        <v>827</v>
      </c>
      <c r="O5" s="271" t="s">
        <v>828</v>
      </c>
      <c r="P5" s="267" t="s">
        <v>107</v>
      </c>
      <c r="Q5" s="260" t="s">
        <v>88</v>
      </c>
      <c r="R5" s="261" t="s">
        <v>89</v>
      </c>
      <c r="S5" s="261" t="s">
        <v>90</v>
      </c>
      <c r="T5" s="195" t="s">
        <v>66</v>
      </c>
      <c r="U5" s="196" t="s">
        <v>67</v>
      </c>
      <c r="V5" s="247" t="s">
        <v>78</v>
      </c>
      <c r="W5" s="197" t="s">
        <v>74</v>
      </c>
      <c r="X5" s="6" t="s">
        <v>75</v>
      </c>
      <c r="Y5" s="6" t="s">
        <v>92</v>
      </c>
      <c r="Z5" s="23" t="s">
        <v>77</v>
      </c>
      <c r="AA5" s="198" t="s">
        <v>93</v>
      </c>
    </row>
    <row r="6" spans="1:27" x14ac:dyDescent="0.3">
      <c r="A6" s="4" t="s">
        <v>3</v>
      </c>
      <c r="B6" s="190" t="s">
        <v>5</v>
      </c>
      <c r="C6" s="73" t="s">
        <v>822</v>
      </c>
      <c r="D6" s="73" t="s">
        <v>810</v>
      </c>
      <c r="E6" s="190" t="s">
        <v>824</v>
      </c>
      <c r="F6" s="190" t="s">
        <v>825</v>
      </c>
      <c r="G6" s="190" t="s">
        <v>822</v>
      </c>
      <c r="H6" s="190" t="s">
        <v>810</v>
      </c>
      <c r="I6" s="190" t="s">
        <v>15</v>
      </c>
      <c r="J6" s="190" t="s">
        <v>104</v>
      </c>
      <c r="K6" s="190"/>
      <c r="L6" s="190" t="s">
        <v>814</v>
      </c>
      <c r="M6" s="190"/>
      <c r="N6" s="190" t="s">
        <v>10</v>
      </c>
      <c r="O6" s="190" t="s">
        <v>91</v>
      </c>
      <c r="P6" s="73"/>
      <c r="Q6" s="249" t="s">
        <v>91</v>
      </c>
      <c r="R6" s="249" t="s">
        <v>91</v>
      </c>
      <c r="S6" s="249" t="s">
        <v>91</v>
      </c>
      <c r="T6" s="7" t="s">
        <v>68</v>
      </c>
      <c r="U6" s="76" t="s">
        <v>69</v>
      </c>
      <c r="V6" s="76" t="s">
        <v>0</v>
      </c>
      <c r="W6" s="186" t="s">
        <v>94</v>
      </c>
      <c r="X6" s="7" t="s">
        <v>80</v>
      </c>
      <c r="Y6" s="7"/>
      <c r="Z6" s="25" t="s">
        <v>11</v>
      </c>
      <c r="AA6" s="186" t="s">
        <v>95</v>
      </c>
    </row>
    <row r="7" spans="1:27" x14ac:dyDescent="0.3">
      <c r="A7" s="126"/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48" t="s">
        <v>894</v>
      </c>
      <c r="W7" s="126"/>
      <c r="X7" s="126"/>
      <c r="Y7" s="126"/>
      <c r="Z7" s="126"/>
      <c r="AA7" s="126"/>
    </row>
    <row r="8" spans="1:27" x14ac:dyDescent="0.3">
      <c r="A8" s="132"/>
      <c r="B8" s="132"/>
      <c r="C8" s="132"/>
      <c r="D8" s="132"/>
      <c r="E8" s="132"/>
      <c r="F8" s="132"/>
      <c r="G8" s="132"/>
      <c r="H8" s="132"/>
      <c r="I8" s="132"/>
      <c r="J8" s="132"/>
      <c r="K8" s="132"/>
      <c r="L8" s="132"/>
      <c r="M8" s="132"/>
      <c r="N8" s="132"/>
      <c r="O8" s="132"/>
      <c r="P8" s="132"/>
      <c r="Q8" s="132"/>
      <c r="R8" s="132"/>
      <c r="S8" s="132"/>
      <c r="T8" s="132"/>
      <c r="U8" s="132"/>
      <c r="V8" s="48" t="s">
        <v>894</v>
      </c>
      <c r="W8" s="132"/>
      <c r="X8" s="132"/>
      <c r="Y8" s="132"/>
      <c r="Z8" s="132"/>
      <c r="AA8" s="132"/>
    </row>
    <row r="9" spans="1:27" x14ac:dyDescent="0.3">
      <c r="A9" s="132"/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  <c r="V9" s="132"/>
      <c r="W9" s="132"/>
      <c r="X9" s="132"/>
      <c r="Y9" s="132"/>
      <c r="Z9" s="132"/>
      <c r="AA9" s="132"/>
    </row>
    <row r="10" spans="1:27" x14ac:dyDescent="0.3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</row>
    <row r="11" spans="1:27" x14ac:dyDescent="0.3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2"/>
      <c r="X11" s="132"/>
      <c r="Y11" s="132"/>
      <c r="Z11" s="132"/>
      <c r="AA11" s="132"/>
    </row>
    <row r="12" spans="1:27" x14ac:dyDescent="0.3">
      <c r="A12" s="132"/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  <c r="V12" s="132"/>
      <c r="W12" s="132"/>
      <c r="X12" s="132"/>
      <c r="Y12" s="132"/>
      <c r="Z12" s="132"/>
      <c r="AA12" s="132"/>
    </row>
    <row r="13" spans="1:27" x14ac:dyDescent="0.3">
      <c r="A13" s="132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  <c r="S13" s="132"/>
      <c r="T13" s="132"/>
      <c r="U13" s="132"/>
      <c r="V13" s="132"/>
      <c r="W13" s="132"/>
      <c r="X13" s="132"/>
      <c r="Y13" s="132"/>
      <c r="Z13" s="132"/>
      <c r="AA13" s="132"/>
    </row>
    <row r="14" spans="1:27" x14ac:dyDescent="0.3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132"/>
      <c r="X14" s="132"/>
      <c r="Y14" s="132"/>
      <c r="Z14" s="132"/>
      <c r="AA14" s="132"/>
    </row>
    <row r="15" spans="1:27" x14ac:dyDescent="0.3">
      <c r="A15" s="132"/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  <c r="T15" s="132"/>
      <c r="U15" s="132"/>
      <c r="V15" s="132"/>
      <c r="W15" s="132"/>
      <c r="X15" s="132"/>
      <c r="Y15" s="132"/>
      <c r="Z15" s="132"/>
      <c r="AA15" s="132"/>
    </row>
    <row r="16" spans="1:27" x14ac:dyDescent="0.3">
      <c r="A16" s="132"/>
      <c r="B16" s="132"/>
      <c r="C16" s="132"/>
      <c r="D16" s="132"/>
      <c r="E16" s="132"/>
      <c r="F16" s="132"/>
      <c r="G16" s="132"/>
      <c r="H16" s="132"/>
      <c r="I16" s="132"/>
      <c r="J16" s="132"/>
      <c r="K16" s="132"/>
      <c r="L16" s="132"/>
      <c r="M16" s="132"/>
      <c r="N16" s="132"/>
      <c r="O16" s="132"/>
      <c r="P16" s="132"/>
      <c r="Q16" s="132"/>
      <c r="R16" s="132"/>
      <c r="S16" s="132"/>
      <c r="T16" s="132"/>
      <c r="U16" s="132"/>
      <c r="V16" s="132"/>
      <c r="W16" s="132"/>
      <c r="X16" s="132"/>
      <c r="Y16" s="132"/>
      <c r="Z16" s="132"/>
      <c r="AA16" s="132"/>
    </row>
    <row r="17" spans="1:27" x14ac:dyDescent="0.3">
      <c r="A17" s="132"/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</row>
    <row r="18" spans="1:27" x14ac:dyDescent="0.3">
      <c r="A18" s="13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2"/>
      <c r="Q18" s="132"/>
      <c r="R18" s="132"/>
      <c r="S18" s="132"/>
      <c r="T18" s="132"/>
      <c r="U18" s="132"/>
      <c r="V18" s="132"/>
      <c r="W18" s="132"/>
      <c r="X18" s="132"/>
      <c r="Y18" s="132"/>
      <c r="Z18" s="132"/>
      <c r="AA18" s="132"/>
    </row>
    <row r="19" spans="1:27" x14ac:dyDescent="0.3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132"/>
      <c r="P19" s="132"/>
      <c r="Q19" s="132"/>
      <c r="R19" s="132"/>
      <c r="S19" s="132"/>
      <c r="T19" s="132"/>
      <c r="U19" s="132"/>
      <c r="V19" s="132"/>
      <c r="W19" s="132"/>
      <c r="X19" s="132"/>
      <c r="Y19" s="132"/>
      <c r="Z19" s="132"/>
      <c r="AA19" s="132"/>
    </row>
    <row r="20" spans="1:27" x14ac:dyDescent="0.3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2"/>
      <c r="Q20" s="132"/>
      <c r="R20" s="132"/>
      <c r="S20" s="132"/>
      <c r="T20" s="132"/>
      <c r="U20" s="132"/>
      <c r="V20" s="132"/>
      <c r="W20" s="132"/>
      <c r="X20" s="132"/>
      <c r="Y20" s="132"/>
      <c r="Z20" s="132"/>
      <c r="AA20" s="132"/>
    </row>
    <row r="21" spans="1:27" x14ac:dyDescent="0.3">
      <c r="A21" s="132"/>
      <c r="B21" s="132"/>
      <c r="C21" s="132"/>
      <c r="D21" s="132"/>
      <c r="E21" s="132"/>
      <c r="F21" s="132"/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2"/>
      <c r="Z21" s="132"/>
      <c r="AA21" s="132"/>
    </row>
  </sheetData>
  <dataConsolidate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[1]master!#REF!</xm:f>
          </x14:formula1>
          <xm:sqref>K5</xm:sqref>
        </x14:dataValidation>
        <x14:dataValidation type="list" allowBlank="1" showInputMessage="1" showErrorMessage="1">
          <x14:formula1>
            <xm:f>'SALE MASTER'!$I$2:$I$20</xm:f>
          </x14:formula1>
          <xm:sqref>J7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D14" sqref="D14"/>
    </sheetView>
  </sheetViews>
  <sheetFormatPr defaultRowHeight="14.4" x14ac:dyDescent="0.3"/>
  <cols>
    <col min="1" max="1" width="43.6640625" bestFit="1" customWidth="1"/>
    <col min="2" max="2" width="11.6640625" bestFit="1" customWidth="1"/>
    <col min="3" max="3" width="9.6640625" bestFit="1" customWidth="1"/>
    <col min="4" max="4" width="7.5546875" bestFit="1" customWidth="1"/>
    <col min="5" max="5" width="8.6640625" bestFit="1" customWidth="1"/>
  </cols>
  <sheetData>
    <row r="1" spans="1:5" x14ac:dyDescent="0.3">
      <c r="A1" t="s">
        <v>122</v>
      </c>
    </row>
    <row r="5" spans="1:5" ht="27.6" x14ac:dyDescent="0.3">
      <c r="A5" s="44" t="s">
        <v>123</v>
      </c>
      <c r="B5" s="44" t="s">
        <v>124</v>
      </c>
      <c r="C5" s="45" t="s">
        <v>125</v>
      </c>
      <c r="D5" s="42" t="s">
        <v>126</v>
      </c>
      <c r="E5" s="46" t="s">
        <v>127</v>
      </c>
    </row>
    <row r="6" spans="1:5" x14ac:dyDescent="0.3">
      <c r="A6" s="47" t="s">
        <v>128</v>
      </c>
    </row>
    <row r="7" spans="1:5" x14ac:dyDescent="0.3">
      <c r="A7" s="47" t="s">
        <v>128</v>
      </c>
    </row>
    <row r="8" spans="1:5" x14ac:dyDescent="0.3">
      <c r="A8" s="47" t="s">
        <v>129</v>
      </c>
    </row>
    <row r="9" spans="1:5" x14ac:dyDescent="0.3">
      <c r="A9" s="47" t="s">
        <v>129</v>
      </c>
    </row>
    <row r="10" spans="1:5" x14ac:dyDescent="0.3">
      <c r="A10" s="47" t="s">
        <v>130</v>
      </c>
    </row>
    <row r="11" spans="1:5" x14ac:dyDescent="0.3">
      <c r="A11" s="47" t="s">
        <v>131</v>
      </c>
    </row>
    <row r="12" spans="1:5" x14ac:dyDescent="0.3">
      <c r="A12" s="47" t="s">
        <v>132</v>
      </c>
    </row>
    <row r="13" spans="1:5" x14ac:dyDescent="0.3">
      <c r="A13" s="47" t="s">
        <v>128</v>
      </c>
    </row>
  </sheetData>
  <dataValidations count="1">
    <dataValidation type="list" allowBlank="1" showInputMessage="1" showErrorMessage="1" sqref="A6:A13">
      <formula1>DOCUMENT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topLeftCell="H1" workbookViewId="0">
      <selection activeCell="H21" sqref="H21"/>
    </sheetView>
  </sheetViews>
  <sheetFormatPr defaultRowHeight="14.4" x14ac:dyDescent="0.3"/>
  <cols>
    <col min="1" max="1" width="27.33203125" bestFit="1" customWidth="1"/>
    <col min="2" max="2" width="11.6640625" bestFit="1" customWidth="1"/>
    <col min="3" max="3" width="8.109375" bestFit="1" customWidth="1"/>
    <col min="4" max="5" width="5.33203125" bestFit="1" customWidth="1"/>
    <col min="6" max="6" width="8.6640625" bestFit="1" customWidth="1"/>
    <col min="7" max="7" width="16.109375" bestFit="1" customWidth="1"/>
    <col min="8" max="8" width="29" customWidth="1"/>
    <col min="9" max="9" width="34.5546875" bestFit="1" customWidth="1"/>
    <col min="10" max="10" width="67.33203125" bestFit="1" customWidth="1"/>
    <col min="11" max="11" width="9.44140625" bestFit="1" customWidth="1"/>
    <col min="12" max="12" width="9.5546875" bestFit="1" customWidth="1"/>
    <col min="13" max="13" width="12.6640625" bestFit="1" customWidth="1"/>
  </cols>
  <sheetData>
    <row r="1" spans="1:14" ht="82.8" x14ac:dyDescent="0.3">
      <c r="A1" s="81" t="s">
        <v>109</v>
      </c>
      <c r="B1" s="64" t="s">
        <v>277</v>
      </c>
      <c r="C1" s="65" t="s">
        <v>278</v>
      </c>
      <c r="D1" s="65" t="s">
        <v>164</v>
      </c>
      <c r="E1" s="65" t="s">
        <v>68</v>
      </c>
      <c r="F1" s="65" t="s">
        <v>165</v>
      </c>
      <c r="G1" s="65" t="s">
        <v>166</v>
      </c>
      <c r="H1" s="65" t="s">
        <v>167</v>
      </c>
      <c r="I1" s="65" t="s">
        <v>168</v>
      </c>
      <c r="J1" s="65" t="s">
        <v>279</v>
      </c>
      <c r="K1" s="65" t="s">
        <v>280</v>
      </c>
      <c r="L1" s="65" t="s">
        <v>171</v>
      </c>
      <c r="M1" s="65" t="s">
        <v>281</v>
      </c>
      <c r="N1" s="65" t="s">
        <v>282</v>
      </c>
    </row>
    <row r="2" spans="1:14" ht="15" customHeight="1" x14ac:dyDescent="0.3">
      <c r="A2" s="66" t="s">
        <v>283</v>
      </c>
      <c r="B2" s="82" t="s">
        <v>284</v>
      </c>
      <c r="C2" s="67" t="s">
        <v>71</v>
      </c>
      <c r="D2" s="68" t="s">
        <v>174</v>
      </c>
      <c r="E2" s="7" t="s">
        <v>285</v>
      </c>
      <c r="F2" s="69">
        <v>0</v>
      </c>
      <c r="G2" s="70" t="s">
        <v>175</v>
      </c>
      <c r="H2" s="71" t="s">
        <v>72</v>
      </c>
      <c r="I2" s="72" t="s">
        <v>176</v>
      </c>
      <c r="J2" s="7" t="s">
        <v>128</v>
      </c>
      <c r="K2" s="7" t="s">
        <v>286</v>
      </c>
      <c r="L2" s="73" t="s">
        <v>179</v>
      </c>
      <c r="M2" s="7" t="s">
        <v>287</v>
      </c>
      <c r="N2" s="7" t="s">
        <v>288</v>
      </c>
    </row>
    <row r="3" spans="1:14" ht="15" customHeight="1" x14ac:dyDescent="0.3">
      <c r="A3" s="66" t="s">
        <v>289</v>
      </c>
      <c r="B3" s="82" t="s">
        <v>290</v>
      </c>
      <c r="C3" s="67" t="s">
        <v>182</v>
      </c>
      <c r="D3" s="68" t="s">
        <v>183</v>
      </c>
      <c r="E3" s="7" t="s">
        <v>291</v>
      </c>
      <c r="F3" s="69">
        <v>0.1</v>
      </c>
      <c r="G3" s="70" t="s">
        <v>184</v>
      </c>
      <c r="H3" s="71" t="s">
        <v>185</v>
      </c>
      <c r="I3" s="74" t="s">
        <v>186</v>
      </c>
      <c r="J3" s="7" t="s">
        <v>131</v>
      </c>
      <c r="K3" s="7" t="s">
        <v>292</v>
      </c>
      <c r="L3" s="73" t="s">
        <v>189</v>
      </c>
      <c r="M3" s="7" t="s">
        <v>293</v>
      </c>
      <c r="N3" s="7" t="s">
        <v>294</v>
      </c>
    </row>
    <row r="4" spans="1:14" ht="15" customHeight="1" x14ac:dyDescent="0.3">
      <c r="A4" s="66" t="s">
        <v>295</v>
      </c>
      <c r="B4" s="83"/>
      <c r="C4" s="67"/>
      <c r="D4" s="75" t="s">
        <v>192</v>
      </c>
      <c r="E4" s="7"/>
      <c r="F4" s="69">
        <v>0.25</v>
      </c>
      <c r="G4" s="70" t="s">
        <v>193</v>
      </c>
      <c r="H4" s="71" t="s">
        <v>194</v>
      </c>
      <c r="I4" s="7" t="s">
        <v>195</v>
      </c>
      <c r="J4" s="7" t="s">
        <v>296</v>
      </c>
      <c r="K4" s="7" t="s">
        <v>297</v>
      </c>
      <c r="L4" s="73"/>
      <c r="M4" s="7" t="s">
        <v>298</v>
      </c>
      <c r="N4" s="7"/>
    </row>
    <row r="5" spans="1:14" ht="15" customHeight="1" x14ac:dyDescent="0.3">
      <c r="A5" s="66" t="s">
        <v>299</v>
      </c>
      <c r="B5" s="83"/>
      <c r="C5" s="77"/>
      <c r="D5" s="78"/>
      <c r="E5" s="7"/>
      <c r="F5" s="69">
        <v>3</v>
      </c>
      <c r="G5" s="70" t="s">
        <v>198</v>
      </c>
      <c r="H5" s="71" t="s">
        <v>199</v>
      </c>
      <c r="I5" s="7" t="s">
        <v>200</v>
      </c>
      <c r="J5" s="7" t="s">
        <v>129</v>
      </c>
      <c r="K5" s="7"/>
      <c r="L5" s="73"/>
      <c r="M5" s="7" t="s">
        <v>300</v>
      </c>
      <c r="N5" s="7"/>
    </row>
    <row r="6" spans="1:14" ht="15" customHeight="1" x14ac:dyDescent="0.3">
      <c r="A6" s="66" t="s">
        <v>301</v>
      </c>
      <c r="B6" s="83"/>
      <c r="C6" s="77"/>
      <c r="D6" s="78"/>
      <c r="E6" s="7"/>
      <c r="F6" s="69">
        <v>5</v>
      </c>
      <c r="G6" s="70" t="s">
        <v>203</v>
      </c>
      <c r="H6" s="71"/>
      <c r="I6" s="7" t="s">
        <v>204</v>
      </c>
      <c r="J6" s="7" t="s">
        <v>302</v>
      </c>
      <c r="K6" s="7"/>
      <c r="L6" s="73"/>
      <c r="M6" s="7" t="s">
        <v>303</v>
      </c>
      <c r="N6" s="7"/>
    </row>
    <row r="7" spans="1:14" ht="15" customHeight="1" x14ac:dyDescent="0.3">
      <c r="A7" s="66" t="s">
        <v>304</v>
      </c>
      <c r="B7" s="84"/>
      <c r="C7" s="77"/>
      <c r="D7" s="78"/>
      <c r="E7" s="7"/>
      <c r="F7" s="69">
        <v>12</v>
      </c>
      <c r="G7" s="70" t="s">
        <v>206</v>
      </c>
      <c r="H7" s="71"/>
      <c r="I7" s="7" t="s">
        <v>207</v>
      </c>
      <c r="J7" s="7" t="s">
        <v>305</v>
      </c>
      <c r="K7" s="7"/>
      <c r="L7" s="73"/>
      <c r="M7" s="7" t="s">
        <v>306</v>
      </c>
      <c r="N7" s="7"/>
    </row>
    <row r="8" spans="1:14" ht="15" customHeight="1" x14ac:dyDescent="0.3">
      <c r="A8" s="66" t="s">
        <v>307</v>
      </c>
      <c r="B8" s="84"/>
      <c r="C8" s="77"/>
      <c r="D8" s="78"/>
      <c r="E8" s="7"/>
      <c r="F8" s="69">
        <v>18</v>
      </c>
      <c r="G8" s="70" t="s">
        <v>209</v>
      </c>
      <c r="H8" s="71"/>
      <c r="I8" s="7" t="s">
        <v>210</v>
      </c>
      <c r="J8" s="7" t="s">
        <v>308</v>
      </c>
      <c r="K8" s="7"/>
      <c r="L8" s="73"/>
      <c r="M8" s="7" t="s">
        <v>309</v>
      </c>
      <c r="N8" s="7"/>
    </row>
    <row r="9" spans="1:14" ht="15" customHeight="1" x14ac:dyDescent="0.3">
      <c r="A9" s="66" t="s">
        <v>310</v>
      </c>
      <c r="B9" s="85"/>
      <c r="C9" s="7"/>
      <c r="D9" s="7"/>
      <c r="E9" s="7"/>
      <c r="F9" s="69">
        <v>28</v>
      </c>
      <c r="G9" s="70" t="s">
        <v>212</v>
      </c>
      <c r="H9" s="71"/>
      <c r="I9" s="7"/>
      <c r="J9" s="7" t="s">
        <v>132</v>
      </c>
      <c r="K9" s="7"/>
      <c r="L9" s="73"/>
      <c r="M9" s="7" t="s">
        <v>311</v>
      </c>
      <c r="N9" s="7"/>
    </row>
    <row r="10" spans="1:14" ht="15" customHeight="1" x14ac:dyDescent="0.3">
      <c r="A10" s="66" t="s">
        <v>312</v>
      </c>
      <c r="B10" s="85"/>
      <c r="C10" s="7"/>
      <c r="D10" s="7"/>
      <c r="E10" s="7"/>
      <c r="F10" s="80"/>
      <c r="G10" s="70" t="s">
        <v>214</v>
      </c>
      <c r="H10" s="71"/>
      <c r="I10" s="7"/>
      <c r="J10" s="7" t="s">
        <v>130</v>
      </c>
      <c r="K10" s="7"/>
      <c r="L10" s="73"/>
      <c r="M10" s="7" t="s">
        <v>313</v>
      </c>
      <c r="N10" s="7"/>
    </row>
    <row r="11" spans="1:14" ht="15" customHeight="1" x14ac:dyDescent="0.3">
      <c r="A11" s="66" t="s">
        <v>314</v>
      </c>
      <c r="B11" s="85"/>
      <c r="C11" s="7"/>
      <c r="D11" s="7"/>
      <c r="E11" s="7"/>
      <c r="F11" s="80"/>
      <c r="G11" s="70" t="s">
        <v>216</v>
      </c>
      <c r="H11" s="71"/>
      <c r="I11" s="7"/>
      <c r="J11" s="7" t="s">
        <v>315</v>
      </c>
      <c r="K11" s="7"/>
      <c r="L11" s="73"/>
      <c r="M11" s="7" t="s">
        <v>316</v>
      </c>
      <c r="N11" s="7"/>
    </row>
    <row r="12" spans="1:14" ht="15" customHeight="1" x14ac:dyDescent="0.3">
      <c r="A12" s="66" t="s">
        <v>317</v>
      </c>
      <c r="B12" s="85"/>
      <c r="C12" s="7"/>
      <c r="D12" s="7"/>
      <c r="E12" s="7"/>
      <c r="F12" s="80"/>
      <c r="G12" s="70" t="s">
        <v>218</v>
      </c>
      <c r="H12" s="71"/>
      <c r="I12" s="7"/>
      <c r="J12" s="7" t="s">
        <v>318</v>
      </c>
      <c r="K12" s="7"/>
      <c r="L12" s="73"/>
      <c r="M12" s="7" t="s">
        <v>319</v>
      </c>
      <c r="N12" s="7"/>
    </row>
    <row r="13" spans="1:14" ht="15" customHeight="1" x14ac:dyDescent="0.3">
      <c r="A13" s="66" t="s">
        <v>320</v>
      </c>
      <c r="B13" s="85"/>
      <c r="C13" s="7"/>
      <c r="D13" s="7"/>
      <c r="E13" s="7"/>
      <c r="F13" s="80"/>
      <c r="G13" s="70" t="s">
        <v>220</v>
      </c>
      <c r="H13" s="71"/>
      <c r="I13" s="7"/>
      <c r="J13" s="7" t="s">
        <v>321</v>
      </c>
      <c r="K13" s="7"/>
      <c r="L13" s="73"/>
      <c r="M13" s="7" t="s">
        <v>322</v>
      </c>
      <c r="N13" s="7"/>
    </row>
    <row r="14" spans="1:14" ht="15" customHeight="1" x14ac:dyDescent="0.3">
      <c r="A14" s="66" t="s">
        <v>323</v>
      </c>
      <c r="B14" s="85"/>
      <c r="C14" s="7"/>
      <c r="D14" s="7"/>
      <c r="E14" s="7"/>
      <c r="F14" s="80"/>
      <c r="G14" s="70" t="s">
        <v>222</v>
      </c>
      <c r="H14" s="71"/>
      <c r="I14" s="7"/>
      <c r="J14" s="7"/>
      <c r="K14" s="7"/>
      <c r="L14" s="73"/>
      <c r="M14" s="7"/>
      <c r="N14" s="7"/>
    </row>
    <row r="15" spans="1:14" ht="15" customHeight="1" x14ac:dyDescent="0.3">
      <c r="A15" s="66" t="s">
        <v>324</v>
      </c>
      <c r="B15" s="85"/>
      <c r="C15" s="7"/>
      <c r="D15" s="7"/>
      <c r="E15" s="7"/>
      <c r="F15" s="80"/>
      <c r="G15" s="70" t="s">
        <v>224</v>
      </c>
      <c r="H15" s="71"/>
      <c r="I15" s="7"/>
      <c r="J15" s="7"/>
      <c r="K15" s="7"/>
      <c r="L15" s="73"/>
      <c r="M15" s="7"/>
      <c r="N15" s="7"/>
    </row>
    <row r="16" spans="1:14" ht="15" customHeight="1" x14ac:dyDescent="0.3">
      <c r="A16" s="66" t="s">
        <v>325</v>
      </c>
      <c r="B16" s="85"/>
      <c r="C16" s="7"/>
      <c r="D16" s="7"/>
      <c r="E16" s="7"/>
      <c r="F16" s="80"/>
      <c r="G16" s="70" t="s">
        <v>226</v>
      </c>
      <c r="H16" s="71"/>
      <c r="I16" s="7"/>
      <c r="J16" s="7"/>
      <c r="K16" s="7"/>
      <c r="L16" s="73"/>
      <c r="M16" s="7"/>
      <c r="N16" s="7"/>
    </row>
    <row r="17" spans="1:14" ht="15" customHeight="1" x14ac:dyDescent="0.3">
      <c r="A17" s="66" t="s">
        <v>326</v>
      </c>
      <c r="B17" s="85"/>
      <c r="C17" s="7"/>
      <c r="D17" s="7"/>
      <c r="E17" s="7"/>
      <c r="F17" s="80"/>
      <c r="G17" s="70" t="s">
        <v>228</v>
      </c>
      <c r="H17" s="71"/>
      <c r="I17" s="7"/>
      <c r="J17" s="7"/>
      <c r="K17" s="7"/>
      <c r="L17" s="73"/>
      <c r="M17" s="7"/>
      <c r="N17" s="7"/>
    </row>
    <row r="18" spans="1:14" ht="15" customHeight="1" x14ac:dyDescent="0.3">
      <c r="A18" s="66" t="s">
        <v>327</v>
      </c>
      <c r="B18" s="85"/>
      <c r="C18" s="7"/>
      <c r="D18" s="7"/>
      <c r="E18" s="7"/>
      <c r="F18" s="80"/>
      <c r="G18" s="70" t="s">
        <v>230</v>
      </c>
      <c r="H18" s="71"/>
      <c r="I18" s="7"/>
      <c r="J18" s="7"/>
      <c r="K18" s="7"/>
      <c r="L18" s="73"/>
      <c r="M18" s="7"/>
      <c r="N18" s="7"/>
    </row>
    <row r="19" spans="1:14" ht="15" customHeight="1" x14ac:dyDescent="0.3">
      <c r="A19" s="66" t="s">
        <v>328</v>
      </c>
      <c r="B19" s="85"/>
      <c r="C19" s="7"/>
      <c r="D19" s="7"/>
      <c r="E19" s="7"/>
      <c r="F19" s="80"/>
      <c r="G19" s="70" t="s">
        <v>232</v>
      </c>
      <c r="H19" s="71"/>
      <c r="I19" s="7"/>
      <c r="J19" s="7"/>
      <c r="K19" s="7"/>
      <c r="L19" s="73"/>
      <c r="M19" s="7"/>
      <c r="N19" s="7"/>
    </row>
    <row r="20" spans="1:14" ht="15" customHeight="1" x14ac:dyDescent="0.3">
      <c r="A20" s="66" t="s">
        <v>329</v>
      </c>
      <c r="B20" s="85"/>
      <c r="C20" s="7"/>
      <c r="D20" s="7"/>
      <c r="E20" s="7"/>
      <c r="F20" s="80"/>
      <c r="G20" s="70" t="s">
        <v>234</v>
      </c>
      <c r="H20" s="71"/>
      <c r="I20" s="7"/>
      <c r="J20" s="7"/>
      <c r="K20" s="7"/>
      <c r="L20" s="73"/>
      <c r="M20" s="7"/>
      <c r="N20" s="7"/>
    </row>
    <row r="21" spans="1:14" ht="15" customHeight="1" x14ac:dyDescent="0.3">
      <c r="A21" s="66" t="s">
        <v>330</v>
      </c>
      <c r="B21" s="85"/>
      <c r="C21" s="7"/>
      <c r="D21" s="7"/>
      <c r="E21" s="7"/>
      <c r="F21" s="80"/>
      <c r="G21" s="70" t="s">
        <v>236</v>
      </c>
      <c r="H21" s="71"/>
      <c r="I21" s="7"/>
      <c r="J21" s="7"/>
      <c r="K21" s="7"/>
      <c r="L21" s="73"/>
      <c r="M21" s="7"/>
      <c r="N21" s="7"/>
    </row>
    <row r="22" spans="1:14" ht="15" customHeight="1" x14ac:dyDescent="0.3">
      <c r="A22" s="66" t="s">
        <v>237</v>
      </c>
      <c r="B22" s="85"/>
      <c r="C22" s="7"/>
      <c r="D22" s="7"/>
      <c r="E22" s="7"/>
      <c r="F22" s="80"/>
      <c r="G22" s="70" t="s">
        <v>238</v>
      </c>
      <c r="H22" s="71"/>
      <c r="I22" s="7"/>
      <c r="J22" s="7"/>
      <c r="K22" s="7"/>
      <c r="L22" s="73"/>
      <c r="M22" s="7"/>
      <c r="N22" s="7"/>
    </row>
    <row r="23" spans="1:14" ht="15" customHeight="1" x14ac:dyDescent="0.3">
      <c r="A23" s="66" t="s">
        <v>331</v>
      </c>
      <c r="B23" s="85"/>
      <c r="C23" s="7"/>
      <c r="D23" s="7"/>
      <c r="E23" s="7"/>
      <c r="F23" s="80"/>
      <c r="G23" s="70" t="s">
        <v>240</v>
      </c>
      <c r="H23" s="71"/>
      <c r="I23" s="7"/>
      <c r="J23" s="7"/>
      <c r="K23" s="7"/>
      <c r="L23" s="73"/>
      <c r="M23" s="7"/>
      <c r="N23" s="7"/>
    </row>
    <row r="24" spans="1:14" ht="15" customHeight="1" x14ac:dyDescent="0.3">
      <c r="A24" s="66" t="s">
        <v>241</v>
      </c>
      <c r="B24" s="85"/>
      <c r="C24" s="7"/>
      <c r="D24" s="7"/>
      <c r="E24" s="7"/>
      <c r="F24" s="80"/>
      <c r="G24" s="70" t="s">
        <v>73</v>
      </c>
      <c r="H24" s="71"/>
      <c r="I24" s="7"/>
      <c r="J24" s="7"/>
      <c r="K24" s="7"/>
      <c r="L24" s="73"/>
      <c r="M24" s="7"/>
      <c r="N24" s="7"/>
    </row>
    <row r="25" spans="1:14" ht="15" customHeight="1" x14ac:dyDescent="0.3">
      <c r="A25" s="66" t="s">
        <v>242</v>
      </c>
      <c r="B25" s="85"/>
      <c r="C25" s="7"/>
      <c r="D25" s="7"/>
      <c r="E25" s="7"/>
      <c r="F25" s="80"/>
      <c r="G25" s="70" t="s">
        <v>243</v>
      </c>
      <c r="H25" s="71"/>
      <c r="I25" s="7"/>
      <c r="J25" s="7"/>
      <c r="K25" s="7"/>
      <c r="L25" s="73"/>
      <c r="M25" s="7"/>
      <c r="N25" s="7"/>
    </row>
    <row r="26" spans="1:14" ht="15" customHeight="1" x14ac:dyDescent="0.3">
      <c r="A26" s="66" t="s">
        <v>244</v>
      </c>
      <c r="B26" s="85"/>
      <c r="C26" s="7"/>
      <c r="D26" s="7"/>
      <c r="E26" s="7"/>
      <c r="F26" s="80"/>
      <c r="G26" s="70" t="s">
        <v>245</v>
      </c>
      <c r="H26" s="71"/>
      <c r="I26" s="7"/>
      <c r="J26" s="7"/>
      <c r="K26" s="7"/>
      <c r="L26" s="73"/>
      <c r="M26" s="7"/>
      <c r="N26" s="7"/>
    </row>
    <row r="27" spans="1:14" ht="15" customHeight="1" x14ac:dyDescent="0.3">
      <c r="A27" s="66" t="s">
        <v>246</v>
      </c>
      <c r="B27" s="85"/>
      <c r="C27" s="7"/>
      <c r="D27" s="7"/>
      <c r="E27" s="7"/>
      <c r="F27" s="80"/>
      <c r="G27" s="70" t="s">
        <v>247</v>
      </c>
      <c r="H27" s="71"/>
      <c r="I27" s="7"/>
      <c r="J27" s="7"/>
      <c r="K27" s="7"/>
      <c r="L27" s="73"/>
      <c r="M27" s="7"/>
      <c r="N27" s="5"/>
    </row>
    <row r="28" spans="1:14" ht="15" customHeight="1" x14ac:dyDescent="0.3">
      <c r="A28" s="66" t="s">
        <v>248</v>
      </c>
      <c r="B28" s="85"/>
      <c r="C28" s="7"/>
      <c r="D28" s="7"/>
      <c r="E28" s="7"/>
      <c r="F28" s="80"/>
      <c r="G28" s="70" t="s">
        <v>249</v>
      </c>
      <c r="H28" s="71"/>
      <c r="I28" s="7"/>
      <c r="J28" s="7"/>
      <c r="K28" s="7"/>
      <c r="L28" s="73"/>
      <c r="M28" s="7"/>
      <c r="N28" s="5"/>
    </row>
    <row r="29" spans="1:14" ht="15" customHeight="1" x14ac:dyDescent="0.3">
      <c r="A29" s="66" t="s">
        <v>250</v>
      </c>
      <c r="B29" s="85"/>
      <c r="C29" s="7"/>
      <c r="D29" s="7"/>
      <c r="E29" s="7"/>
      <c r="F29" s="80"/>
      <c r="G29" s="70" t="s">
        <v>251</v>
      </c>
      <c r="H29" s="71"/>
      <c r="I29" s="7"/>
      <c r="J29" s="7"/>
      <c r="K29" s="7"/>
      <c r="L29" s="73"/>
      <c r="M29" s="7"/>
      <c r="N29" s="5"/>
    </row>
    <row r="30" spans="1:14" ht="15" customHeight="1" x14ac:dyDescent="0.3">
      <c r="A30" s="66" t="s">
        <v>252</v>
      </c>
      <c r="B30" s="85"/>
      <c r="C30" s="7"/>
      <c r="D30" s="7"/>
      <c r="E30" s="7"/>
      <c r="F30" s="80"/>
      <c r="G30" s="70" t="s">
        <v>253</v>
      </c>
      <c r="H30" s="71"/>
      <c r="I30" s="7"/>
      <c r="J30" s="7"/>
      <c r="K30" s="7"/>
      <c r="L30" s="73"/>
      <c r="M30" s="7"/>
      <c r="N30" s="5"/>
    </row>
    <row r="31" spans="1:14" ht="15" customHeight="1" x14ac:dyDescent="0.3">
      <c r="A31" s="66" t="s">
        <v>254</v>
      </c>
      <c r="B31" s="85"/>
      <c r="C31" s="7"/>
      <c r="D31" s="7"/>
      <c r="E31" s="7"/>
      <c r="F31" s="80"/>
      <c r="G31" s="70" t="s">
        <v>255</v>
      </c>
      <c r="H31" s="71"/>
      <c r="I31" s="7"/>
      <c r="J31" s="7"/>
      <c r="K31" s="7"/>
      <c r="L31" s="73"/>
      <c r="M31" s="7"/>
      <c r="N31" s="5"/>
    </row>
    <row r="32" spans="1:14" ht="15" customHeight="1" x14ac:dyDescent="0.3">
      <c r="A32" s="66" t="s">
        <v>256</v>
      </c>
      <c r="B32" s="85"/>
      <c r="C32" s="7"/>
      <c r="D32" s="7"/>
      <c r="E32" s="7"/>
      <c r="F32" s="80"/>
      <c r="G32" s="70" t="s">
        <v>257</v>
      </c>
      <c r="H32" s="71"/>
      <c r="I32" s="7"/>
      <c r="J32" s="7"/>
      <c r="K32" s="7"/>
      <c r="L32" s="73"/>
      <c r="M32" s="7"/>
      <c r="N32" s="5"/>
    </row>
    <row r="33" spans="1:14" ht="15" customHeight="1" x14ac:dyDescent="0.3">
      <c r="A33" s="66" t="s">
        <v>258</v>
      </c>
      <c r="B33" s="85"/>
      <c r="C33" s="7"/>
      <c r="D33" s="7"/>
      <c r="E33" s="7"/>
      <c r="F33" s="80"/>
      <c r="G33" s="70" t="s">
        <v>259</v>
      </c>
      <c r="H33" s="71"/>
      <c r="I33" s="7"/>
      <c r="J33" s="7"/>
      <c r="K33" s="7"/>
      <c r="L33" s="73"/>
      <c r="M33" s="7"/>
      <c r="N33" s="5"/>
    </row>
    <row r="34" spans="1:14" ht="15" customHeight="1" x14ac:dyDescent="0.3">
      <c r="A34" s="66" t="s">
        <v>260</v>
      </c>
      <c r="B34" s="85"/>
      <c r="C34" s="7"/>
      <c r="D34" s="7"/>
      <c r="E34" s="7"/>
      <c r="F34" s="80"/>
      <c r="G34" s="70" t="s">
        <v>332</v>
      </c>
      <c r="H34" s="71"/>
      <c r="I34" s="7"/>
      <c r="J34" s="7"/>
      <c r="K34" s="7"/>
      <c r="L34" s="73"/>
      <c r="M34" s="7"/>
      <c r="N34" s="5"/>
    </row>
    <row r="35" spans="1:14" ht="15" customHeight="1" x14ac:dyDescent="0.3">
      <c r="A35" s="66" t="s">
        <v>262</v>
      </c>
      <c r="B35" s="85"/>
      <c r="C35" s="7"/>
      <c r="D35" s="7"/>
      <c r="E35" s="7"/>
      <c r="F35" s="80"/>
      <c r="G35" s="70" t="s">
        <v>263</v>
      </c>
      <c r="H35" s="71"/>
      <c r="I35" s="7"/>
      <c r="J35" s="7"/>
      <c r="K35" s="7"/>
      <c r="L35" s="73"/>
      <c r="M35" s="7"/>
      <c r="N35" s="5"/>
    </row>
    <row r="36" spans="1:14" ht="15" customHeight="1" x14ac:dyDescent="0.3">
      <c r="A36" s="66" t="s">
        <v>264</v>
      </c>
      <c r="B36" s="85"/>
      <c r="C36" s="7"/>
      <c r="D36" s="7"/>
      <c r="E36" s="7"/>
      <c r="F36" s="80"/>
      <c r="G36" s="70" t="s">
        <v>265</v>
      </c>
      <c r="H36" s="70"/>
      <c r="I36" s="7"/>
      <c r="J36" s="7"/>
      <c r="K36" s="7"/>
      <c r="L36" s="73"/>
      <c r="M36" s="7"/>
      <c r="N36" s="5"/>
    </row>
    <row r="37" spans="1:14" ht="15" customHeight="1" x14ac:dyDescent="0.3">
      <c r="A37" s="66" t="s">
        <v>266</v>
      </c>
      <c r="B37" s="85"/>
      <c r="C37" s="7"/>
      <c r="D37" s="7"/>
      <c r="E37" s="7"/>
      <c r="F37" s="80"/>
      <c r="G37" s="70" t="s">
        <v>267</v>
      </c>
      <c r="H37" s="71"/>
      <c r="I37" s="7"/>
      <c r="J37" s="7"/>
      <c r="K37" s="7"/>
      <c r="L37" s="73"/>
      <c r="M37" s="7"/>
      <c r="N37" s="5"/>
    </row>
    <row r="38" spans="1:14" ht="15" customHeight="1" x14ac:dyDescent="0.3">
      <c r="A38" s="66" t="s">
        <v>268</v>
      </c>
      <c r="B38" s="85"/>
      <c r="C38" s="7"/>
      <c r="D38" s="7"/>
      <c r="E38" s="7"/>
      <c r="F38" s="80"/>
      <c r="G38" s="7" t="s">
        <v>269</v>
      </c>
      <c r="H38" s="71"/>
      <c r="I38" s="7"/>
      <c r="J38" s="7"/>
      <c r="K38" s="7"/>
      <c r="L38" s="73"/>
      <c r="M38" s="7"/>
      <c r="N38" s="5"/>
    </row>
    <row r="39" spans="1:14" ht="15" customHeight="1" x14ac:dyDescent="0.3">
      <c r="A39" s="66" t="s">
        <v>270</v>
      </c>
      <c r="B39" s="85"/>
      <c r="C39" s="7"/>
      <c r="D39" s="7"/>
      <c r="E39" s="7"/>
      <c r="F39" s="80"/>
      <c r="G39" s="7"/>
      <c r="H39" s="71"/>
      <c r="I39" s="7"/>
      <c r="J39" s="7"/>
      <c r="K39" s="7"/>
      <c r="L39" s="73"/>
      <c r="M39" s="7"/>
      <c r="N39" s="5"/>
    </row>
    <row r="40" spans="1:14" ht="15" customHeight="1" x14ac:dyDescent="0.3">
      <c r="A40" s="66" t="s">
        <v>271</v>
      </c>
      <c r="B40" s="85"/>
      <c r="C40" s="7"/>
      <c r="D40" s="7"/>
      <c r="E40" s="7"/>
      <c r="F40" s="80"/>
      <c r="G40" s="7"/>
      <c r="H40" s="71"/>
      <c r="I40" s="7"/>
      <c r="J40" s="7"/>
      <c r="K40" s="7"/>
      <c r="L40" s="73"/>
      <c r="M40" s="7"/>
      <c r="N40" s="5"/>
    </row>
    <row r="41" spans="1:14" ht="15" customHeight="1" x14ac:dyDescent="0.3">
      <c r="A41" s="66" t="s">
        <v>272</v>
      </c>
      <c r="B41" s="85"/>
      <c r="C41" s="7"/>
      <c r="D41" s="7"/>
      <c r="E41" s="7"/>
      <c r="F41" s="80"/>
      <c r="G41" s="7"/>
      <c r="H41" s="71"/>
      <c r="I41" s="7"/>
      <c r="J41" s="7"/>
      <c r="K41" s="7"/>
      <c r="L41" s="73"/>
      <c r="M41" s="7"/>
      <c r="N41" s="5"/>
    </row>
    <row r="42" spans="1:14" ht="15" customHeight="1" x14ac:dyDescent="0.3">
      <c r="A42" s="66" t="s">
        <v>273</v>
      </c>
      <c r="B42" s="85"/>
      <c r="C42" s="7"/>
      <c r="D42" s="7"/>
      <c r="E42" s="7"/>
      <c r="F42" s="80"/>
      <c r="G42" s="7"/>
      <c r="H42" s="71"/>
      <c r="I42" s="7"/>
      <c r="J42" s="7"/>
      <c r="K42" s="7"/>
      <c r="L42" s="73"/>
      <c r="M42" s="7"/>
      <c r="N42" s="5"/>
    </row>
    <row r="43" spans="1:14" ht="15" customHeight="1" x14ac:dyDescent="0.3">
      <c r="A43" s="66" t="s">
        <v>274</v>
      </c>
      <c r="B43" s="85"/>
      <c r="C43" s="7"/>
      <c r="D43" s="7"/>
      <c r="E43" s="7"/>
      <c r="F43" s="80"/>
      <c r="G43" s="7"/>
      <c r="H43" s="71"/>
      <c r="I43" s="7"/>
      <c r="J43" s="7"/>
      <c r="K43" s="7"/>
      <c r="L43" s="73"/>
      <c r="M43" s="7"/>
      <c r="N43" s="5"/>
    </row>
    <row r="44" spans="1:14" ht="15" customHeight="1" x14ac:dyDescent="0.3">
      <c r="A44" s="66" t="s">
        <v>275</v>
      </c>
      <c r="B44" s="85"/>
      <c r="C44" s="7"/>
      <c r="D44" s="7"/>
      <c r="E44" s="7"/>
      <c r="F44" s="80"/>
      <c r="G44" s="7"/>
      <c r="H44" s="71"/>
      <c r="I44" s="7"/>
      <c r="J44" s="7"/>
      <c r="K44" s="7"/>
      <c r="L44" s="73"/>
      <c r="M44" s="7"/>
      <c r="N44" s="5"/>
    </row>
    <row r="45" spans="1:14" ht="15" customHeight="1" x14ac:dyDescent="0.3">
      <c r="A45" s="66" t="s">
        <v>276</v>
      </c>
      <c r="B45" s="85"/>
      <c r="C45" s="7"/>
      <c r="D45" s="7"/>
      <c r="E45" s="7"/>
      <c r="F45" s="80"/>
      <c r="G45" s="7"/>
      <c r="H45" s="71"/>
      <c r="I45" s="7"/>
      <c r="J45" s="7"/>
      <c r="K45" s="7"/>
      <c r="L45" s="73"/>
      <c r="M45" s="7"/>
      <c r="N45" s="5"/>
    </row>
    <row r="46" spans="1:14" x14ac:dyDescent="0.3">
      <c r="A46" s="7"/>
      <c r="B46" s="85"/>
      <c r="C46" s="7"/>
      <c r="D46" s="7"/>
      <c r="E46" s="7"/>
      <c r="F46" s="80"/>
      <c r="G46" s="7"/>
      <c r="H46" s="71"/>
      <c r="I46" s="7"/>
      <c r="J46" s="7"/>
      <c r="K46" s="7"/>
      <c r="L46" s="73"/>
      <c r="M46" s="7"/>
      <c r="N46" s="5"/>
    </row>
    <row r="47" spans="1:14" x14ac:dyDescent="0.3">
      <c r="A47" s="7"/>
      <c r="B47" s="85"/>
      <c r="C47" s="7"/>
      <c r="D47" s="7"/>
      <c r="E47" s="7"/>
      <c r="F47" s="80"/>
      <c r="G47" s="7"/>
      <c r="H47" s="71"/>
      <c r="I47" s="7"/>
      <c r="J47" s="7"/>
      <c r="K47" s="7"/>
      <c r="M47" s="7"/>
      <c r="N47" s="5"/>
    </row>
    <row r="48" spans="1:14" x14ac:dyDescent="0.3">
      <c r="A48" s="7"/>
      <c r="B48" s="85"/>
      <c r="C48" s="7"/>
      <c r="D48" s="7"/>
      <c r="E48" s="7"/>
      <c r="F48" s="80"/>
      <c r="G48" s="7"/>
      <c r="H48" s="71"/>
      <c r="I48" s="7"/>
      <c r="J48" s="7"/>
      <c r="K48" s="7"/>
      <c r="M48" s="7"/>
      <c r="N48" s="5"/>
    </row>
    <row r="49" spans="1:14" x14ac:dyDescent="0.3">
      <c r="A49" s="7"/>
      <c r="B49" s="85"/>
      <c r="C49" s="7"/>
      <c r="D49" s="7"/>
      <c r="E49" s="7"/>
      <c r="F49" s="80"/>
      <c r="G49" s="7"/>
      <c r="H49" s="71"/>
      <c r="I49" s="7"/>
      <c r="J49" s="7"/>
      <c r="K49" s="7"/>
      <c r="M49" s="7"/>
      <c r="N49" s="5"/>
    </row>
    <row r="50" spans="1:14" x14ac:dyDescent="0.3">
      <c r="A50" s="7"/>
      <c r="B50" s="85"/>
      <c r="C50" s="7"/>
      <c r="D50" s="7"/>
      <c r="E50" s="7"/>
      <c r="F50" s="80"/>
      <c r="G50" s="7"/>
      <c r="H50" s="71"/>
      <c r="I50" s="7"/>
      <c r="J50" s="7"/>
      <c r="K50" s="7"/>
      <c r="M50" s="7"/>
      <c r="N50" s="5"/>
    </row>
    <row r="51" spans="1:14" x14ac:dyDescent="0.3">
      <c r="A51" s="7"/>
      <c r="B51" s="85"/>
      <c r="C51" s="7"/>
      <c r="D51" s="7"/>
      <c r="E51" s="7"/>
      <c r="F51" s="80"/>
      <c r="G51" s="7"/>
      <c r="H51" s="71"/>
      <c r="I51" s="7"/>
      <c r="J51" s="7"/>
      <c r="K51" s="7"/>
      <c r="M51" s="7"/>
      <c r="N51" s="5"/>
    </row>
    <row r="52" spans="1:14" x14ac:dyDescent="0.3">
      <c r="A52" s="7"/>
      <c r="B52" s="85"/>
      <c r="C52" s="7"/>
      <c r="D52" s="7"/>
      <c r="E52" s="7"/>
      <c r="F52" s="80"/>
      <c r="G52" s="7"/>
      <c r="H52" s="71"/>
      <c r="I52" s="7"/>
      <c r="J52" s="7"/>
      <c r="K52" s="7"/>
      <c r="M52" s="7"/>
      <c r="N52" s="5"/>
    </row>
    <row r="53" spans="1:14" x14ac:dyDescent="0.3">
      <c r="A53" s="7"/>
      <c r="B53" s="85"/>
      <c r="C53" s="7"/>
      <c r="D53" s="7"/>
      <c r="E53" s="7"/>
      <c r="F53" s="80"/>
      <c r="G53" s="7"/>
      <c r="H53" s="71"/>
      <c r="I53" s="7"/>
      <c r="J53" s="7"/>
      <c r="K53" s="7"/>
      <c r="M53" s="7"/>
      <c r="N53" s="5"/>
    </row>
    <row r="54" spans="1:14" x14ac:dyDescent="0.3">
      <c r="A54" s="7"/>
      <c r="B54" s="85"/>
      <c r="C54" s="7"/>
      <c r="D54" s="7"/>
      <c r="E54" s="7"/>
      <c r="F54" s="80"/>
      <c r="G54" s="7"/>
      <c r="H54" s="71"/>
      <c r="I54" s="7"/>
      <c r="J54" s="7"/>
      <c r="K54" s="7"/>
      <c r="M54" s="7"/>
      <c r="N54" s="5"/>
    </row>
    <row r="55" spans="1:14" x14ac:dyDescent="0.3">
      <c r="A55" s="7"/>
      <c r="B55" s="85"/>
      <c r="C55" s="7"/>
      <c r="D55" s="7"/>
      <c r="E55" s="7"/>
      <c r="F55" s="80"/>
      <c r="G55" s="7"/>
      <c r="H55" s="71"/>
      <c r="I55" s="7"/>
      <c r="J55" s="7"/>
      <c r="K55" s="7"/>
      <c r="M55" s="7"/>
      <c r="N55" s="5"/>
    </row>
    <row r="56" spans="1:14" x14ac:dyDescent="0.3">
      <c r="A56" s="5"/>
      <c r="B56" s="5"/>
      <c r="C56" s="5"/>
      <c r="D56" s="5"/>
      <c r="E56" s="5"/>
      <c r="F56" s="86"/>
      <c r="G56" s="5"/>
      <c r="H56" s="87"/>
      <c r="I56" s="5"/>
      <c r="J56" s="5"/>
      <c r="K56" s="5"/>
      <c r="M56" s="5"/>
      <c r="N56" s="5"/>
    </row>
    <row r="57" spans="1:14" x14ac:dyDescent="0.3">
      <c r="A57" s="5"/>
      <c r="B57" s="5"/>
      <c r="C57" s="5"/>
      <c r="D57" s="5"/>
      <c r="E57" s="5"/>
      <c r="F57" s="86"/>
      <c r="G57" s="5"/>
      <c r="H57" s="87"/>
      <c r="I57" s="5"/>
      <c r="J57" s="5"/>
      <c r="K57" s="5"/>
      <c r="M57" s="5"/>
      <c r="N57" s="5"/>
    </row>
    <row r="58" spans="1:14" x14ac:dyDescent="0.3">
      <c r="A58" s="5"/>
      <c r="B58" s="5"/>
      <c r="C58" s="5"/>
      <c r="D58" s="5"/>
      <c r="E58" s="5"/>
      <c r="F58" s="86"/>
      <c r="G58" s="5"/>
      <c r="H58" s="87"/>
      <c r="I58" s="5"/>
      <c r="J58" s="5"/>
      <c r="K58" s="5"/>
      <c r="M58" s="5"/>
      <c r="N58" s="5"/>
    </row>
    <row r="59" spans="1:14" x14ac:dyDescent="0.3">
      <c r="A59" s="5"/>
      <c r="B59" s="5"/>
      <c r="C59" s="5"/>
      <c r="D59" s="5"/>
      <c r="E59" s="5"/>
      <c r="F59" s="86"/>
      <c r="G59" s="5"/>
      <c r="H59" s="87"/>
      <c r="I59" s="5"/>
      <c r="J59" s="5"/>
      <c r="K59" s="5"/>
      <c r="M59" s="5"/>
      <c r="N59" s="5"/>
    </row>
    <row r="60" spans="1:14" x14ac:dyDescent="0.3">
      <c r="A60" s="5"/>
      <c r="B60" s="5"/>
      <c r="C60" s="5"/>
      <c r="D60" s="5"/>
      <c r="E60" s="5"/>
      <c r="F60" s="86"/>
      <c r="G60" s="5"/>
      <c r="H60" s="87"/>
      <c r="I60" s="5"/>
      <c r="J60" s="5"/>
      <c r="K60" s="5"/>
      <c r="M60" s="5"/>
      <c r="N6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32</vt:i4>
      </vt:variant>
    </vt:vector>
  </HeadingPairs>
  <TitlesOfParts>
    <vt:vector size="32" baseType="lpstr">
      <vt:lpstr>SALE</vt:lpstr>
      <vt:lpstr>SALES RETURN</vt:lpstr>
      <vt:lpstr>SALE PARTYWISE </vt:lpstr>
      <vt:lpstr>SALE HSN SUMMRY</vt:lpstr>
      <vt:lpstr>SALE NIL EXP ZERO </vt:lpstr>
      <vt:lpstr>SALE REVISED DETAIL</vt:lpstr>
      <vt:lpstr>SALES RETURN UN</vt:lpstr>
      <vt:lpstr>SALE DOC</vt:lpstr>
      <vt:lpstr>SALE MASTER</vt:lpstr>
      <vt:lpstr>SALE PARTY MASTR </vt:lpstr>
      <vt:lpstr>SALE HSN MASTER </vt:lpstr>
      <vt:lpstr>PURCHASE</vt:lpstr>
      <vt:lpstr>PUR-HSN MASTER</vt:lpstr>
      <vt:lpstr>PURCHASE RETURN</vt:lpstr>
      <vt:lpstr>PUR-IMPORT GOODS</vt:lpstr>
      <vt:lpstr>PUR-HSN SUMM</vt:lpstr>
      <vt:lpstr>PUR-EXEP NIL ZERO</vt:lpstr>
      <vt:lpstr>PUR-ITC RULE 37 42 43</vt:lpstr>
      <vt:lpstr>PUR-RMC</vt:lpstr>
      <vt:lpstr>PUR-PARTYWISE</vt:lpstr>
      <vt:lpstr>RETURN WORKING</vt:lpstr>
      <vt:lpstr>RETURN GSTRN3B SUMMERY</vt:lpstr>
      <vt:lpstr>Reco</vt:lpstr>
      <vt:lpstr>PUR-IMPORT SERVICE</vt:lpstr>
      <vt:lpstr>PUR-ISD</vt:lpstr>
      <vt:lpstr>PUR-ADV</vt:lpstr>
      <vt:lpstr>PUR-ADV ADJ</vt:lpstr>
      <vt:lpstr>TDS TCS</vt:lpstr>
      <vt:lpstr>PUR-ITC-SEC -17</vt:lpstr>
      <vt:lpstr>PUR-PARTY MASTER</vt:lpstr>
      <vt:lpstr>PUR-RMC MASTER</vt:lpstr>
      <vt:lpstr>PURCHASE MASTER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2018-03-28T06:37:58Z</dcterms:modified>
</cp:coreProperties>
</file>