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040" windowHeight="8016" firstSheet="6" activeTab="8"/>
  </bookViews>
  <sheets>
    <sheet name="SALES" sheetId="19" r:id="rId1"/>
    <sheet name="PARTYWISE SALE" sheetId="15" r:id="rId2"/>
    <sheet name="HSN SALE SUMMERY" sheetId="16" r:id="rId3"/>
    <sheet name="PURCHASE" sheetId="20" r:id="rId4"/>
    <sheet name="PARTYWISE PURCHASE" sheetId="17" r:id="rId5"/>
    <sheet name="HSN PURCHASE SUMMERY" sheetId="18" r:id="rId6"/>
    <sheet name="REVERSE CHARGE MECHANISM " sheetId="22" r:id="rId7"/>
    <sheet name="EXEMPTED NIL NON GST PURCHASE" sheetId="23" r:id="rId8"/>
    <sheet name="RETURN SUMMERY" sheetId="21" r:id="rId9"/>
    <sheet name="B2B" sheetId="4" r:id="rId10"/>
    <sheet name="B2CLARG" sheetId="5" r:id="rId11"/>
    <sheet name="B2CSMALL" sheetId="6" r:id="rId12"/>
    <sheet name="DEBIT CREDIT NOTE" sheetId="7" r:id="rId13"/>
    <sheet name="DEBIT NOTE CREDIT NOTE URD" sheetId="8" r:id="rId14"/>
    <sheet name="EXPORT" sheetId="9" r:id="rId15"/>
    <sheet name="ADVANCE" sheetId="10" r:id="rId16"/>
    <sheet name="ADVANCE ADJ" sheetId="11" r:id="rId17"/>
    <sheet name="EXEMPED NIL RETURN" sheetId="12" r:id="rId18"/>
    <sheet name="HSN SUMMERY" sheetId="13" r:id="rId19"/>
    <sheet name="DOC SUMMERY" sheetId="14" r:id="rId20"/>
  </sheets>
  <definedNames>
    <definedName name="_xlnm._FilterDatabase" localSheetId="5" hidden="1">'HSN PURCHASE SUMMERY'!$A$1:$A$65</definedName>
    <definedName name="_xlnm._FilterDatabase" localSheetId="4" hidden="1">'PARTYWISE PURCHASE'!$A$4:$J$36</definedName>
    <definedName name="_xlnm._FilterDatabase" localSheetId="3" hidden="1">PURCHASE!$A$6:$X$337</definedName>
    <definedName name="_xlnm._FilterDatabase" localSheetId="0" hidden="1">SALES!$A$1:$A$365</definedName>
  </definedNames>
  <calcPr calcId="152511"/>
</workbook>
</file>

<file path=xl/calcChain.xml><?xml version="1.0" encoding="utf-8"?>
<calcChain xmlns="http://schemas.openxmlformats.org/spreadsheetml/2006/main">
  <c r="G41" i="21" l="1"/>
  <c r="F41" i="21"/>
  <c r="G40" i="21"/>
  <c r="F40" i="21"/>
  <c r="I48" i="21"/>
  <c r="H48" i="21"/>
  <c r="I47" i="21"/>
  <c r="H47" i="21"/>
  <c r="L30" i="22"/>
  <c r="Q30" i="22" s="1"/>
  <c r="X333" i="20"/>
  <c r="W333" i="20"/>
  <c r="V333" i="20"/>
  <c r="N333" i="20"/>
  <c r="M333" i="20"/>
  <c r="L333" i="20"/>
  <c r="K333" i="20"/>
  <c r="E333" i="20"/>
  <c r="H37" i="21"/>
  <c r="L17" i="22"/>
  <c r="Q17" i="22" s="1"/>
  <c r="Z338" i="20" l="1"/>
  <c r="Z421" i="20"/>
  <c r="AB421" i="20" s="1"/>
  <c r="Y421" i="20"/>
  <c r="AA421" i="20" s="1"/>
  <c r="Z420" i="20"/>
  <c r="AB420" i="20" s="1"/>
  <c r="Y420" i="20"/>
  <c r="AA420" i="20" s="1"/>
  <c r="Z419" i="20"/>
  <c r="AB419" i="20" s="1"/>
  <c r="Y419" i="20"/>
  <c r="AA419" i="20" s="1"/>
  <c r="Z418" i="20"/>
  <c r="AB418" i="20" s="1"/>
  <c r="Y418" i="20"/>
  <c r="AA418" i="20" s="1"/>
  <c r="Z417" i="20"/>
  <c r="AB417" i="20" s="1"/>
  <c r="Y417" i="20"/>
  <c r="AA417" i="20" s="1"/>
  <c r="Z416" i="20"/>
  <c r="AB416" i="20" s="1"/>
  <c r="Y416" i="20"/>
  <c r="AA416" i="20" s="1"/>
  <c r="Z415" i="20"/>
  <c r="AB415" i="20" s="1"/>
  <c r="Y415" i="20"/>
  <c r="AA415" i="20" s="1"/>
  <c r="Z414" i="20"/>
  <c r="AB414" i="20" s="1"/>
  <c r="Y414" i="20"/>
  <c r="AA414" i="20" s="1"/>
  <c r="Z413" i="20"/>
  <c r="AB413" i="20" s="1"/>
  <c r="Y413" i="20"/>
  <c r="AA413" i="20" s="1"/>
  <c r="Z412" i="20"/>
  <c r="AB412" i="20" s="1"/>
  <c r="Y412" i="20"/>
  <c r="AA412" i="20" s="1"/>
  <c r="Z411" i="20"/>
  <c r="AB411" i="20" s="1"/>
  <c r="Y411" i="20"/>
  <c r="AA411" i="20" s="1"/>
  <c r="Z410" i="20"/>
  <c r="AB410" i="20" s="1"/>
  <c r="Y410" i="20"/>
  <c r="AA410" i="20" s="1"/>
  <c r="Z409" i="20"/>
  <c r="AB409" i="20" s="1"/>
  <c r="Y409" i="20"/>
  <c r="AA409" i="20" s="1"/>
  <c r="Z408" i="20"/>
  <c r="AB408" i="20" s="1"/>
  <c r="Y408" i="20"/>
  <c r="AA408" i="20" s="1"/>
  <c r="Z407" i="20"/>
  <c r="AB407" i="20" s="1"/>
  <c r="Y407" i="20"/>
  <c r="AA407" i="20" s="1"/>
  <c r="Z406" i="20"/>
  <c r="AB406" i="20" s="1"/>
  <c r="Y406" i="20"/>
  <c r="AA406" i="20" s="1"/>
  <c r="AB405" i="20"/>
  <c r="Z405" i="20"/>
  <c r="Y405" i="20"/>
  <c r="AA405" i="20" s="1"/>
  <c r="Z404" i="20"/>
  <c r="AB404" i="20" s="1"/>
  <c r="Y404" i="20"/>
  <c r="AA404" i="20" s="1"/>
  <c r="Z403" i="20"/>
  <c r="AB403" i="20" s="1"/>
  <c r="Y403" i="20"/>
  <c r="AA403" i="20" s="1"/>
  <c r="Z402" i="20"/>
  <c r="AB402" i="20" s="1"/>
  <c r="Y402" i="20"/>
  <c r="AA402" i="20" s="1"/>
  <c r="Z401" i="20"/>
  <c r="AB401" i="20" s="1"/>
  <c r="Y401" i="20"/>
  <c r="AA401" i="20" s="1"/>
  <c r="Z400" i="20"/>
  <c r="AB400" i="20" s="1"/>
  <c r="Y400" i="20"/>
  <c r="AA400" i="20" s="1"/>
  <c r="Z399" i="20"/>
  <c r="AB399" i="20" s="1"/>
  <c r="Y399" i="20"/>
  <c r="AA399" i="20" s="1"/>
  <c r="Z398" i="20"/>
  <c r="AB398" i="20" s="1"/>
  <c r="Y398" i="20"/>
  <c r="AA398" i="20" s="1"/>
  <c r="Z397" i="20"/>
  <c r="AB397" i="20" s="1"/>
  <c r="Y397" i="20"/>
  <c r="AA397" i="20" s="1"/>
  <c r="Z396" i="20"/>
  <c r="AB396" i="20" s="1"/>
  <c r="Y396" i="20"/>
  <c r="AA396" i="20" s="1"/>
  <c r="AB395" i="20"/>
  <c r="Z395" i="20"/>
  <c r="Y395" i="20"/>
  <c r="AA395" i="20" s="1"/>
  <c r="Z394" i="20"/>
  <c r="AB394" i="20" s="1"/>
  <c r="Y394" i="20"/>
  <c r="AA394" i="20" s="1"/>
  <c r="Z393" i="20"/>
  <c r="AB393" i="20" s="1"/>
  <c r="Y393" i="20"/>
  <c r="AA393" i="20" s="1"/>
  <c r="Z392" i="20"/>
  <c r="AB392" i="20" s="1"/>
  <c r="Y392" i="20"/>
  <c r="AA392" i="20" s="1"/>
  <c r="Z391" i="20"/>
  <c r="AB391" i="20" s="1"/>
  <c r="Y391" i="20"/>
  <c r="AA391" i="20" s="1"/>
  <c r="Z390" i="20"/>
  <c r="AB390" i="20" s="1"/>
  <c r="Y390" i="20"/>
  <c r="AA390" i="20" s="1"/>
  <c r="Z389" i="20"/>
  <c r="AB389" i="20" s="1"/>
  <c r="Y389" i="20"/>
  <c r="AA389" i="20" s="1"/>
  <c r="Z388" i="20"/>
  <c r="AB388" i="20" s="1"/>
  <c r="Y388" i="20"/>
  <c r="AA388" i="20" s="1"/>
  <c r="Z387" i="20"/>
  <c r="AB387" i="20" s="1"/>
  <c r="Y387" i="20"/>
  <c r="AA387" i="20" s="1"/>
  <c r="Z386" i="20"/>
  <c r="AB386" i="20" s="1"/>
  <c r="Y386" i="20"/>
  <c r="AA386" i="20" s="1"/>
  <c r="Z385" i="20"/>
  <c r="AB385" i="20" s="1"/>
  <c r="Y385" i="20"/>
  <c r="AA385" i="20" s="1"/>
  <c r="Z384" i="20"/>
  <c r="AB384" i="20" s="1"/>
  <c r="Y384" i="20"/>
  <c r="AA384" i="20" s="1"/>
  <c r="Z383" i="20"/>
  <c r="AB383" i="20" s="1"/>
  <c r="Y383" i="20"/>
  <c r="AA383" i="20" s="1"/>
  <c r="Z382" i="20"/>
  <c r="AB382" i="20" s="1"/>
  <c r="Y382" i="20"/>
  <c r="AA382" i="20" s="1"/>
  <c r="Z381" i="20"/>
  <c r="AB381" i="20" s="1"/>
  <c r="Y381" i="20"/>
  <c r="AA381" i="20" s="1"/>
  <c r="Z380" i="20"/>
  <c r="AB380" i="20" s="1"/>
  <c r="Y380" i="20"/>
  <c r="AA380" i="20" s="1"/>
  <c r="Z379" i="20"/>
  <c r="AB379" i="20" s="1"/>
  <c r="Y379" i="20"/>
  <c r="AA379" i="20" s="1"/>
  <c r="Z378" i="20"/>
  <c r="AB378" i="20" s="1"/>
  <c r="Y378" i="20"/>
  <c r="AA378" i="20" s="1"/>
  <c r="Z377" i="20"/>
  <c r="AB377" i="20" s="1"/>
  <c r="Y377" i="20"/>
  <c r="AA377" i="20" s="1"/>
  <c r="Z376" i="20"/>
  <c r="AB376" i="20" s="1"/>
  <c r="Y376" i="20"/>
  <c r="AA376" i="20" s="1"/>
  <c r="Z375" i="20"/>
  <c r="AB375" i="20" s="1"/>
  <c r="Y375" i="20"/>
  <c r="AA375" i="20" s="1"/>
  <c r="Z374" i="20"/>
  <c r="AB374" i="20" s="1"/>
  <c r="Y374" i="20"/>
  <c r="AA374" i="20" s="1"/>
  <c r="Z373" i="20"/>
  <c r="AB373" i="20" s="1"/>
  <c r="Y373" i="20"/>
  <c r="AA373" i="20" s="1"/>
  <c r="Z372" i="20"/>
  <c r="AB372" i="20" s="1"/>
  <c r="Y372" i="20"/>
  <c r="AA372" i="20" s="1"/>
  <c r="Z371" i="20"/>
  <c r="AB371" i="20" s="1"/>
  <c r="Y371" i="20"/>
  <c r="AA371" i="20" s="1"/>
  <c r="Z370" i="20"/>
  <c r="AB370" i="20" s="1"/>
  <c r="Y370" i="20"/>
  <c r="AA370" i="20" s="1"/>
  <c r="Z369" i="20"/>
  <c r="AB369" i="20" s="1"/>
  <c r="Y369" i="20"/>
  <c r="AA369" i="20" s="1"/>
  <c r="Z368" i="20"/>
  <c r="AB368" i="20" s="1"/>
  <c r="Y368" i="20"/>
  <c r="AA368" i="20" s="1"/>
  <c r="Z367" i="20"/>
  <c r="AB367" i="20" s="1"/>
  <c r="Y367" i="20"/>
  <c r="AA367" i="20" s="1"/>
  <c r="Z366" i="20"/>
  <c r="AB366" i="20" s="1"/>
  <c r="Y366" i="20"/>
  <c r="AA366" i="20" s="1"/>
  <c r="Z365" i="20"/>
  <c r="AB365" i="20" s="1"/>
  <c r="Y365" i="20"/>
  <c r="AA365" i="20" s="1"/>
  <c r="Z364" i="20"/>
  <c r="AB364" i="20" s="1"/>
  <c r="Y364" i="20"/>
  <c r="AA364" i="20" s="1"/>
  <c r="Z363" i="20"/>
  <c r="AB363" i="20" s="1"/>
  <c r="Y363" i="20"/>
  <c r="AA363" i="20" s="1"/>
  <c r="Z362" i="20"/>
  <c r="AB362" i="20" s="1"/>
  <c r="Y362" i="20"/>
  <c r="AA362" i="20" s="1"/>
  <c r="Z361" i="20"/>
  <c r="AB361" i="20" s="1"/>
  <c r="Y361" i="20"/>
  <c r="AA361" i="20" s="1"/>
  <c r="Z360" i="20"/>
  <c r="AB360" i="20" s="1"/>
  <c r="Y360" i="20"/>
  <c r="AA360" i="20" s="1"/>
  <c r="Z359" i="20"/>
  <c r="AB359" i="20" s="1"/>
  <c r="Y359" i="20"/>
  <c r="AA359" i="20" s="1"/>
  <c r="Z358" i="20"/>
  <c r="AB358" i="20" s="1"/>
  <c r="Y358" i="20"/>
  <c r="AA358" i="20" s="1"/>
  <c r="AB357" i="20"/>
  <c r="Z357" i="20"/>
  <c r="Y357" i="20"/>
  <c r="AA357" i="20" s="1"/>
  <c r="Z356" i="20"/>
  <c r="AB356" i="20" s="1"/>
  <c r="Y356" i="20"/>
  <c r="AA356" i="20" s="1"/>
  <c r="Z355" i="20"/>
  <c r="AB355" i="20" s="1"/>
  <c r="Y355" i="20"/>
  <c r="AA355" i="20" s="1"/>
  <c r="Z354" i="20"/>
  <c r="AB354" i="20" s="1"/>
  <c r="Y354" i="20"/>
  <c r="AA354" i="20" s="1"/>
  <c r="Z353" i="20"/>
  <c r="AB353" i="20" s="1"/>
  <c r="Y353" i="20"/>
  <c r="AA353" i="20" s="1"/>
  <c r="Z352" i="20"/>
  <c r="AB352" i="20" s="1"/>
  <c r="Y352" i="20"/>
  <c r="AA352" i="20" s="1"/>
  <c r="Z351" i="20"/>
  <c r="AB351" i="20" s="1"/>
  <c r="Y351" i="20"/>
  <c r="AA351" i="20" s="1"/>
  <c r="Z350" i="20"/>
  <c r="AB350" i="20" s="1"/>
  <c r="Y350" i="20"/>
  <c r="AA350" i="20" s="1"/>
  <c r="AB349" i="20"/>
  <c r="Z349" i="20"/>
  <c r="Y349" i="20"/>
  <c r="AA349" i="20" s="1"/>
  <c r="Z348" i="20"/>
  <c r="AB348" i="20" s="1"/>
  <c r="Y348" i="20"/>
  <c r="AA348" i="20" s="1"/>
  <c r="Z347" i="20"/>
  <c r="AB347" i="20" s="1"/>
  <c r="Y347" i="20"/>
  <c r="AA347" i="20" s="1"/>
  <c r="Z346" i="20"/>
  <c r="AB346" i="20" s="1"/>
  <c r="Y346" i="20"/>
  <c r="AA346" i="20" s="1"/>
  <c r="AB345" i="20"/>
  <c r="Z345" i="20"/>
  <c r="Y345" i="20"/>
  <c r="AA345" i="20" s="1"/>
  <c r="Z344" i="20"/>
  <c r="AB344" i="20" s="1"/>
  <c r="Y344" i="20"/>
  <c r="AA344" i="20" s="1"/>
  <c r="Z343" i="20"/>
  <c r="AB343" i="20" s="1"/>
  <c r="Y343" i="20"/>
  <c r="AA343" i="20" s="1"/>
  <c r="Z342" i="20"/>
  <c r="AB342" i="20" s="1"/>
  <c r="Y342" i="20"/>
  <c r="AA342" i="20" s="1"/>
  <c r="AB341" i="20"/>
  <c r="Z341" i="20"/>
  <c r="Y341" i="20"/>
  <c r="AA341" i="20" s="1"/>
  <c r="Z340" i="20"/>
  <c r="AB340" i="20" s="1"/>
  <c r="Y340" i="20"/>
  <c r="AA340" i="20" s="1"/>
  <c r="Z339" i="20"/>
  <c r="AB339" i="20" s="1"/>
  <c r="Y339" i="20"/>
  <c r="AA339" i="20" s="1"/>
  <c r="AB338" i="20"/>
  <c r="AA338" i="20"/>
  <c r="Z328" i="20"/>
  <c r="AB328" i="20" s="1"/>
  <c r="Y328" i="20"/>
  <c r="AA328" i="20" s="1"/>
  <c r="Z327" i="20"/>
  <c r="AB327" i="20" s="1"/>
  <c r="Y327" i="20"/>
  <c r="AA327" i="20" s="1"/>
  <c r="Z326" i="20"/>
  <c r="AB326" i="20" s="1"/>
  <c r="Y326" i="20"/>
  <c r="AA326" i="20" s="1"/>
  <c r="Z325" i="20"/>
  <c r="AB325" i="20" s="1"/>
  <c r="Y325" i="20"/>
  <c r="AA325" i="20" s="1"/>
  <c r="Z310" i="20"/>
  <c r="AB310" i="20" s="1"/>
  <c r="Y310" i="20"/>
  <c r="AA310" i="20" s="1"/>
  <c r="Z305" i="20"/>
  <c r="AB305" i="20" s="1"/>
  <c r="Y305" i="20"/>
  <c r="AA305" i="20" s="1"/>
  <c r="Z303" i="20"/>
  <c r="AB303" i="20" s="1"/>
  <c r="Y303" i="20"/>
  <c r="AA303" i="20" s="1"/>
  <c r="Z299" i="20"/>
  <c r="AB299" i="20" s="1"/>
  <c r="Y299" i="20"/>
  <c r="AA299" i="20" s="1"/>
  <c r="Z296" i="20"/>
  <c r="AB296" i="20" s="1"/>
  <c r="Y296" i="20"/>
  <c r="AA296" i="20" s="1"/>
  <c r="Z290" i="20"/>
  <c r="AB290" i="20" s="1"/>
  <c r="Y290" i="20"/>
  <c r="AA290" i="20" s="1"/>
  <c r="Z286" i="20"/>
  <c r="AB286" i="20" s="1"/>
  <c r="Y286" i="20"/>
  <c r="AA286" i="20" s="1"/>
  <c r="Z277" i="20"/>
  <c r="AB277" i="20" s="1"/>
  <c r="Y277" i="20"/>
  <c r="AA277" i="20" s="1"/>
  <c r="Z276" i="20"/>
  <c r="AB276" i="20" s="1"/>
  <c r="Y276" i="20"/>
  <c r="AA276" i="20" s="1"/>
  <c r="Z275" i="20"/>
  <c r="AB275" i="20" s="1"/>
  <c r="Y275" i="20"/>
  <c r="AA275" i="20" s="1"/>
  <c r="Z274" i="20"/>
  <c r="AB274" i="20" s="1"/>
  <c r="Y274" i="20"/>
  <c r="AA274" i="20" s="1"/>
  <c r="Z267" i="20"/>
  <c r="AB267" i="20" s="1"/>
  <c r="Y267" i="20"/>
  <c r="AA267" i="20" s="1"/>
  <c r="Z266" i="20"/>
  <c r="AB266" i="20" s="1"/>
  <c r="Y266" i="20"/>
  <c r="AA266" i="20" s="1"/>
  <c r="Z261" i="20"/>
  <c r="AB261" i="20" s="1"/>
  <c r="Y261" i="20"/>
  <c r="AA261" i="20" s="1"/>
  <c r="Z254" i="20"/>
  <c r="AB254" i="20" s="1"/>
  <c r="Y254" i="20"/>
  <c r="AA254" i="20" s="1"/>
  <c r="Z249" i="20"/>
  <c r="AB249" i="20" s="1"/>
  <c r="Y249" i="20"/>
  <c r="AA249" i="20" s="1"/>
  <c r="Z248" i="20"/>
  <c r="AB248" i="20" s="1"/>
  <c r="Y248" i="20"/>
  <c r="AA248" i="20" s="1"/>
  <c r="Z245" i="20"/>
  <c r="AB245" i="20" s="1"/>
  <c r="Y245" i="20"/>
  <c r="AA245" i="20" s="1"/>
  <c r="Z244" i="20"/>
  <c r="AB244" i="20" s="1"/>
  <c r="Y244" i="20"/>
  <c r="AA244" i="20" s="1"/>
  <c r="Z243" i="20"/>
  <c r="AB243" i="20" s="1"/>
  <c r="Y243" i="20"/>
  <c r="AA243" i="20" s="1"/>
  <c r="Z238" i="20"/>
  <c r="AB238" i="20" s="1"/>
  <c r="Y238" i="20"/>
  <c r="AA238" i="20" s="1"/>
  <c r="Z237" i="20"/>
  <c r="AB237" i="20" s="1"/>
  <c r="Y237" i="20"/>
  <c r="AA237" i="20" s="1"/>
  <c r="Z218" i="20"/>
  <c r="AB218" i="20" s="1"/>
  <c r="Y218" i="20"/>
  <c r="AA218" i="20" s="1"/>
  <c r="Z214" i="20"/>
  <c r="AB214" i="20" s="1"/>
  <c r="Y214" i="20"/>
  <c r="AA214" i="20" s="1"/>
  <c r="Z203" i="20"/>
  <c r="AB203" i="20" s="1"/>
  <c r="Y203" i="20"/>
  <c r="AA203" i="20" s="1"/>
  <c r="Z201" i="20"/>
  <c r="AB201" i="20" s="1"/>
  <c r="Y201" i="20"/>
  <c r="AA201" i="20" s="1"/>
  <c r="Z188" i="20"/>
  <c r="AB188" i="20" s="1"/>
  <c r="Y188" i="20"/>
  <c r="AA188" i="20" s="1"/>
  <c r="Z181" i="20"/>
  <c r="AB181" i="20" s="1"/>
  <c r="Y181" i="20"/>
  <c r="AA181" i="20" s="1"/>
  <c r="Z178" i="20"/>
  <c r="AB178" i="20" s="1"/>
  <c r="Y178" i="20"/>
  <c r="AA178" i="20" s="1"/>
  <c r="Z177" i="20"/>
  <c r="AB177" i="20" s="1"/>
  <c r="Y177" i="20"/>
  <c r="AA177" i="20" s="1"/>
  <c r="Z172" i="20"/>
  <c r="AB172" i="20" s="1"/>
  <c r="Y172" i="20"/>
  <c r="AA172" i="20" s="1"/>
  <c r="Z161" i="20"/>
  <c r="AB161" i="20" s="1"/>
  <c r="Y161" i="20"/>
  <c r="AA161" i="20" s="1"/>
  <c r="Z160" i="20"/>
  <c r="AB160" i="20" s="1"/>
  <c r="Y160" i="20"/>
  <c r="AA160" i="20" s="1"/>
  <c r="Z155" i="20"/>
  <c r="AB155" i="20" s="1"/>
  <c r="Y155" i="20"/>
  <c r="AA155" i="20" s="1"/>
  <c r="Z154" i="20"/>
  <c r="AB154" i="20" s="1"/>
  <c r="Y154" i="20"/>
  <c r="AA154" i="20" s="1"/>
  <c r="Z147" i="20"/>
  <c r="AB147" i="20" s="1"/>
  <c r="Y147" i="20"/>
  <c r="AA147" i="20" s="1"/>
  <c r="Z143" i="20"/>
  <c r="AB143" i="20" s="1"/>
  <c r="Y143" i="20"/>
  <c r="AA143" i="20" s="1"/>
  <c r="Z137" i="20"/>
  <c r="AB137" i="20" s="1"/>
  <c r="Y137" i="20"/>
  <c r="AA137" i="20" s="1"/>
  <c r="Z86" i="20"/>
  <c r="AB86" i="20" s="1"/>
  <c r="Y86" i="20"/>
  <c r="AA86" i="20" s="1"/>
  <c r="Z84" i="20"/>
  <c r="AB84" i="20" s="1"/>
  <c r="Y84" i="20"/>
  <c r="AA84" i="20" s="1"/>
  <c r="Z79" i="20"/>
  <c r="AB79" i="20" s="1"/>
  <c r="Y79" i="20"/>
  <c r="AA79" i="20" s="1"/>
  <c r="Z57" i="20"/>
  <c r="AB57" i="20" s="1"/>
  <c r="Y57" i="20"/>
  <c r="AA57" i="20" s="1"/>
  <c r="Z56" i="20"/>
  <c r="AB56" i="20" s="1"/>
  <c r="Y56" i="20"/>
  <c r="AA56" i="20" s="1"/>
  <c r="Z53" i="20"/>
  <c r="AB53" i="20" s="1"/>
  <c r="Y53" i="20"/>
  <c r="AA53" i="20" s="1"/>
  <c r="Z38" i="20"/>
  <c r="AB38" i="20" s="1"/>
  <c r="Y38" i="20"/>
  <c r="AA38" i="20" s="1"/>
  <c r="Z34" i="20"/>
  <c r="AB34" i="20" s="1"/>
  <c r="Y34" i="20"/>
  <c r="AA34" i="20" s="1"/>
  <c r="Z33" i="20"/>
  <c r="AB33" i="20" s="1"/>
  <c r="Y33" i="20"/>
  <c r="AA33" i="20" s="1"/>
  <c r="Z32" i="20"/>
  <c r="AB32" i="20" s="1"/>
  <c r="Y32" i="20"/>
  <c r="AA32" i="20" s="1"/>
  <c r="Z31" i="20"/>
  <c r="AB31" i="20" s="1"/>
  <c r="Y31" i="20"/>
  <c r="AA31" i="20" s="1"/>
  <c r="Z30" i="20"/>
  <c r="AB30" i="20" s="1"/>
  <c r="Y30" i="20"/>
  <c r="AA30" i="20" s="1"/>
  <c r="Z29" i="20"/>
  <c r="AB29" i="20" s="1"/>
  <c r="Y29" i="20"/>
  <c r="AA29" i="20" s="1"/>
  <c r="Z27" i="20"/>
  <c r="AB27" i="20" s="1"/>
  <c r="Y27" i="20"/>
  <c r="AA27" i="20" s="1"/>
  <c r="Z26" i="20"/>
  <c r="AB26" i="20" s="1"/>
  <c r="Y26" i="20"/>
  <c r="AA26" i="20" s="1"/>
  <c r="Z25" i="20"/>
  <c r="AB25" i="20" s="1"/>
  <c r="Y25" i="20"/>
  <c r="AA25" i="20" s="1"/>
  <c r="Z21" i="20"/>
  <c r="AB21" i="20" s="1"/>
  <c r="Y21" i="20"/>
  <c r="AA21" i="20" s="1"/>
  <c r="Z20" i="20"/>
  <c r="AB20" i="20" s="1"/>
  <c r="Y20" i="20"/>
  <c r="AA20" i="20" s="1"/>
  <c r="Z14" i="20"/>
  <c r="AB14" i="20" s="1"/>
  <c r="Y14" i="20"/>
  <c r="AA14" i="20" s="1"/>
  <c r="Z13" i="20"/>
  <c r="AB13" i="20" s="1"/>
  <c r="Y13" i="20"/>
  <c r="AA13" i="20" s="1"/>
  <c r="Z12" i="20"/>
  <c r="AB12" i="20" s="1"/>
  <c r="Y12" i="20"/>
  <c r="AA12" i="20" s="1"/>
  <c r="W8" i="20" l="1"/>
  <c r="U92" i="19"/>
  <c r="N92" i="19"/>
  <c r="M92" i="19"/>
  <c r="H12" i="16" s="1"/>
  <c r="J14" i="16"/>
  <c r="I14" i="16"/>
  <c r="H14" i="16"/>
  <c r="G14" i="16"/>
  <c r="F14" i="16"/>
  <c r="E14" i="16"/>
  <c r="D14" i="16"/>
  <c r="J13" i="16"/>
  <c r="I13" i="16"/>
  <c r="H13" i="16"/>
  <c r="G13" i="16"/>
  <c r="F13" i="16"/>
  <c r="E13" i="16"/>
  <c r="D13" i="16"/>
  <c r="J12" i="16"/>
  <c r="I12" i="16"/>
  <c r="G12" i="16"/>
  <c r="F12" i="16"/>
  <c r="E12" i="16"/>
  <c r="D12" i="16"/>
  <c r="J11" i="16"/>
  <c r="G11" i="16"/>
  <c r="F11" i="16"/>
  <c r="E11" i="16"/>
  <c r="D11" i="16"/>
  <c r="J10" i="16"/>
  <c r="G10" i="16"/>
  <c r="F10" i="16"/>
  <c r="E10" i="16"/>
  <c r="D10" i="16"/>
  <c r="O35" i="22" l="1"/>
  <c r="F35" i="22"/>
  <c r="L14" i="22"/>
  <c r="Q14" i="22" s="1"/>
  <c r="J58" i="17" l="1"/>
  <c r="I58" i="17"/>
  <c r="H58" i="17"/>
  <c r="G58" i="17"/>
  <c r="F58" i="17"/>
  <c r="E58" i="17"/>
  <c r="D58" i="17"/>
  <c r="J57" i="17"/>
  <c r="I57" i="17"/>
  <c r="H57" i="17"/>
  <c r="G57" i="17"/>
  <c r="F57" i="17"/>
  <c r="E57" i="17"/>
  <c r="D57" i="17"/>
  <c r="J56" i="17"/>
  <c r="I56" i="17"/>
  <c r="H56" i="17"/>
  <c r="G56" i="17"/>
  <c r="F56" i="17"/>
  <c r="D56" i="17"/>
  <c r="J54" i="17"/>
  <c r="I54" i="17"/>
  <c r="H54" i="17"/>
  <c r="G54" i="17"/>
  <c r="F54" i="17"/>
  <c r="E54" i="17"/>
  <c r="J55" i="17"/>
  <c r="I55" i="17"/>
  <c r="H55" i="17"/>
  <c r="G55" i="17"/>
  <c r="F55" i="17"/>
  <c r="E55" i="17"/>
  <c r="D55" i="17"/>
  <c r="J53" i="17"/>
  <c r="I53" i="17"/>
  <c r="H53" i="17"/>
  <c r="G53" i="17"/>
  <c r="F53" i="17"/>
  <c r="E53" i="17"/>
  <c r="D53" i="17"/>
  <c r="J52" i="17"/>
  <c r="I52" i="17"/>
  <c r="H52" i="17"/>
  <c r="G52" i="17"/>
  <c r="F52" i="17"/>
  <c r="E52" i="17"/>
  <c r="D52" i="17"/>
  <c r="J51" i="17"/>
  <c r="I51" i="17"/>
  <c r="H51" i="17"/>
  <c r="G51" i="17"/>
  <c r="F51" i="17"/>
  <c r="E51" i="17"/>
  <c r="D51" i="17"/>
  <c r="J50" i="17"/>
  <c r="I50" i="17"/>
  <c r="H50" i="17"/>
  <c r="G50" i="17"/>
  <c r="F50" i="17"/>
  <c r="J49" i="17"/>
  <c r="I49" i="17"/>
  <c r="H49" i="17"/>
  <c r="G49" i="17"/>
  <c r="F49" i="17"/>
  <c r="E49" i="17"/>
  <c r="D49" i="17"/>
  <c r="J48" i="17"/>
  <c r="I48" i="17"/>
  <c r="H48" i="17"/>
  <c r="G48" i="17"/>
  <c r="F48" i="17"/>
  <c r="E48" i="17"/>
  <c r="D48" i="17"/>
  <c r="J47" i="17"/>
  <c r="I47" i="17"/>
  <c r="H47" i="17"/>
  <c r="G47" i="17"/>
  <c r="F47" i="17"/>
  <c r="E47" i="17"/>
  <c r="D47" i="17"/>
  <c r="J46" i="17"/>
  <c r="I46" i="17"/>
  <c r="H46" i="17"/>
  <c r="G46" i="17"/>
  <c r="F46" i="17"/>
  <c r="E46" i="17"/>
  <c r="D46" i="17"/>
  <c r="J45" i="17"/>
  <c r="I45" i="17"/>
  <c r="H45" i="17"/>
  <c r="G45" i="17"/>
  <c r="F45" i="17"/>
  <c r="E45" i="17"/>
  <c r="D45" i="17"/>
  <c r="J44" i="17"/>
  <c r="I44" i="17"/>
  <c r="H44" i="17"/>
  <c r="G44" i="17"/>
  <c r="F44" i="17"/>
  <c r="E44" i="17"/>
  <c r="D44" i="17"/>
  <c r="J43" i="17"/>
  <c r="I43" i="17"/>
  <c r="H43" i="17"/>
  <c r="G43" i="17"/>
  <c r="F43" i="17"/>
  <c r="E43" i="17"/>
  <c r="D43" i="17"/>
  <c r="J42" i="17"/>
  <c r="I42" i="17"/>
  <c r="H42" i="17"/>
  <c r="G42" i="17"/>
  <c r="F42" i="17"/>
  <c r="D42" i="17"/>
  <c r="J41" i="17"/>
  <c r="I41" i="17"/>
  <c r="H41" i="17"/>
  <c r="G41" i="17"/>
  <c r="F41" i="17"/>
  <c r="E41" i="17"/>
  <c r="D41" i="17"/>
  <c r="J19" i="15"/>
  <c r="G19" i="15"/>
  <c r="F19" i="15"/>
  <c r="E19" i="15"/>
  <c r="D19" i="15"/>
  <c r="J18" i="15"/>
  <c r="G18" i="15"/>
  <c r="F18" i="15"/>
  <c r="E18" i="15"/>
  <c r="D18" i="15"/>
  <c r="J6" i="15"/>
  <c r="G6" i="15"/>
  <c r="F6" i="15"/>
  <c r="E6" i="15"/>
  <c r="D6" i="15"/>
  <c r="J17" i="15"/>
  <c r="G17" i="15"/>
  <c r="U91" i="19"/>
  <c r="N91" i="19"/>
  <c r="M91" i="19"/>
  <c r="V365" i="19" l="1"/>
  <c r="T365" i="19"/>
  <c r="S365" i="19"/>
  <c r="O365" i="19"/>
  <c r="K365" i="19"/>
  <c r="E365" i="19"/>
  <c r="U362" i="19"/>
  <c r="N362" i="19"/>
  <c r="M362" i="19"/>
  <c r="U361" i="19"/>
  <c r="N361" i="19"/>
  <c r="M361" i="19"/>
  <c r="U360" i="19"/>
  <c r="N360" i="19"/>
  <c r="M360" i="19"/>
  <c r="U359" i="19"/>
  <c r="N359" i="19"/>
  <c r="M359" i="19"/>
  <c r="U358" i="19"/>
  <c r="N358" i="19"/>
  <c r="M358" i="19"/>
  <c r="U357" i="19"/>
  <c r="N357" i="19"/>
  <c r="M357" i="19"/>
  <c r="U356" i="19"/>
  <c r="N356" i="19"/>
  <c r="M356" i="19"/>
  <c r="U355" i="19"/>
  <c r="N355" i="19"/>
  <c r="M355" i="19"/>
  <c r="U354" i="19"/>
  <c r="N354" i="19"/>
  <c r="M354" i="19"/>
  <c r="U353" i="19"/>
  <c r="N353" i="19"/>
  <c r="M353" i="19"/>
  <c r="U352" i="19"/>
  <c r="N352" i="19"/>
  <c r="M352" i="19"/>
  <c r="U351" i="19"/>
  <c r="N351" i="19"/>
  <c r="M351" i="19"/>
  <c r="U350" i="19"/>
  <c r="N350" i="19"/>
  <c r="M350" i="19"/>
  <c r="U349" i="19"/>
  <c r="N349" i="19"/>
  <c r="M349" i="19"/>
  <c r="U348" i="19"/>
  <c r="N348" i="19"/>
  <c r="M348" i="19"/>
  <c r="U347" i="19"/>
  <c r="N347" i="19"/>
  <c r="M347" i="19"/>
  <c r="U346" i="19"/>
  <c r="N346" i="19"/>
  <c r="M346" i="19"/>
  <c r="U345" i="19"/>
  <c r="N345" i="19"/>
  <c r="M345" i="19"/>
  <c r="U344" i="19"/>
  <c r="N344" i="19"/>
  <c r="M344" i="19"/>
  <c r="U343" i="19"/>
  <c r="N343" i="19"/>
  <c r="M343" i="19"/>
  <c r="U342" i="19"/>
  <c r="N342" i="19"/>
  <c r="M342" i="19"/>
  <c r="U341" i="19"/>
  <c r="N341" i="19"/>
  <c r="M341" i="19"/>
  <c r="U340" i="19"/>
  <c r="N340" i="19"/>
  <c r="M340" i="19"/>
  <c r="U339" i="19"/>
  <c r="N339" i="19"/>
  <c r="M339" i="19"/>
  <c r="U338" i="19"/>
  <c r="N338" i="19"/>
  <c r="M338" i="19"/>
  <c r="U337" i="19"/>
  <c r="N337" i="19"/>
  <c r="M337" i="19"/>
  <c r="U336" i="19"/>
  <c r="N336" i="19"/>
  <c r="M336" i="19"/>
  <c r="U335" i="19"/>
  <c r="N335" i="19"/>
  <c r="M335" i="19"/>
  <c r="U334" i="19"/>
  <c r="N334" i="19"/>
  <c r="M334" i="19"/>
  <c r="U333" i="19"/>
  <c r="N333" i="19"/>
  <c r="M333" i="19"/>
  <c r="U332" i="19"/>
  <c r="N332" i="19"/>
  <c r="M332" i="19"/>
  <c r="U331" i="19"/>
  <c r="N331" i="19"/>
  <c r="M331" i="19"/>
  <c r="U330" i="19"/>
  <c r="N330" i="19"/>
  <c r="M330" i="19"/>
  <c r="U329" i="19"/>
  <c r="N329" i="19"/>
  <c r="M329" i="19"/>
  <c r="U328" i="19"/>
  <c r="N328" i="19"/>
  <c r="M328" i="19"/>
  <c r="U327" i="19"/>
  <c r="N327" i="19"/>
  <c r="M327" i="19"/>
  <c r="U326" i="19"/>
  <c r="N326" i="19"/>
  <c r="M326" i="19"/>
  <c r="U325" i="19"/>
  <c r="N325" i="19"/>
  <c r="M325" i="19"/>
  <c r="U324" i="19"/>
  <c r="N324" i="19"/>
  <c r="M324" i="19"/>
  <c r="U323" i="19"/>
  <c r="N323" i="19"/>
  <c r="M323" i="19"/>
  <c r="U322" i="19"/>
  <c r="N322" i="19"/>
  <c r="M322" i="19"/>
  <c r="U321" i="19"/>
  <c r="N321" i="19"/>
  <c r="M321" i="19"/>
  <c r="U320" i="19"/>
  <c r="N320" i="19"/>
  <c r="M320" i="19"/>
  <c r="U319" i="19"/>
  <c r="N319" i="19"/>
  <c r="M319" i="19"/>
  <c r="U318" i="19"/>
  <c r="N318" i="19"/>
  <c r="M318" i="19"/>
  <c r="U317" i="19"/>
  <c r="N317" i="19"/>
  <c r="M317" i="19"/>
  <c r="U316" i="19"/>
  <c r="N316" i="19"/>
  <c r="M316" i="19"/>
  <c r="U315" i="19"/>
  <c r="N315" i="19"/>
  <c r="M315" i="19"/>
  <c r="U314" i="19"/>
  <c r="N314" i="19"/>
  <c r="M314" i="19"/>
  <c r="U313" i="19"/>
  <c r="N313" i="19"/>
  <c r="M313" i="19"/>
  <c r="U312" i="19"/>
  <c r="L312" i="19"/>
  <c r="U311" i="19"/>
  <c r="N311" i="19"/>
  <c r="M311" i="19"/>
  <c r="U310" i="19"/>
  <c r="N310" i="19"/>
  <c r="M310" i="19"/>
  <c r="U309" i="19"/>
  <c r="N309" i="19"/>
  <c r="M309" i="19"/>
  <c r="U308" i="19"/>
  <c r="N308" i="19"/>
  <c r="M308" i="19"/>
  <c r="U307" i="19"/>
  <c r="N307" i="19"/>
  <c r="M307" i="19"/>
  <c r="U306" i="19"/>
  <c r="N306" i="19"/>
  <c r="M306" i="19"/>
  <c r="U305" i="19"/>
  <c r="N305" i="19"/>
  <c r="M305" i="19"/>
  <c r="U304" i="19"/>
  <c r="N304" i="19"/>
  <c r="M304" i="19"/>
  <c r="U303" i="19"/>
  <c r="N303" i="19"/>
  <c r="M303" i="19"/>
  <c r="U302" i="19"/>
  <c r="N302" i="19"/>
  <c r="M302" i="19"/>
  <c r="U301" i="19"/>
  <c r="N301" i="19"/>
  <c r="M301" i="19"/>
  <c r="U300" i="19"/>
  <c r="N300" i="19"/>
  <c r="M300" i="19"/>
  <c r="U299" i="19"/>
  <c r="N299" i="19"/>
  <c r="M299" i="19"/>
  <c r="U298" i="19"/>
  <c r="N298" i="19"/>
  <c r="M298" i="19"/>
  <c r="U297" i="19"/>
  <c r="N297" i="19"/>
  <c r="M297" i="19"/>
  <c r="U296" i="19"/>
  <c r="N296" i="19"/>
  <c r="M296" i="19"/>
  <c r="U295" i="19"/>
  <c r="N295" i="19"/>
  <c r="M295" i="19"/>
  <c r="U294" i="19"/>
  <c r="N294" i="19"/>
  <c r="M294" i="19"/>
  <c r="U293" i="19"/>
  <c r="N293" i="19"/>
  <c r="M293" i="19"/>
  <c r="U292" i="19"/>
  <c r="N292" i="19"/>
  <c r="M292" i="19"/>
  <c r="U291" i="19"/>
  <c r="N291" i="19"/>
  <c r="M291" i="19"/>
  <c r="U290" i="19"/>
  <c r="N290" i="19"/>
  <c r="M290" i="19"/>
  <c r="U289" i="19"/>
  <c r="N289" i="19"/>
  <c r="M289" i="19"/>
  <c r="U288" i="19"/>
  <c r="N288" i="19"/>
  <c r="M288" i="19"/>
  <c r="U287" i="19"/>
  <c r="N287" i="19"/>
  <c r="M287" i="19"/>
  <c r="U286" i="19"/>
  <c r="N286" i="19"/>
  <c r="M286" i="19"/>
  <c r="U285" i="19"/>
  <c r="N285" i="19"/>
  <c r="M285" i="19"/>
  <c r="U284" i="19"/>
  <c r="N284" i="19"/>
  <c r="M284" i="19"/>
  <c r="U283" i="19"/>
  <c r="N283" i="19"/>
  <c r="M283" i="19"/>
  <c r="U282" i="19"/>
  <c r="N282" i="19"/>
  <c r="M282" i="19"/>
  <c r="U281" i="19"/>
  <c r="N281" i="19"/>
  <c r="M281" i="19"/>
  <c r="U280" i="19"/>
  <c r="N280" i="19"/>
  <c r="I11" i="16" s="1"/>
  <c r="M280" i="19"/>
  <c r="H11" i="16" s="1"/>
  <c r="U279" i="19"/>
  <c r="N279" i="19"/>
  <c r="M279" i="19"/>
  <c r="U278" i="19"/>
  <c r="N278" i="19"/>
  <c r="M278" i="19"/>
  <c r="U277" i="19"/>
  <c r="N277" i="19"/>
  <c r="M277" i="19"/>
  <c r="U276" i="19"/>
  <c r="N276" i="19"/>
  <c r="M276" i="19"/>
  <c r="U275" i="19"/>
  <c r="N275" i="19"/>
  <c r="M275" i="19"/>
  <c r="U274" i="19"/>
  <c r="N274" i="19"/>
  <c r="M274" i="19"/>
  <c r="U273" i="19"/>
  <c r="N273" i="19"/>
  <c r="M273" i="19"/>
  <c r="U272" i="19"/>
  <c r="N272" i="19"/>
  <c r="M272" i="19"/>
  <c r="U271" i="19"/>
  <c r="N271" i="19"/>
  <c r="M271" i="19"/>
  <c r="U270" i="19"/>
  <c r="N270" i="19"/>
  <c r="M270" i="19"/>
  <c r="U269" i="19"/>
  <c r="N269" i="19"/>
  <c r="M269" i="19"/>
  <c r="U268" i="19"/>
  <c r="N268" i="19"/>
  <c r="M268" i="19"/>
  <c r="U267" i="19"/>
  <c r="N267" i="19"/>
  <c r="M267" i="19"/>
  <c r="U266" i="19"/>
  <c r="N266" i="19"/>
  <c r="M266" i="19"/>
  <c r="U265" i="19"/>
  <c r="N265" i="19"/>
  <c r="M265" i="19"/>
  <c r="U264" i="19"/>
  <c r="N264" i="19"/>
  <c r="M264" i="19"/>
  <c r="U263" i="19"/>
  <c r="N263" i="19"/>
  <c r="M263" i="19"/>
  <c r="U262" i="19"/>
  <c r="N262" i="19"/>
  <c r="M262" i="19"/>
  <c r="U261" i="19"/>
  <c r="N261" i="19"/>
  <c r="M261" i="19"/>
  <c r="U260" i="19"/>
  <c r="N260" i="19"/>
  <c r="M260" i="19"/>
  <c r="U259" i="19"/>
  <c r="N259" i="19"/>
  <c r="M259" i="19"/>
  <c r="U258" i="19"/>
  <c r="N258" i="19"/>
  <c r="M258" i="19"/>
  <c r="U257" i="19"/>
  <c r="N257" i="19"/>
  <c r="M257" i="19"/>
  <c r="U256" i="19"/>
  <c r="N256" i="19"/>
  <c r="M256" i="19"/>
  <c r="U255" i="19"/>
  <c r="N255" i="19"/>
  <c r="M255" i="19"/>
  <c r="U254" i="19"/>
  <c r="N254" i="19"/>
  <c r="M254" i="19"/>
  <c r="U253" i="19"/>
  <c r="N253" i="19"/>
  <c r="M253" i="19"/>
  <c r="U252" i="19"/>
  <c r="N252" i="19"/>
  <c r="M252" i="19"/>
  <c r="U251" i="19"/>
  <c r="N251" i="19"/>
  <c r="M251" i="19"/>
  <c r="U250" i="19"/>
  <c r="N250" i="19"/>
  <c r="M250" i="19"/>
  <c r="U249" i="19"/>
  <c r="N249" i="19"/>
  <c r="M249" i="19"/>
  <c r="U248" i="19"/>
  <c r="N248" i="19"/>
  <c r="M248" i="19"/>
  <c r="U247" i="19"/>
  <c r="N247" i="19"/>
  <c r="M247" i="19"/>
  <c r="U246" i="19"/>
  <c r="N246" i="19"/>
  <c r="M246" i="19"/>
  <c r="U245" i="19"/>
  <c r="N245" i="19"/>
  <c r="M245" i="19"/>
  <c r="U244" i="19"/>
  <c r="N244" i="19"/>
  <c r="M244" i="19"/>
  <c r="U243" i="19"/>
  <c r="N243" i="19"/>
  <c r="M243" i="19"/>
  <c r="U242" i="19"/>
  <c r="N242" i="19"/>
  <c r="M242" i="19"/>
  <c r="U241" i="19"/>
  <c r="N241" i="19"/>
  <c r="M241" i="19"/>
  <c r="U240" i="19"/>
  <c r="N240" i="19"/>
  <c r="M240" i="19"/>
  <c r="U239" i="19"/>
  <c r="N239" i="19"/>
  <c r="M239" i="19"/>
  <c r="U238" i="19"/>
  <c r="L238" i="19"/>
  <c r="U237" i="19"/>
  <c r="L237" i="19"/>
  <c r="U236" i="19"/>
  <c r="L236" i="19"/>
  <c r="U235" i="19"/>
  <c r="N235" i="19"/>
  <c r="M235" i="19"/>
  <c r="U234" i="19"/>
  <c r="N234" i="19"/>
  <c r="M234" i="19"/>
  <c r="U233" i="19"/>
  <c r="N233" i="19"/>
  <c r="M233" i="19"/>
  <c r="U232" i="19"/>
  <c r="N232" i="19"/>
  <c r="M232" i="19"/>
  <c r="U231" i="19"/>
  <c r="N231" i="19"/>
  <c r="M231" i="19"/>
  <c r="U230" i="19"/>
  <c r="N230" i="19"/>
  <c r="M230" i="19"/>
  <c r="U229" i="19"/>
  <c r="N229" i="19"/>
  <c r="M229" i="19"/>
  <c r="U228" i="19"/>
  <c r="N228" i="19"/>
  <c r="M228" i="19"/>
  <c r="U227" i="19"/>
  <c r="N227" i="19"/>
  <c r="M227" i="19"/>
  <c r="U226" i="19"/>
  <c r="N226" i="19"/>
  <c r="M226" i="19"/>
  <c r="U225" i="19"/>
  <c r="N225" i="19"/>
  <c r="M225" i="19"/>
  <c r="U224" i="19"/>
  <c r="N224" i="19"/>
  <c r="M224" i="19"/>
  <c r="U223" i="19"/>
  <c r="N223" i="19"/>
  <c r="M223" i="19"/>
  <c r="U222" i="19"/>
  <c r="N222" i="19"/>
  <c r="M222" i="19"/>
  <c r="U221" i="19"/>
  <c r="N221" i="19"/>
  <c r="M221" i="19"/>
  <c r="U220" i="19"/>
  <c r="N220" i="19"/>
  <c r="M220" i="19"/>
  <c r="U219" i="19"/>
  <c r="N219" i="19"/>
  <c r="M219" i="19"/>
  <c r="U218" i="19"/>
  <c r="N218" i="19"/>
  <c r="M218" i="19"/>
  <c r="U217" i="19"/>
  <c r="N217" i="19"/>
  <c r="M217" i="19"/>
  <c r="U216" i="19"/>
  <c r="N216" i="19"/>
  <c r="M216" i="19"/>
  <c r="U215" i="19"/>
  <c r="N215" i="19"/>
  <c r="M215" i="19"/>
  <c r="U214" i="19"/>
  <c r="L214" i="19"/>
  <c r="U213" i="19"/>
  <c r="N213" i="19"/>
  <c r="M213" i="19"/>
  <c r="U212" i="19"/>
  <c r="N212" i="19"/>
  <c r="M212" i="19"/>
  <c r="U211" i="19"/>
  <c r="N211" i="19"/>
  <c r="M211" i="19"/>
  <c r="U210" i="19"/>
  <c r="N210" i="19"/>
  <c r="M210" i="19"/>
  <c r="U209" i="19"/>
  <c r="N209" i="19"/>
  <c r="M209" i="19"/>
  <c r="U208" i="19"/>
  <c r="N208" i="19"/>
  <c r="M208" i="19"/>
  <c r="U207" i="19"/>
  <c r="N207" i="19"/>
  <c r="M207" i="19"/>
  <c r="U206" i="19"/>
  <c r="N206" i="19"/>
  <c r="M206" i="19"/>
  <c r="U205" i="19"/>
  <c r="N205" i="19"/>
  <c r="M205" i="19"/>
  <c r="U204" i="19"/>
  <c r="N204" i="19"/>
  <c r="M204" i="19"/>
  <c r="U203" i="19"/>
  <c r="N203" i="19"/>
  <c r="M203" i="19"/>
  <c r="U202" i="19"/>
  <c r="N202" i="19"/>
  <c r="M202" i="19"/>
  <c r="U201" i="19"/>
  <c r="N201" i="19"/>
  <c r="M201" i="19"/>
  <c r="U200" i="19"/>
  <c r="N200" i="19"/>
  <c r="M200" i="19"/>
  <c r="U199" i="19"/>
  <c r="N199" i="19"/>
  <c r="M199" i="19"/>
  <c r="U198" i="19"/>
  <c r="N198" i="19"/>
  <c r="M198" i="19"/>
  <c r="U197" i="19"/>
  <c r="N197" i="19"/>
  <c r="M197" i="19"/>
  <c r="U196" i="19"/>
  <c r="N196" i="19"/>
  <c r="M196" i="19"/>
  <c r="U195" i="19"/>
  <c r="N195" i="19"/>
  <c r="M195" i="19"/>
  <c r="U194" i="19"/>
  <c r="N194" i="19"/>
  <c r="M194" i="19"/>
  <c r="U193" i="19"/>
  <c r="N193" i="19"/>
  <c r="M193" i="19"/>
  <c r="U192" i="19"/>
  <c r="N192" i="19"/>
  <c r="M192" i="19"/>
  <c r="U191" i="19"/>
  <c r="N191" i="19"/>
  <c r="M191" i="19"/>
  <c r="U190" i="19"/>
  <c r="N190" i="19"/>
  <c r="M190" i="19"/>
  <c r="U189" i="19"/>
  <c r="N189" i="19"/>
  <c r="M189" i="19"/>
  <c r="U188" i="19"/>
  <c r="N188" i="19"/>
  <c r="M188" i="19"/>
  <c r="U187" i="19"/>
  <c r="N187" i="19"/>
  <c r="M187" i="19"/>
  <c r="U186" i="19"/>
  <c r="N186" i="19"/>
  <c r="M186" i="19"/>
  <c r="U185" i="19"/>
  <c r="N185" i="19"/>
  <c r="M185" i="19"/>
  <c r="U184" i="19"/>
  <c r="N184" i="19"/>
  <c r="M184" i="19"/>
  <c r="U183" i="19"/>
  <c r="N183" i="19"/>
  <c r="M183" i="19"/>
  <c r="U182" i="19"/>
  <c r="N182" i="19"/>
  <c r="M182" i="19"/>
  <c r="U181" i="19"/>
  <c r="N181" i="19"/>
  <c r="M181" i="19"/>
  <c r="U180" i="19"/>
  <c r="N180" i="19"/>
  <c r="M180" i="19"/>
  <c r="U179" i="19"/>
  <c r="N179" i="19"/>
  <c r="M179" i="19"/>
  <c r="U178" i="19"/>
  <c r="N178" i="19"/>
  <c r="M178" i="19"/>
  <c r="U177" i="19"/>
  <c r="N177" i="19"/>
  <c r="M177" i="19"/>
  <c r="U176" i="19"/>
  <c r="N176" i="19"/>
  <c r="M176" i="19"/>
  <c r="U175" i="19"/>
  <c r="N175" i="19"/>
  <c r="M175" i="19"/>
  <c r="U174" i="19"/>
  <c r="N174" i="19"/>
  <c r="M174" i="19"/>
  <c r="U173" i="19"/>
  <c r="N173" i="19"/>
  <c r="M173" i="19"/>
  <c r="U172" i="19"/>
  <c r="N172" i="19"/>
  <c r="M172" i="19"/>
  <c r="U171" i="19"/>
  <c r="N171" i="19"/>
  <c r="M171" i="19"/>
  <c r="U170" i="19"/>
  <c r="N170" i="19"/>
  <c r="M170" i="19"/>
  <c r="U169" i="19"/>
  <c r="N169" i="19"/>
  <c r="M169" i="19"/>
  <c r="U168" i="19"/>
  <c r="N168" i="19"/>
  <c r="M168" i="19"/>
  <c r="U167" i="19"/>
  <c r="N167" i="19"/>
  <c r="M167" i="19"/>
  <c r="U166" i="19"/>
  <c r="N166" i="19"/>
  <c r="M166" i="19"/>
  <c r="U165" i="19"/>
  <c r="N165" i="19"/>
  <c r="M165" i="19"/>
  <c r="U164" i="19"/>
  <c r="N164" i="19"/>
  <c r="M164" i="19"/>
  <c r="U163" i="19"/>
  <c r="N163" i="19"/>
  <c r="M163" i="19"/>
  <c r="U162" i="19"/>
  <c r="N162" i="19"/>
  <c r="M162" i="19"/>
  <c r="U161" i="19"/>
  <c r="N161" i="19"/>
  <c r="M161" i="19"/>
  <c r="U160" i="19"/>
  <c r="N160" i="19"/>
  <c r="M160" i="19"/>
  <c r="U159" i="19"/>
  <c r="N159" i="19"/>
  <c r="M159" i="19"/>
  <c r="U158" i="19"/>
  <c r="N158" i="19"/>
  <c r="M158" i="19"/>
  <c r="U157" i="19"/>
  <c r="N157" i="19"/>
  <c r="M157" i="19"/>
  <c r="U156" i="19"/>
  <c r="N156" i="19"/>
  <c r="M156" i="19"/>
  <c r="U155" i="19"/>
  <c r="N155" i="19"/>
  <c r="M155" i="19"/>
  <c r="U154" i="19"/>
  <c r="N154" i="19"/>
  <c r="M154" i="19"/>
  <c r="U153" i="19"/>
  <c r="N153" i="19"/>
  <c r="M153" i="19"/>
  <c r="U152" i="19"/>
  <c r="L152" i="19"/>
  <c r="U151" i="19"/>
  <c r="L151" i="19"/>
  <c r="U150" i="19"/>
  <c r="N150" i="19"/>
  <c r="M150" i="19"/>
  <c r="U149" i="19"/>
  <c r="N149" i="19"/>
  <c r="M149" i="19"/>
  <c r="U148" i="19"/>
  <c r="N148" i="19"/>
  <c r="M148" i="19"/>
  <c r="U147" i="19"/>
  <c r="N147" i="19"/>
  <c r="M147" i="19"/>
  <c r="U146" i="19"/>
  <c r="N146" i="19"/>
  <c r="M146" i="19"/>
  <c r="U145" i="19"/>
  <c r="N145" i="19"/>
  <c r="M145" i="19"/>
  <c r="U144" i="19"/>
  <c r="N144" i="19"/>
  <c r="M144" i="19"/>
  <c r="U143" i="19"/>
  <c r="N143" i="19"/>
  <c r="M143" i="19"/>
  <c r="U142" i="19"/>
  <c r="N142" i="19"/>
  <c r="M142" i="19"/>
  <c r="U141" i="19"/>
  <c r="N141" i="19"/>
  <c r="M141" i="19"/>
  <c r="U140" i="19"/>
  <c r="N140" i="19"/>
  <c r="M140" i="19"/>
  <c r="U139" i="19"/>
  <c r="N139" i="19"/>
  <c r="M139" i="19"/>
  <c r="U138" i="19"/>
  <c r="N138" i="19"/>
  <c r="M138" i="19"/>
  <c r="U137" i="19"/>
  <c r="N137" i="19"/>
  <c r="M137" i="19"/>
  <c r="U136" i="19"/>
  <c r="N136" i="19"/>
  <c r="M136" i="19"/>
  <c r="U135" i="19"/>
  <c r="N135" i="19"/>
  <c r="M135" i="19"/>
  <c r="U134" i="19"/>
  <c r="N134" i="19"/>
  <c r="M134" i="19"/>
  <c r="U133" i="19"/>
  <c r="N133" i="19"/>
  <c r="M133" i="19"/>
  <c r="U132" i="19"/>
  <c r="N132" i="19"/>
  <c r="M132" i="19"/>
  <c r="U131" i="19"/>
  <c r="N131" i="19"/>
  <c r="M131" i="19"/>
  <c r="U130" i="19"/>
  <c r="N130" i="19"/>
  <c r="M130" i="19"/>
  <c r="U129" i="19"/>
  <c r="N129" i="19"/>
  <c r="M129" i="19"/>
  <c r="U128" i="19"/>
  <c r="N128" i="19"/>
  <c r="M128" i="19"/>
  <c r="U127" i="19"/>
  <c r="N127" i="19"/>
  <c r="M127" i="19"/>
  <c r="U126" i="19"/>
  <c r="N126" i="19"/>
  <c r="M126" i="19"/>
  <c r="U125" i="19"/>
  <c r="N125" i="19"/>
  <c r="M125" i="19"/>
  <c r="U124" i="19"/>
  <c r="N124" i="19"/>
  <c r="M124" i="19"/>
  <c r="U123" i="19"/>
  <c r="N123" i="19"/>
  <c r="M123" i="19"/>
  <c r="U122" i="19"/>
  <c r="N122" i="19"/>
  <c r="M122" i="19"/>
  <c r="U121" i="19"/>
  <c r="N121" i="19"/>
  <c r="M121" i="19"/>
  <c r="U120" i="19"/>
  <c r="N120" i="19"/>
  <c r="M120" i="19"/>
  <c r="U119" i="19"/>
  <c r="N119" i="19"/>
  <c r="M119" i="19"/>
  <c r="U118" i="19"/>
  <c r="N118" i="19"/>
  <c r="M118" i="19"/>
  <c r="U117" i="19"/>
  <c r="N117" i="19"/>
  <c r="M117" i="19"/>
  <c r="U116" i="19"/>
  <c r="N116" i="19"/>
  <c r="M116" i="19"/>
  <c r="U115" i="19"/>
  <c r="N115" i="19"/>
  <c r="M115" i="19"/>
  <c r="U114" i="19"/>
  <c r="N114" i="19"/>
  <c r="M114" i="19"/>
  <c r="U113" i="19"/>
  <c r="N113" i="19"/>
  <c r="M113" i="19"/>
  <c r="U112" i="19"/>
  <c r="N112" i="19"/>
  <c r="M112" i="19"/>
  <c r="U111" i="19"/>
  <c r="N111" i="19"/>
  <c r="M111" i="19"/>
  <c r="U110" i="19"/>
  <c r="N110" i="19"/>
  <c r="M110" i="19"/>
  <c r="U109" i="19"/>
  <c r="N109" i="19"/>
  <c r="M109" i="19"/>
  <c r="U108" i="19"/>
  <c r="N108" i="19"/>
  <c r="M108" i="19"/>
  <c r="U107" i="19"/>
  <c r="N107" i="19"/>
  <c r="M107" i="19"/>
  <c r="U106" i="19"/>
  <c r="N106" i="19"/>
  <c r="M106" i="19"/>
  <c r="U105" i="19"/>
  <c r="N105" i="19"/>
  <c r="M105" i="19"/>
  <c r="U104" i="19"/>
  <c r="N104" i="19"/>
  <c r="M104" i="19"/>
  <c r="U103" i="19"/>
  <c r="N103" i="19"/>
  <c r="M103" i="19"/>
  <c r="U102" i="19"/>
  <c r="N102" i="19"/>
  <c r="M102" i="19"/>
  <c r="U101" i="19"/>
  <c r="N101" i="19"/>
  <c r="M101" i="19"/>
  <c r="U100" i="19"/>
  <c r="N100" i="19"/>
  <c r="M100" i="19"/>
  <c r="U99" i="19"/>
  <c r="N99" i="19"/>
  <c r="M99" i="19"/>
  <c r="U98" i="19"/>
  <c r="N98" i="19"/>
  <c r="M98" i="19"/>
  <c r="U97" i="19"/>
  <c r="N97" i="19"/>
  <c r="M97" i="19"/>
  <c r="U96" i="19"/>
  <c r="N96" i="19"/>
  <c r="M96" i="19"/>
  <c r="U95" i="19"/>
  <c r="N95" i="19"/>
  <c r="M95" i="19"/>
  <c r="U94" i="19"/>
  <c r="N94" i="19"/>
  <c r="M94" i="19"/>
  <c r="U93" i="19"/>
  <c r="N93" i="19"/>
  <c r="M93" i="19"/>
  <c r="U90" i="19"/>
  <c r="N90" i="19"/>
  <c r="M90" i="19"/>
  <c r="U89" i="19"/>
  <c r="N89" i="19"/>
  <c r="M89" i="19"/>
  <c r="U88" i="19"/>
  <c r="N88" i="19"/>
  <c r="M88" i="19"/>
  <c r="U87" i="19"/>
  <c r="N87" i="19"/>
  <c r="M87" i="19"/>
  <c r="U86" i="19"/>
  <c r="N86" i="19"/>
  <c r="M86" i="19"/>
  <c r="U85" i="19"/>
  <c r="N85" i="19"/>
  <c r="M85" i="19"/>
  <c r="U84" i="19"/>
  <c r="N84" i="19"/>
  <c r="M84" i="19"/>
  <c r="U83" i="19"/>
  <c r="N83" i="19"/>
  <c r="M83" i="19"/>
  <c r="U82" i="19"/>
  <c r="N82" i="19"/>
  <c r="M82" i="19"/>
  <c r="U81" i="19"/>
  <c r="N81" i="19"/>
  <c r="M81" i="19"/>
  <c r="U80" i="19"/>
  <c r="N80" i="19"/>
  <c r="M80" i="19"/>
  <c r="U79" i="19"/>
  <c r="N79" i="19"/>
  <c r="M79" i="19"/>
  <c r="U78" i="19"/>
  <c r="N78" i="19"/>
  <c r="M78" i="19"/>
  <c r="U77" i="19"/>
  <c r="N77" i="19"/>
  <c r="M77" i="19"/>
  <c r="U76" i="19"/>
  <c r="N76" i="19"/>
  <c r="M76" i="19"/>
  <c r="U75" i="19"/>
  <c r="N75" i="19"/>
  <c r="M75" i="19"/>
  <c r="U74" i="19"/>
  <c r="N74" i="19"/>
  <c r="M74" i="19"/>
  <c r="U73" i="19"/>
  <c r="N73" i="19"/>
  <c r="M73" i="19"/>
  <c r="U72" i="19"/>
  <c r="N72" i="19"/>
  <c r="M72" i="19"/>
  <c r="U71" i="19"/>
  <c r="N71" i="19"/>
  <c r="M71" i="19"/>
  <c r="U70" i="19"/>
  <c r="N70" i="19"/>
  <c r="M70" i="19"/>
  <c r="U69" i="19"/>
  <c r="N69" i="19"/>
  <c r="M69" i="19"/>
  <c r="U68" i="19"/>
  <c r="N68" i="19"/>
  <c r="M68" i="19"/>
  <c r="U67" i="19"/>
  <c r="N67" i="19"/>
  <c r="M67" i="19"/>
  <c r="U66" i="19"/>
  <c r="N66" i="19"/>
  <c r="M66" i="19"/>
  <c r="U65" i="19"/>
  <c r="N65" i="19"/>
  <c r="M65" i="19"/>
  <c r="U64" i="19"/>
  <c r="N64" i="19"/>
  <c r="M64" i="19"/>
  <c r="U63" i="19"/>
  <c r="N63" i="19"/>
  <c r="M63" i="19"/>
  <c r="U62" i="19"/>
  <c r="N62" i="19"/>
  <c r="M62" i="19"/>
  <c r="U61" i="19"/>
  <c r="N61" i="19"/>
  <c r="M61" i="19"/>
  <c r="U60" i="19"/>
  <c r="N60" i="19"/>
  <c r="M60" i="19"/>
  <c r="U59" i="19"/>
  <c r="N59" i="19"/>
  <c r="M59" i="19"/>
  <c r="U58" i="19"/>
  <c r="N58" i="19"/>
  <c r="M58" i="19"/>
  <c r="U57" i="19"/>
  <c r="N57" i="19"/>
  <c r="M57" i="19"/>
  <c r="U56" i="19"/>
  <c r="N56" i="19"/>
  <c r="M56" i="19"/>
  <c r="U55" i="19"/>
  <c r="N55" i="19"/>
  <c r="M55" i="19"/>
  <c r="U54" i="19"/>
  <c r="N54" i="19"/>
  <c r="M54" i="19"/>
  <c r="U53" i="19"/>
  <c r="N53" i="19"/>
  <c r="M53" i="19"/>
  <c r="U52" i="19"/>
  <c r="N52" i="19"/>
  <c r="M52" i="19"/>
  <c r="U51" i="19"/>
  <c r="N51" i="19"/>
  <c r="M51" i="19"/>
  <c r="U50" i="19"/>
  <c r="N50" i="19"/>
  <c r="M50" i="19"/>
  <c r="U49" i="19"/>
  <c r="N49" i="19"/>
  <c r="M49" i="19"/>
  <c r="U48" i="19"/>
  <c r="N48" i="19"/>
  <c r="M48" i="19"/>
  <c r="U47" i="19"/>
  <c r="N47" i="19"/>
  <c r="M47" i="19"/>
  <c r="U46" i="19"/>
  <c r="N46" i="19"/>
  <c r="M46" i="19"/>
  <c r="U45" i="19"/>
  <c r="N45" i="19"/>
  <c r="M45" i="19"/>
  <c r="U44" i="19"/>
  <c r="N44" i="19"/>
  <c r="M44" i="19"/>
  <c r="U43" i="19"/>
  <c r="N43" i="19"/>
  <c r="M43" i="19"/>
  <c r="U42" i="19"/>
  <c r="N42" i="19"/>
  <c r="M42" i="19"/>
  <c r="U41" i="19"/>
  <c r="N41" i="19"/>
  <c r="M41" i="19"/>
  <c r="U40" i="19"/>
  <c r="N40" i="19"/>
  <c r="M40" i="19"/>
  <c r="U39" i="19"/>
  <c r="N39" i="19"/>
  <c r="M39" i="19"/>
  <c r="U38" i="19"/>
  <c r="N38" i="19"/>
  <c r="M38" i="19"/>
  <c r="U37" i="19"/>
  <c r="N37" i="19"/>
  <c r="M37" i="19"/>
  <c r="U36" i="19"/>
  <c r="N36" i="19"/>
  <c r="M36" i="19"/>
  <c r="U35" i="19"/>
  <c r="N35" i="19"/>
  <c r="M35" i="19"/>
  <c r="U34" i="19"/>
  <c r="N34" i="19"/>
  <c r="M34" i="19"/>
  <c r="U33" i="19"/>
  <c r="N33" i="19"/>
  <c r="M33" i="19"/>
  <c r="U32" i="19"/>
  <c r="N32" i="19"/>
  <c r="M32" i="19"/>
  <c r="U31" i="19"/>
  <c r="N31" i="19"/>
  <c r="M31" i="19"/>
  <c r="U30" i="19"/>
  <c r="N30" i="19"/>
  <c r="M30" i="19"/>
  <c r="U29" i="19"/>
  <c r="N29" i="19"/>
  <c r="M29" i="19"/>
  <c r="U28" i="19"/>
  <c r="N28" i="19"/>
  <c r="M28" i="19"/>
  <c r="U27" i="19"/>
  <c r="N27" i="19"/>
  <c r="M27" i="19"/>
  <c r="U26" i="19"/>
  <c r="N26" i="19"/>
  <c r="M26" i="19"/>
  <c r="U25" i="19"/>
  <c r="N25" i="19"/>
  <c r="M25" i="19"/>
  <c r="U24" i="19"/>
  <c r="N24" i="19"/>
  <c r="M24" i="19"/>
  <c r="U23" i="19"/>
  <c r="N23" i="19"/>
  <c r="M23" i="19"/>
  <c r="U22" i="19"/>
  <c r="N22" i="19"/>
  <c r="M22" i="19"/>
  <c r="U21" i="19"/>
  <c r="N21" i="19"/>
  <c r="M21" i="19"/>
  <c r="U20" i="19"/>
  <c r="N20" i="19"/>
  <c r="M20" i="19"/>
  <c r="U19" i="19"/>
  <c r="N19" i="19"/>
  <c r="M19" i="19"/>
  <c r="U18" i="19"/>
  <c r="N18" i="19"/>
  <c r="M18" i="19"/>
  <c r="U17" i="19"/>
  <c r="N17" i="19"/>
  <c r="M17" i="19"/>
  <c r="U16" i="19"/>
  <c r="N16" i="19"/>
  <c r="M16" i="19"/>
  <c r="U15" i="19"/>
  <c r="L15" i="19"/>
  <c r="U14" i="19"/>
  <c r="L14" i="19"/>
  <c r="U13" i="19"/>
  <c r="L13" i="19"/>
  <c r="U12" i="19"/>
  <c r="N12" i="19"/>
  <c r="M12" i="19"/>
  <c r="U11" i="19"/>
  <c r="N11" i="19"/>
  <c r="M11" i="19"/>
  <c r="U10" i="19"/>
  <c r="N10" i="19"/>
  <c r="M10" i="19"/>
  <c r="U9" i="19"/>
  <c r="N9" i="19"/>
  <c r="M9" i="19"/>
  <c r="U8" i="19"/>
  <c r="N8" i="19"/>
  <c r="M8" i="19"/>
  <c r="U7" i="19"/>
  <c r="N7" i="19"/>
  <c r="M7" i="19"/>
  <c r="U333" i="20"/>
  <c r="T333" i="20"/>
  <c r="S333" i="20"/>
  <c r="W323" i="20"/>
  <c r="W311" i="20"/>
  <c r="W7" i="20"/>
  <c r="X331" i="20"/>
  <c r="W331" i="20"/>
  <c r="W165" i="20"/>
  <c r="W71" i="20"/>
  <c r="W70" i="20"/>
  <c r="W69" i="20"/>
  <c r="W299" i="20"/>
  <c r="W298" i="20"/>
  <c r="W297" i="20"/>
  <c r="W268" i="20"/>
  <c r="X292" i="20"/>
  <c r="W292" i="20"/>
  <c r="W56" i="20"/>
  <c r="X231" i="20"/>
  <c r="W231" i="20"/>
  <c r="W136" i="20"/>
  <c r="W32" i="20"/>
  <c r="W315" i="20"/>
  <c r="X291" i="20"/>
  <c r="W291" i="20"/>
  <c r="W135" i="20"/>
  <c r="W267" i="20"/>
  <c r="W106" i="20"/>
  <c r="W9" i="20"/>
  <c r="W310" i="20"/>
  <c r="X330" i="20"/>
  <c r="W330" i="20"/>
  <c r="W134" i="20"/>
  <c r="X266" i="20"/>
  <c r="W266" i="20"/>
  <c r="W12" i="20"/>
  <c r="X11" i="20"/>
  <c r="E50" i="17" s="1"/>
  <c r="W11" i="20"/>
  <c r="W30" i="20"/>
  <c r="W138" i="20"/>
  <c r="W309" i="20"/>
  <c r="W308" i="20"/>
  <c r="W232" i="20"/>
  <c r="W230" i="20"/>
  <c r="W169" i="20"/>
  <c r="W29" i="20"/>
  <c r="W24" i="20"/>
  <c r="W133" i="20"/>
  <c r="W229" i="20"/>
  <c r="W228" i="20"/>
  <c r="W265" i="20"/>
  <c r="X163" i="20"/>
  <c r="W163" i="20"/>
  <c r="W162" i="20"/>
  <c r="W161" i="20"/>
  <c r="W160" i="20"/>
  <c r="W159" i="20"/>
  <c r="W158" i="20"/>
  <c r="W157" i="20"/>
  <c r="X290" i="20"/>
  <c r="W290" i="20"/>
  <c r="X329" i="20"/>
  <c r="W329" i="20"/>
  <c r="W264" i="20"/>
  <c r="W263" i="20"/>
  <c r="W132" i="20"/>
  <c r="W55" i="20"/>
  <c r="W48" i="20"/>
  <c r="W47" i="20"/>
  <c r="W68" i="20"/>
  <c r="W233" i="20"/>
  <c r="W262" i="20"/>
  <c r="X131" i="20"/>
  <c r="W131" i="20"/>
  <c r="X227" i="20"/>
  <c r="W227" i="20"/>
  <c r="W226" i="20"/>
  <c r="W225" i="20"/>
  <c r="W23" i="20"/>
  <c r="W67" i="20"/>
  <c r="W66" i="20"/>
  <c r="W224" i="20"/>
  <c r="W223" i="20"/>
  <c r="W307" i="20"/>
  <c r="W306" i="20"/>
  <c r="W77" i="20"/>
  <c r="X261" i="20"/>
  <c r="W261" i="20"/>
  <c r="W130" i="20"/>
  <c r="W129" i="20"/>
  <c r="W222" i="20"/>
  <c r="W221" i="20"/>
  <c r="W105" i="20"/>
  <c r="W104" i="20"/>
  <c r="W128" i="20"/>
  <c r="W293" i="20"/>
  <c r="W103" i="20"/>
  <c r="X42" i="20"/>
  <c r="W42" i="20"/>
  <c r="W41" i="20"/>
  <c r="W40" i="20"/>
  <c r="W39" i="20"/>
  <c r="W38" i="20"/>
  <c r="W37" i="20"/>
  <c r="W36" i="20"/>
  <c r="X35" i="20"/>
  <c r="W35" i="20"/>
  <c r="W34" i="20"/>
  <c r="X33" i="20"/>
  <c r="W33" i="20"/>
  <c r="W81" i="20"/>
  <c r="W156" i="20"/>
  <c r="W102" i="20"/>
  <c r="W101" i="20"/>
  <c r="W127" i="20"/>
  <c r="W126" i="20"/>
  <c r="X125" i="20"/>
  <c r="W125" i="20"/>
  <c r="W54" i="20"/>
  <c r="W80" i="20"/>
  <c r="W260" i="20"/>
  <c r="X259" i="20"/>
  <c r="W259" i="20"/>
  <c r="W220" i="20"/>
  <c r="W219" i="20"/>
  <c r="X328" i="20"/>
  <c r="W328" i="20"/>
  <c r="W278" i="20"/>
  <c r="W218" i="20"/>
  <c r="W217" i="20"/>
  <c r="X124" i="20"/>
  <c r="W124" i="20"/>
  <c r="W79" i="20"/>
  <c r="W258" i="20"/>
  <c r="X257" i="20"/>
  <c r="W257" i="20"/>
  <c r="X289" i="20"/>
  <c r="W289" i="20"/>
  <c r="W65" i="20"/>
  <c r="W216" i="20"/>
  <c r="W215" i="20"/>
  <c r="W277" i="20"/>
  <c r="W300" i="20"/>
  <c r="X327" i="20"/>
  <c r="W327" i="20"/>
  <c r="X322" i="20"/>
  <c r="W322" i="20"/>
  <c r="W256" i="20"/>
  <c r="W255" i="20"/>
  <c r="W214" i="20"/>
  <c r="W213" i="20"/>
  <c r="W212" i="20"/>
  <c r="W123" i="20"/>
  <c r="X288" i="20"/>
  <c r="W288" i="20"/>
  <c r="W168" i="20"/>
  <c r="W28" i="20"/>
  <c r="W22" i="20"/>
  <c r="W64" i="20"/>
  <c r="W211" i="20"/>
  <c r="W210" i="20"/>
  <c r="W209" i="20"/>
  <c r="W208" i="20"/>
  <c r="X287" i="20"/>
  <c r="W287" i="20"/>
  <c r="W314" i="20"/>
  <c r="X207" i="20"/>
  <c r="W207" i="20"/>
  <c r="W206" i="20"/>
  <c r="W205" i="20"/>
  <c r="W204" i="20"/>
  <c r="W203" i="20"/>
  <c r="W254" i="20"/>
  <c r="W100" i="20"/>
  <c r="W21" i="20"/>
  <c r="W78" i="20"/>
  <c r="W202" i="20"/>
  <c r="W201" i="20"/>
  <c r="X167" i="20"/>
  <c r="W167" i="20"/>
  <c r="W122" i="20"/>
  <c r="W76" i="20"/>
  <c r="X286" i="20"/>
  <c r="W286" i="20"/>
  <c r="W253" i="20"/>
  <c r="W164" i="20"/>
  <c r="W63" i="20"/>
  <c r="W121" i="20"/>
  <c r="W280" i="20"/>
  <c r="W305" i="20"/>
  <c r="W304" i="20"/>
  <c r="W62" i="20"/>
  <c r="W276" i="20"/>
  <c r="W275" i="20"/>
  <c r="W20" i="20"/>
  <c r="W200" i="20"/>
  <c r="W199" i="20"/>
  <c r="W252" i="20"/>
  <c r="X251" i="20"/>
  <c r="W251" i="20"/>
  <c r="X285" i="20"/>
  <c r="W285" i="20"/>
  <c r="X284" i="20"/>
  <c r="W284" i="20"/>
  <c r="W99" i="20"/>
  <c r="W98" i="20"/>
  <c r="W97" i="20"/>
  <c r="W96" i="20"/>
  <c r="W95" i="20"/>
  <c r="W155" i="20"/>
  <c r="W154" i="20"/>
  <c r="W153" i="20"/>
  <c r="W152" i="20"/>
  <c r="W274" i="20"/>
  <c r="W19" i="20"/>
  <c r="W172" i="20"/>
  <c r="W53" i="20"/>
  <c r="W198" i="20"/>
  <c r="W197" i="20"/>
  <c r="W61" i="20"/>
  <c r="W320" i="20"/>
  <c r="W319" i="20"/>
  <c r="X326" i="20"/>
  <c r="W326" i="20"/>
  <c r="W75" i="20"/>
  <c r="X120" i="20"/>
  <c r="W120" i="20"/>
  <c r="X196" i="20"/>
  <c r="W196" i="20"/>
  <c r="W250" i="20"/>
  <c r="W195" i="20"/>
  <c r="W194" i="20"/>
  <c r="W25" i="20"/>
  <c r="W273" i="20"/>
  <c r="W302" i="20"/>
  <c r="W301" i="20"/>
  <c r="W119" i="20"/>
  <c r="W193" i="20"/>
  <c r="W192" i="20"/>
  <c r="W249" i="20"/>
  <c r="W248" i="20"/>
  <c r="W18" i="20"/>
  <c r="W332" i="20"/>
  <c r="W313" i="20"/>
  <c r="W60" i="20"/>
  <c r="W151" i="20"/>
  <c r="W150" i="20"/>
  <c r="W149" i="20"/>
  <c r="X148" i="20"/>
  <c r="W148" i="20"/>
  <c r="W147" i="20"/>
  <c r="W17" i="20"/>
  <c r="X283" i="20"/>
  <c r="W283" i="20"/>
  <c r="X247" i="20"/>
  <c r="W247" i="20"/>
  <c r="W118" i="20"/>
  <c r="W272" i="20"/>
  <c r="W271" i="20"/>
  <c r="W52" i="20"/>
  <c r="W16" i="20"/>
  <c r="W246" i="20"/>
  <c r="W245" i="20"/>
  <c r="X191" i="20"/>
  <c r="W191" i="20"/>
  <c r="W190" i="20"/>
  <c r="W189" i="20"/>
  <c r="W117" i="20"/>
  <c r="X325" i="20"/>
  <c r="W325" i="20"/>
  <c r="W15" i="20"/>
  <c r="W116" i="20"/>
  <c r="W244" i="20"/>
  <c r="X188" i="20"/>
  <c r="W188" i="20"/>
  <c r="W115" i="20"/>
  <c r="W114" i="20"/>
  <c r="W113" i="20"/>
  <c r="X187" i="20"/>
  <c r="W187" i="20"/>
  <c r="W51" i="20"/>
  <c r="X282" i="20"/>
  <c r="W282" i="20"/>
  <c r="W243" i="20"/>
  <c r="X242" i="20"/>
  <c r="W242" i="20"/>
  <c r="W186" i="20"/>
  <c r="W185" i="20"/>
  <c r="W112" i="20"/>
  <c r="W184" i="20"/>
  <c r="W183" i="20"/>
  <c r="W317" i="20"/>
  <c r="W44" i="20"/>
  <c r="W279" i="20"/>
  <c r="W59" i="20"/>
  <c r="X182" i="20"/>
  <c r="W182" i="20"/>
  <c r="W181" i="20"/>
  <c r="W180" i="20"/>
  <c r="W50" i="20"/>
  <c r="W43" i="20"/>
  <c r="W318" i="20"/>
  <c r="W316" i="20"/>
  <c r="X324" i="20"/>
  <c r="E42" i="17" s="1"/>
  <c r="W324" i="20"/>
  <c r="W31" i="20"/>
  <c r="W111" i="20"/>
  <c r="W241" i="20"/>
  <c r="W14" i="20"/>
  <c r="W171" i="20"/>
  <c r="W294" i="20"/>
  <c r="W170" i="20"/>
  <c r="W240" i="20"/>
  <c r="W239" i="20"/>
  <c r="W238" i="20"/>
  <c r="W179" i="20"/>
  <c r="W178" i="20"/>
  <c r="W177" i="20"/>
  <c r="W176" i="20"/>
  <c r="X110" i="20"/>
  <c r="W110" i="20"/>
  <c r="W109" i="20"/>
  <c r="W303" i="20"/>
  <c r="W166" i="20"/>
  <c r="W26" i="20"/>
  <c r="W94" i="20"/>
  <c r="W93" i="20"/>
  <c r="W312" i="20"/>
  <c r="W74" i="20"/>
  <c r="W27" i="20"/>
  <c r="W13" i="20"/>
  <c r="W296" i="20"/>
  <c r="W295" i="20"/>
  <c r="X281" i="20"/>
  <c r="W281" i="20"/>
  <c r="W49" i="20"/>
  <c r="W108" i="20"/>
  <c r="W237" i="20"/>
  <c r="W236" i="20"/>
  <c r="W175" i="20"/>
  <c r="W73" i="20"/>
  <c r="W72" i="20"/>
  <c r="W234" i="20"/>
  <c r="W137" i="20"/>
  <c r="W10" i="20"/>
  <c r="X321" i="20"/>
  <c r="E56" i="17" s="1"/>
  <c r="W321" i="20"/>
  <c r="W270" i="20"/>
  <c r="W269" i="20"/>
  <c r="W46" i="20"/>
  <c r="W45" i="20"/>
  <c r="W92" i="20"/>
  <c r="W91" i="20"/>
  <c r="W90" i="20"/>
  <c r="X89" i="20"/>
  <c r="W89" i="20"/>
  <c r="W88" i="20"/>
  <c r="W87" i="20"/>
  <c r="W86" i="20"/>
  <c r="W85" i="20"/>
  <c r="W84" i="20"/>
  <c r="W83" i="20"/>
  <c r="W82" i="20"/>
  <c r="W58" i="20"/>
  <c r="W57" i="20"/>
  <c r="W146" i="20"/>
  <c r="X145" i="20"/>
  <c r="W145" i="20"/>
  <c r="W144" i="20"/>
  <c r="W143" i="20"/>
  <c r="W142" i="20"/>
  <c r="W141" i="20"/>
  <c r="W140" i="20"/>
  <c r="X139" i="20"/>
  <c r="W139" i="20"/>
  <c r="W174" i="20"/>
  <c r="W173" i="20"/>
  <c r="W107" i="20"/>
  <c r="W235" i="20"/>
  <c r="K136" i="20"/>
  <c r="K135" i="20"/>
  <c r="K134" i="20"/>
  <c r="K133" i="20"/>
  <c r="K132" i="20"/>
  <c r="K131" i="20"/>
  <c r="K130" i="20"/>
  <c r="K129" i="20"/>
  <c r="K128" i="20"/>
  <c r="K42" i="20"/>
  <c r="K35" i="20"/>
  <c r="K127" i="20"/>
  <c r="K126" i="20"/>
  <c r="K125" i="20"/>
  <c r="K259" i="20"/>
  <c r="K124" i="20"/>
  <c r="K257" i="20"/>
  <c r="K123" i="20"/>
  <c r="K122" i="20"/>
  <c r="K121" i="20"/>
  <c r="K251" i="20"/>
  <c r="K120" i="20"/>
  <c r="K301" i="20"/>
  <c r="K119" i="20"/>
  <c r="K148" i="20"/>
  <c r="K118" i="20"/>
  <c r="K117" i="20"/>
  <c r="K116" i="20"/>
  <c r="K115" i="20"/>
  <c r="K114" i="20"/>
  <c r="K113" i="20"/>
  <c r="K242" i="20"/>
  <c r="K112" i="20"/>
  <c r="K111" i="20"/>
  <c r="K110" i="20"/>
  <c r="K109" i="20"/>
  <c r="K108" i="20"/>
  <c r="K89" i="20"/>
  <c r="K145" i="20"/>
  <c r="K139" i="20"/>
  <c r="K107" i="20"/>
  <c r="F333" i="20"/>
  <c r="E12" i="20"/>
  <c r="E11" i="20"/>
  <c r="E162" i="20"/>
  <c r="E161" i="20"/>
  <c r="E160" i="20"/>
  <c r="E158" i="20"/>
  <c r="E157" i="20"/>
  <c r="E264" i="20"/>
  <c r="E263" i="20"/>
  <c r="E48" i="20"/>
  <c r="E47" i="20"/>
  <c r="E42" i="20"/>
  <c r="E41" i="20"/>
  <c r="E40" i="20"/>
  <c r="E39" i="20"/>
  <c r="E38" i="20"/>
  <c r="E37" i="20"/>
  <c r="E36" i="20"/>
  <c r="E35" i="20"/>
  <c r="E34" i="20"/>
  <c r="E33" i="20"/>
  <c r="E102" i="20"/>
  <c r="E101" i="20"/>
  <c r="E260" i="20"/>
  <c r="E259" i="20"/>
  <c r="E258" i="20"/>
  <c r="E257" i="20"/>
  <c r="E252" i="20"/>
  <c r="E251" i="20"/>
  <c r="E98" i="20"/>
  <c r="E97" i="20"/>
  <c r="E96" i="20"/>
  <c r="E95" i="20"/>
  <c r="E155" i="20"/>
  <c r="E154" i="20"/>
  <c r="E153" i="20"/>
  <c r="E152" i="20"/>
  <c r="E302" i="20"/>
  <c r="E301" i="20"/>
  <c r="E249" i="20"/>
  <c r="E248" i="20"/>
  <c r="E149" i="20"/>
  <c r="E148" i="20"/>
  <c r="E147" i="20"/>
  <c r="E246" i="20"/>
  <c r="E245" i="20"/>
  <c r="E243" i="20"/>
  <c r="E242" i="20"/>
  <c r="E240" i="20"/>
  <c r="E239" i="20"/>
  <c r="E238" i="20"/>
  <c r="E237" i="20"/>
  <c r="E236" i="20"/>
  <c r="E73" i="20"/>
  <c r="E72" i="20"/>
  <c r="E146" i="20"/>
  <c r="E145" i="20"/>
  <c r="E144" i="20"/>
  <c r="E142" i="20"/>
  <c r="E140" i="20"/>
  <c r="E139" i="20"/>
  <c r="E335" i="20" s="1"/>
  <c r="E337" i="20" s="1"/>
  <c r="D50" i="17" l="1"/>
  <c r="Y242" i="20"/>
  <c r="AA242" i="20" s="1"/>
  <c r="Z242" i="20"/>
  <c r="AB242" i="20" s="1"/>
  <c r="Y123" i="20"/>
  <c r="AA123" i="20" s="1"/>
  <c r="Z123" i="20"/>
  <c r="AB123" i="20" s="1"/>
  <c r="Y125" i="20"/>
  <c r="AA125" i="20" s="1"/>
  <c r="Z125" i="20"/>
  <c r="AB125" i="20" s="1"/>
  <c r="I6" i="15"/>
  <c r="H17" i="15"/>
  <c r="H19" i="15"/>
  <c r="H18" i="15"/>
  <c r="I17" i="15"/>
  <c r="I10" i="16"/>
  <c r="H10" i="16"/>
  <c r="H6" i="15"/>
  <c r="I19" i="15"/>
  <c r="I18" i="15"/>
  <c r="N365" i="19"/>
  <c r="U365" i="19"/>
  <c r="L365" i="19"/>
  <c r="M365" i="19"/>
  <c r="J40" i="17" l="1"/>
  <c r="I40" i="17"/>
  <c r="H40" i="17"/>
  <c r="G40" i="17"/>
  <c r="F40" i="17"/>
  <c r="E40" i="17"/>
  <c r="D40" i="17"/>
  <c r="O257" i="20" l="1"/>
  <c r="E29" i="21" l="1"/>
  <c r="E28" i="21"/>
  <c r="D29" i="21"/>
  <c r="D28" i="21"/>
  <c r="E27" i="21"/>
  <c r="D27" i="21"/>
  <c r="F30" i="21"/>
  <c r="E30" i="21"/>
  <c r="D30" i="21"/>
  <c r="C30" i="21"/>
  <c r="B30" i="21"/>
  <c r="F26" i="21"/>
  <c r="E26" i="21"/>
  <c r="D26" i="21"/>
  <c r="C26" i="21"/>
  <c r="B26" i="21"/>
  <c r="F25" i="21"/>
  <c r="E25" i="21"/>
  <c r="D25" i="21"/>
  <c r="C25" i="21"/>
  <c r="D18" i="21"/>
  <c r="F16" i="21"/>
  <c r="B17" i="21"/>
  <c r="C17" i="21"/>
  <c r="D17" i="21"/>
  <c r="E17" i="21"/>
  <c r="F17" i="21"/>
  <c r="B18" i="21"/>
  <c r="C18" i="21"/>
  <c r="E18" i="21"/>
  <c r="F18" i="21"/>
  <c r="B19" i="21"/>
  <c r="C19" i="21"/>
  <c r="D19" i="21"/>
  <c r="E19" i="21"/>
  <c r="F19" i="21"/>
  <c r="B20" i="21"/>
  <c r="C20" i="21"/>
  <c r="D20" i="21"/>
  <c r="E20" i="21"/>
  <c r="F20" i="21"/>
  <c r="B21" i="21"/>
  <c r="C21" i="21"/>
  <c r="D21" i="21"/>
  <c r="E21" i="21"/>
  <c r="F21" i="21"/>
  <c r="N35" i="22"/>
  <c r="L11" i="22"/>
  <c r="Q11" i="22" s="1"/>
  <c r="L12" i="22"/>
  <c r="Q12" i="22" s="1"/>
  <c r="L32" i="22"/>
  <c r="Q32" i="22" s="1"/>
  <c r="L31" i="22"/>
  <c r="Q31" i="22" s="1"/>
  <c r="L29" i="22"/>
  <c r="Q29" i="22" s="1"/>
  <c r="L27" i="22"/>
  <c r="Q27" i="22" s="1"/>
  <c r="L15" i="22"/>
  <c r="Q15" i="22" s="1"/>
  <c r="L26" i="22"/>
  <c r="Q26" i="22" s="1"/>
  <c r="L24" i="22"/>
  <c r="Q24" i="22" s="1"/>
  <c r="L22" i="22"/>
  <c r="Q22" i="22" s="1"/>
  <c r="L21" i="22"/>
  <c r="Q21" i="22" s="1"/>
  <c r="L19" i="22"/>
  <c r="Q19" i="22" s="1"/>
  <c r="L18" i="22"/>
  <c r="Q18" i="22" s="1"/>
  <c r="L16" i="22"/>
  <c r="Q16" i="22" s="1"/>
  <c r="L34" i="22"/>
  <c r="Q34" i="22" s="1"/>
  <c r="L33" i="22"/>
  <c r="Q33" i="22" s="1"/>
  <c r="L28" i="22"/>
  <c r="Q28" i="22" s="1"/>
  <c r="L9" i="22"/>
  <c r="Q9" i="22" s="1"/>
  <c r="L13" i="22"/>
  <c r="Q13" i="22" s="1"/>
  <c r="L25" i="22"/>
  <c r="Q25" i="22" s="1"/>
  <c r="L23" i="22"/>
  <c r="Q23" i="22" s="1"/>
  <c r="L20" i="22"/>
  <c r="Q20" i="22" s="1"/>
  <c r="L10" i="22"/>
  <c r="H218" i="20"/>
  <c r="B28" i="21" l="1"/>
  <c r="I28" i="21" s="1"/>
  <c r="Q10" i="22"/>
  <c r="B25" i="21"/>
  <c r="B29" i="21"/>
  <c r="I29" i="21" s="1"/>
  <c r="B27" i="21"/>
  <c r="I27" i="21" s="1"/>
  <c r="L35" i="22"/>
  <c r="J39" i="17"/>
  <c r="I39" i="17"/>
  <c r="H39" i="17"/>
  <c r="G39" i="17"/>
  <c r="F39" i="17"/>
  <c r="E39" i="17"/>
  <c r="D39" i="17"/>
  <c r="J38" i="17"/>
  <c r="I38" i="17"/>
  <c r="H38" i="17"/>
  <c r="G38" i="17"/>
  <c r="F38" i="17"/>
  <c r="E38" i="17"/>
  <c r="D38" i="17"/>
  <c r="J37" i="17"/>
  <c r="I37" i="17"/>
  <c r="H37" i="17"/>
  <c r="G37" i="17"/>
  <c r="F37" i="17"/>
  <c r="E37" i="17"/>
  <c r="D37" i="17"/>
  <c r="D31" i="21" l="1"/>
  <c r="F12" i="21"/>
  <c r="F11" i="21"/>
  <c r="C11" i="21"/>
  <c r="F10" i="21"/>
  <c r="E10" i="21"/>
  <c r="D10" i="21"/>
  <c r="C10" i="21"/>
  <c r="F9" i="21"/>
  <c r="E9" i="21"/>
  <c r="D9" i="21"/>
  <c r="C9" i="21"/>
  <c r="F8" i="21"/>
  <c r="E8" i="21"/>
  <c r="D8" i="21"/>
  <c r="C8" i="21"/>
  <c r="F7" i="21"/>
  <c r="E7" i="21"/>
  <c r="D7" i="21"/>
  <c r="C7" i="21"/>
  <c r="B12" i="21"/>
  <c r="B11" i="21"/>
  <c r="B10" i="21"/>
  <c r="B9" i="21"/>
  <c r="B8" i="21"/>
  <c r="B7" i="21"/>
  <c r="P11" i="22"/>
  <c r="M11" i="22"/>
  <c r="F28" i="21" l="1"/>
  <c r="F29" i="21"/>
  <c r="C28" i="21"/>
  <c r="C29" i="21"/>
  <c r="P35" i="22"/>
  <c r="F27" i="21"/>
  <c r="M35" i="22"/>
  <c r="C27" i="21"/>
  <c r="E31" i="21"/>
  <c r="G26" i="21"/>
  <c r="G28" i="21"/>
  <c r="H28" i="21" s="1"/>
  <c r="G29" i="21"/>
  <c r="H29" i="21" s="1"/>
  <c r="G30" i="21"/>
  <c r="H30" i="21" s="1"/>
  <c r="G20" i="21"/>
  <c r="E22" i="21"/>
  <c r="F13" i="21"/>
  <c r="G7" i="21"/>
  <c r="G8" i="21"/>
  <c r="H8" i="21" s="1"/>
  <c r="G9" i="21"/>
  <c r="H9" i="21" s="1"/>
  <c r="G10" i="21"/>
  <c r="H10" i="21" s="1"/>
  <c r="D22" i="21"/>
  <c r="F22" i="21"/>
  <c r="G17" i="21"/>
  <c r="G18" i="21"/>
  <c r="H18" i="21" s="1"/>
  <c r="G19" i="21"/>
  <c r="G21" i="21"/>
  <c r="B31" i="21"/>
  <c r="G16" i="21"/>
  <c r="C22" i="21"/>
  <c r="G25" i="21"/>
  <c r="G35" i="21"/>
  <c r="F35" i="21"/>
  <c r="H17" i="21"/>
  <c r="H16" i="21"/>
  <c r="C31" i="21" l="1"/>
  <c r="E35" i="21" s="1"/>
  <c r="H35" i="21" s="1"/>
  <c r="F31" i="21"/>
  <c r="E36" i="21"/>
  <c r="I45" i="21"/>
  <c r="G27" i="21"/>
  <c r="H27" i="21" s="1"/>
  <c r="G22" i="21"/>
  <c r="H25" i="21"/>
  <c r="H26" i="21"/>
  <c r="H19" i="21"/>
  <c r="H7" i="21"/>
  <c r="G31" i="21" l="1"/>
  <c r="H31" i="21"/>
  <c r="J60" i="18"/>
  <c r="I60" i="18"/>
  <c r="H60" i="18"/>
  <c r="G60" i="18"/>
  <c r="F60" i="18"/>
  <c r="E60" i="18"/>
  <c r="D60" i="18"/>
  <c r="J59" i="18"/>
  <c r="I59" i="18"/>
  <c r="H59" i="18"/>
  <c r="G59" i="18"/>
  <c r="F59" i="18"/>
  <c r="E59" i="18"/>
  <c r="D59" i="18"/>
  <c r="J58" i="18"/>
  <c r="I58" i="18"/>
  <c r="H58" i="18"/>
  <c r="G58" i="18"/>
  <c r="F58" i="18"/>
  <c r="E58" i="18"/>
  <c r="D58" i="18"/>
  <c r="J57" i="18"/>
  <c r="I57" i="18"/>
  <c r="H57" i="18"/>
  <c r="G57" i="18"/>
  <c r="F57" i="18"/>
  <c r="E57" i="18"/>
  <c r="D57" i="18"/>
  <c r="J56" i="18"/>
  <c r="I56" i="18"/>
  <c r="H56" i="18"/>
  <c r="G56" i="18"/>
  <c r="F56" i="18"/>
  <c r="E56" i="18"/>
  <c r="D56" i="18"/>
  <c r="J55" i="18"/>
  <c r="I55" i="18"/>
  <c r="H55" i="18"/>
  <c r="G55" i="18"/>
  <c r="F55" i="18"/>
  <c r="E55" i="18"/>
  <c r="D55" i="18"/>
  <c r="J54" i="18"/>
  <c r="I54" i="18"/>
  <c r="H54" i="18"/>
  <c r="G54" i="18"/>
  <c r="F54" i="18"/>
  <c r="D54" i="18"/>
  <c r="J53" i="18"/>
  <c r="I53" i="18"/>
  <c r="H53" i="18"/>
  <c r="G53" i="18"/>
  <c r="J52" i="18"/>
  <c r="I52" i="18"/>
  <c r="H52" i="18"/>
  <c r="G52" i="18"/>
  <c r="F52" i="18"/>
  <c r="E52" i="18"/>
  <c r="D52" i="18"/>
  <c r="J51" i="18"/>
  <c r="I51" i="18"/>
  <c r="H51" i="18"/>
  <c r="G51" i="18"/>
  <c r="F51" i="18"/>
  <c r="E51" i="18"/>
  <c r="D51" i="18"/>
  <c r="J50" i="18"/>
  <c r="I50" i="18"/>
  <c r="H50" i="18"/>
  <c r="G50" i="18"/>
  <c r="F50" i="18"/>
  <c r="E50" i="18"/>
  <c r="D50" i="18"/>
  <c r="J49" i="18"/>
  <c r="I49" i="18"/>
  <c r="H49" i="18"/>
  <c r="G49" i="18"/>
  <c r="E49" i="18"/>
  <c r="J48" i="18"/>
  <c r="I48" i="18"/>
  <c r="H48" i="18"/>
  <c r="G48" i="18"/>
  <c r="F48" i="18"/>
  <c r="E48" i="18"/>
  <c r="D48" i="18"/>
  <c r="J47" i="18"/>
  <c r="I47" i="18"/>
  <c r="H47" i="18"/>
  <c r="G47" i="18"/>
  <c r="F47" i="18"/>
  <c r="E47" i="18"/>
  <c r="D47" i="18"/>
  <c r="J46" i="18"/>
  <c r="I46" i="18"/>
  <c r="H46" i="18"/>
  <c r="G46" i="18"/>
  <c r="F46" i="18"/>
  <c r="E46" i="18"/>
  <c r="J45" i="18"/>
  <c r="I45" i="18"/>
  <c r="H45" i="18"/>
  <c r="G45" i="18"/>
  <c r="F45" i="18"/>
  <c r="E45" i="18"/>
  <c r="D45" i="18"/>
  <c r="J44" i="18"/>
  <c r="I44" i="18"/>
  <c r="H44" i="18"/>
  <c r="G44" i="18"/>
  <c r="F44" i="18"/>
  <c r="E44" i="18"/>
  <c r="D44" i="18"/>
  <c r="J43" i="18"/>
  <c r="I43" i="18"/>
  <c r="H43" i="18"/>
  <c r="G43" i="18"/>
  <c r="F43" i="18"/>
  <c r="E43" i="18"/>
  <c r="D43" i="18"/>
  <c r="J42" i="18"/>
  <c r="I42" i="18"/>
  <c r="H42" i="18"/>
  <c r="G42" i="18"/>
  <c r="F42" i="18"/>
  <c r="E42" i="18"/>
  <c r="D42" i="18"/>
  <c r="J41" i="18"/>
  <c r="I41" i="18"/>
  <c r="H41" i="18"/>
  <c r="G41" i="18"/>
  <c r="F41" i="18"/>
  <c r="E41" i="18"/>
  <c r="D41" i="18"/>
  <c r="J40" i="18"/>
  <c r="I40" i="18"/>
  <c r="H40" i="18"/>
  <c r="G40" i="18"/>
  <c r="F40" i="18"/>
  <c r="E40" i="18"/>
  <c r="D40" i="18"/>
  <c r="J39" i="18"/>
  <c r="I39" i="18"/>
  <c r="H39" i="18"/>
  <c r="G39" i="18"/>
  <c r="F39" i="18"/>
  <c r="E39" i="18"/>
  <c r="D39" i="18"/>
  <c r="J38" i="18"/>
  <c r="I38" i="18"/>
  <c r="H38" i="18"/>
  <c r="G38" i="18"/>
  <c r="F38" i="18"/>
  <c r="E38" i="18"/>
  <c r="D38" i="18"/>
  <c r="J37" i="18"/>
  <c r="I37" i="18"/>
  <c r="H37" i="18"/>
  <c r="G37" i="18"/>
  <c r="F37" i="18"/>
  <c r="E37" i="18"/>
  <c r="D37" i="18"/>
  <c r="J36" i="18"/>
  <c r="I36" i="18"/>
  <c r="H36" i="18"/>
  <c r="G36" i="18"/>
  <c r="F36" i="18"/>
  <c r="E36" i="18"/>
  <c r="D36" i="18"/>
  <c r="J35" i="18"/>
  <c r="I35" i="18"/>
  <c r="H35" i="18"/>
  <c r="G35" i="18"/>
  <c r="F35" i="18"/>
  <c r="E35" i="18"/>
  <c r="D35" i="18"/>
  <c r="J34" i="18"/>
  <c r="I34" i="18"/>
  <c r="H34" i="18"/>
  <c r="G34" i="18"/>
  <c r="F34" i="18"/>
  <c r="E34" i="18"/>
  <c r="D34" i="18"/>
  <c r="J33" i="18"/>
  <c r="I33" i="18"/>
  <c r="H33" i="18"/>
  <c r="G33" i="18"/>
  <c r="F33" i="18"/>
  <c r="E33" i="18"/>
  <c r="D33" i="18"/>
  <c r="J32" i="18"/>
  <c r="I32" i="18"/>
  <c r="H32" i="18"/>
  <c r="G32" i="18"/>
  <c r="F32" i="18"/>
  <c r="E32" i="18"/>
  <c r="D32" i="18"/>
  <c r="J31" i="18"/>
  <c r="I31" i="18"/>
  <c r="H31" i="18"/>
  <c r="G31" i="18"/>
  <c r="F31" i="18"/>
  <c r="E31" i="18"/>
  <c r="D31" i="18"/>
  <c r="J30" i="18"/>
  <c r="I30" i="18"/>
  <c r="H30" i="18"/>
  <c r="G30" i="18"/>
  <c r="F30" i="18"/>
  <c r="E30" i="18"/>
  <c r="D30" i="18"/>
  <c r="J29" i="18"/>
  <c r="I29" i="18"/>
  <c r="H29" i="18"/>
  <c r="G29" i="18"/>
  <c r="F29" i="18"/>
  <c r="E29" i="18"/>
  <c r="D29" i="18"/>
  <c r="J28" i="18"/>
  <c r="I28" i="18"/>
  <c r="H28" i="18"/>
  <c r="G28" i="18"/>
  <c r="F28" i="18"/>
  <c r="E28" i="18"/>
  <c r="D28" i="18"/>
  <c r="J27" i="18"/>
  <c r="I27" i="18"/>
  <c r="H27" i="18"/>
  <c r="G27" i="18"/>
  <c r="F27" i="18"/>
  <c r="E27" i="18"/>
  <c r="D27" i="18"/>
  <c r="J26" i="18"/>
  <c r="I26" i="18"/>
  <c r="H26" i="18"/>
  <c r="G26" i="18"/>
  <c r="F26" i="18"/>
  <c r="E26" i="18"/>
  <c r="D26" i="18"/>
  <c r="J25" i="18"/>
  <c r="I25" i="18"/>
  <c r="H25" i="18"/>
  <c r="G25" i="18"/>
  <c r="F25" i="18"/>
  <c r="E25" i="18"/>
  <c r="D25" i="18"/>
  <c r="J24" i="18"/>
  <c r="I24" i="18"/>
  <c r="H24" i="18"/>
  <c r="G24" i="18"/>
  <c r="F24" i="18"/>
  <c r="E24" i="18"/>
  <c r="D24" i="18"/>
  <c r="J36" i="17"/>
  <c r="L36" i="17" s="1"/>
  <c r="I36" i="17"/>
  <c r="K36" i="17" s="1"/>
  <c r="H36" i="17"/>
  <c r="G36" i="17"/>
  <c r="F36" i="17"/>
  <c r="E36" i="17"/>
  <c r="D36" i="17"/>
  <c r="J35" i="17"/>
  <c r="I35" i="17"/>
  <c r="H35" i="17"/>
  <c r="G35" i="17"/>
  <c r="F35" i="17"/>
  <c r="E35" i="17"/>
  <c r="D35" i="17"/>
  <c r="J34" i="17"/>
  <c r="I34" i="17"/>
  <c r="H34" i="17"/>
  <c r="G34" i="17"/>
  <c r="F34" i="17"/>
  <c r="E34" i="17"/>
  <c r="D34" i="17"/>
  <c r="J33" i="17"/>
  <c r="I33" i="17"/>
  <c r="H33" i="17"/>
  <c r="G33" i="17"/>
  <c r="F33" i="17"/>
  <c r="E33" i="17"/>
  <c r="D33" i="17"/>
  <c r="K37" i="17" l="1"/>
  <c r="E54" i="18"/>
  <c r="E53" i="18"/>
  <c r="J32" i="17" l="1"/>
  <c r="I32" i="17"/>
  <c r="H32" i="17"/>
  <c r="G32" i="17"/>
  <c r="F32" i="17"/>
  <c r="E32" i="17"/>
  <c r="D32" i="17"/>
  <c r="J31" i="17"/>
  <c r="I31" i="17"/>
  <c r="H31" i="17"/>
  <c r="G31" i="17"/>
  <c r="F31" i="17"/>
  <c r="E31" i="17"/>
  <c r="D31" i="17"/>
  <c r="J30" i="17"/>
  <c r="I30" i="17"/>
  <c r="H30" i="17"/>
  <c r="G30" i="17"/>
  <c r="F30" i="17"/>
  <c r="E30" i="17"/>
  <c r="D30" i="17"/>
  <c r="J29" i="17"/>
  <c r="I29" i="17"/>
  <c r="H29" i="17"/>
  <c r="G29" i="17"/>
  <c r="F29" i="17"/>
  <c r="E29" i="17"/>
  <c r="D29" i="17"/>
  <c r="J28" i="17"/>
  <c r="I28" i="17"/>
  <c r="H28" i="17"/>
  <c r="G28" i="17"/>
  <c r="F28" i="17"/>
  <c r="E28" i="17"/>
  <c r="D28" i="17"/>
  <c r="J27" i="17"/>
  <c r="I27" i="17"/>
  <c r="H27" i="17"/>
  <c r="G27" i="17"/>
  <c r="F27" i="17"/>
  <c r="E27" i="17"/>
  <c r="D27" i="17"/>
  <c r="J26" i="17"/>
  <c r="I26" i="17"/>
  <c r="H26" i="17"/>
  <c r="G26" i="17"/>
  <c r="F26" i="17"/>
  <c r="E26" i="17"/>
  <c r="D26" i="17"/>
  <c r="J25" i="17"/>
  <c r="I25" i="17"/>
  <c r="H25" i="17"/>
  <c r="G25" i="17"/>
  <c r="F25" i="17"/>
  <c r="E25" i="17"/>
  <c r="D25" i="17"/>
  <c r="J24" i="17"/>
  <c r="I24" i="17"/>
  <c r="H24" i="17"/>
  <c r="G24" i="17"/>
  <c r="F24" i="17"/>
  <c r="E24" i="17"/>
  <c r="D24" i="17"/>
  <c r="J23" i="17"/>
  <c r="I23" i="17"/>
  <c r="H23" i="17"/>
  <c r="G23" i="17"/>
  <c r="F23" i="17"/>
  <c r="E23" i="17"/>
  <c r="D23" i="17"/>
  <c r="J22" i="17"/>
  <c r="I22" i="17"/>
  <c r="H22" i="17"/>
  <c r="G22" i="17"/>
  <c r="F22" i="17"/>
  <c r="E22" i="17"/>
  <c r="D22" i="17"/>
  <c r="J21" i="17"/>
  <c r="I21" i="17"/>
  <c r="H21" i="17"/>
  <c r="G21" i="17"/>
  <c r="F21" i="17"/>
  <c r="E21" i="17"/>
  <c r="D21" i="17"/>
  <c r="J20" i="17"/>
  <c r="I20" i="17"/>
  <c r="H20" i="17"/>
  <c r="G20" i="17"/>
  <c r="F20" i="17"/>
  <c r="E20" i="17"/>
  <c r="D20" i="17"/>
  <c r="J19" i="17"/>
  <c r="I19" i="17"/>
  <c r="H19" i="17"/>
  <c r="G19" i="17"/>
  <c r="D19" i="17"/>
  <c r="J18" i="17"/>
  <c r="I18" i="17"/>
  <c r="H18" i="17"/>
  <c r="G18" i="17"/>
  <c r="F18" i="17"/>
  <c r="E18" i="17"/>
  <c r="D18" i="17"/>
  <c r="J17" i="17"/>
  <c r="I17" i="17"/>
  <c r="H17" i="17"/>
  <c r="G17" i="17"/>
  <c r="F17" i="17"/>
  <c r="E17" i="17"/>
  <c r="D17" i="17"/>
  <c r="J16" i="17"/>
  <c r="I16" i="17"/>
  <c r="H16" i="17"/>
  <c r="G16" i="17"/>
  <c r="F16" i="17"/>
  <c r="E16" i="17"/>
  <c r="D16" i="17"/>
  <c r="J15" i="17"/>
  <c r="I15" i="17"/>
  <c r="H15" i="17"/>
  <c r="G15" i="17"/>
  <c r="D15" i="17"/>
  <c r="J14" i="17"/>
  <c r="I14" i="17"/>
  <c r="H14" i="17"/>
  <c r="G14" i="17"/>
  <c r="D14" i="17"/>
  <c r="J13" i="17"/>
  <c r="I13" i="17"/>
  <c r="H13" i="17"/>
  <c r="G13" i="17"/>
  <c r="F13" i="17"/>
  <c r="E13" i="17"/>
  <c r="D13" i="17"/>
  <c r="J12" i="17"/>
  <c r="I12" i="17"/>
  <c r="H12" i="17"/>
  <c r="G12" i="17"/>
  <c r="D12" i="17"/>
  <c r="J11" i="17"/>
  <c r="I11" i="17"/>
  <c r="H11" i="17"/>
  <c r="G11" i="17"/>
  <c r="F11" i="17"/>
  <c r="E11" i="17"/>
  <c r="D11" i="17"/>
  <c r="J10" i="17"/>
  <c r="I10" i="17"/>
  <c r="H10" i="17"/>
  <c r="G10" i="17"/>
  <c r="E10" i="17"/>
  <c r="D10" i="17"/>
  <c r="J9" i="17"/>
  <c r="I9" i="17"/>
  <c r="H9" i="17"/>
  <c r="G9" i="17"/>
  <c r="F9" i="17"/>
  <c r="E9" i="17"/>
  <c r="D9" i="17"/>
  <c r="J8" i="17"/>
  <c r="I8" i="17"/>
  <c r="H8" i="17"/>
  <c r="G8" i="17"/>
  <c r="D8" i="17"/>
  <c r="J7" i="17"/>
  <c r="I7" i="17"/>
  <c r="H7" i="17"/>
  <c r="G7" i="17"/>
  <c r="F7" i="17"/>
  <c r="E7" i="17"/>
  <c r="D7" i="17"/>
  <c r="J6" i="17"/>
  <c r="I6" i="17"/>
  <c r="H6" i="17"/>
  <c r="G6" i="17"/>
  <c r="F6" i="17"/>
  <c r="E6" i="17"/>
  <c r="D6" i="17"/>
  <c r="J5" i="17"/>
  <c r="I5" i="17"/>
  <c r="H5" i="17"/>
  <c r="G5" i="17"/>
  <c r="F5" i="17"/>
  <c r="E5" i="17"/>
  <c r="D5" i="17"/>
  <c r="J4" i="17"/>
  <c r="I4" i="17"/>
  <c r="H4" i="17"/>
  <c r="G4" i="17"/>
  <c r="F4" i="17"/>
  <c r="D4" i="17"/>
  <c r="J23" i="18"/>
  <c r="I23" i="18"/>
  <c r="H23" i="18"/>
  <c r="G23" i="18"/>
  <c r="F23" i="18"/>
  <c r="E23" i="18"/>
  <c r="J22" i="18"/>
  <c r="I22" i="18"/>
  <c r="H22" i="18"/>
  <c r="G22" i="18"/>
  <c r="F22" i="18"/>
  <c r="E22" i="18"/>
  <c r="J21" i="18"/>
  <c r="I21" i="18"/>
  <c r="H21" i="18"/>
  <c r="G21" i="18"/>
  <c r="F21" i="18"/>
  <c r="E21" i="18"/>
  <c r="J20" i="18"/>
  <c r="I20" i="18"/>
  <c r="H20" i="18"/>
  <c r="G20" i="18"/>
  <c r="F20" i="18"/>
  <c r="E20" i="18"/>
  <c r="J19" i="18"/>
  <c r="I19" i="18"/>
  <c r="H19" i="18"/>
  <c r="G19" i="18"/>
  <c r="F19" i="18"/>
  <c r="E19" i="18"/>
  <c r="J18" i="18"/>
  <c r="I18" i="18"/>
  <c r="H18" i="18"/>
  <c r="G18" i="18"/>
  <c r="F18" i="18"/>
  <c r="E18" i="18"/>
  <c r="J17" i="18"/>
  <c r="I17" i="18"/>
  <c r="H17" i="18"/>
  <c r="G17" i="18"/>
  <c r="F17" i="18"/>
  <c r="E17" i="18"/>
  <c r="J16" i="18"/>
  <c r="I16" i="18"/>
  <c r="H16" i="18"/>
  <c r="G16" i="18"/>
  <c r="F16" i="18"/>
  <c r="E16" i="18"/>
  <c r="J15" i="18"/>
  <c r="I15" i="18"/>
  <c r="H15" i="18"/>
  <c r="G15" i="18"/>
  <c r="F15" i="18"/>
  <c r="E15" i="18"/>
  <c r="J14" i="18"/>
  <c r="I14" i="18"/>
  <c r="H14" i="18"/>
  <c r="G14" i="18"/>
  <c r="E14" i="18"/>
  <c r="J13" i="18"/>
  <c r="I13" i="18"/>
  <c r="H13" i="18"/>
  <c r="G13" i="18"/>
  <c r="F13" i="18"/>
  <c r="E13" i="18"/>
  <c r="J12" i="18"/>
  <c r="I12" i="18"/>
  <c r="H12" i="18"/>
  <c r="G12" i="18"/>
  <c r="F12" i="18"/>
  <c r="E12" i="18"/>
  <c r="J11" i="18"/>
  <c r="I11" i="18"/>
  <c r="H11" i="18"/>
  <c r="G11" i="18"/>
  <c r="F11" i="18"/>
  <c r="E11" i="18"/>
  <c r="J10" i="18"/>
  <c r="I10" i="18"/>
  <c r="H10" i="18"/>
  <c r="G10" i="18"/>
  <c r="F10" i="18"/>
  <c r="E10" i="18"/>
  <c r="J9" i="18"/>
  <c r="I9" i="18"/>
  <c r="H9" i="18"/>
  <c r="G9" i="18"/>
  <c r="F9" i="18"/>
  <c r="E9" i="18"/>
  <c r="J8" i="18"/>
  <c r="I8" i="18"/>
  <c r="H8" i="18"/>
  <c r="G8" i="18"/>
  <c r="F8" i="18"/>
  <c r="E8" i="18"/>
  <c r="J7" i="18"/>
  <c r="I7" i="18"/>
  <c r="H7" i="18"/>
  <c r="G7" i="18"/>
  <c r="F7" i="18"/>
  <c r="E7" i="18"/>
  <c r="J6" i="18"/>
  <c r="I6" i="18"/>
  <c r="H6" i="18"/>
  <c r="G6" i="18"/>
  <c r="F6" i="18"/>
  <c r="E6" i="18"/>
  <c r="J5" i="18"/>
  <c r="I5" i="18"/>
  <c r="H5" i="18"/>
  <c r="G5" i="18"/>
  <c r="E5" i="18"/>
  <c r="J4" i="18"/>
  <c r="I4" i="18"/>
  <c r="H4" i="18"/>
  <c r="G4" i="18"/>
  <c r="F4" i="18"/>
  <c r="E4" i="18"/>
  <c r="D23" i="18"/>
  <c r="D22" i="18"/>
  <c r="D21" i="18"/>
  <c r="D20" i="18"/>
  <c r="D19" i="18"/>
  <c r="D17" i="18"/>
  <c r="D16" i="18"/>
  <c r="D15" i="18"/>
  <c r="D13" i="18"/>
  <c r="D11" i="18"/>
  <c r="D10" i="18"/>
  <c r="D9" i="18"/>
  <c r="D8" i="18"/>
  <c r="D7" i="18"/>
  <c r="D4" i="18"/>
  <c r="D49" i="18"/>
  <c r="E15" i="17"/>
  <c r="E8" i="17"/>
  <c r="E19" i="17"/>
  <c r="D53" i="18"/>
  <c r="D46" i="18"/>
  <c r="E12" i="17"/>
  <c r="F49" i="18"/>
  <c r="F15" i="17"/>
  <c r="D59" i="17" l="1"/>
  <c r="D61" i="17" s="1"/>
  <c r="D63" i="17" s="1"/>
  <c r="G59" i="17"/>
  <c r="I59" i="17"/>
  <c r="H59" i="17"/>
  <c r="J59" i="17"/>
  <c r="B22" i="21"/>
  <c r="D6" i="18"/>
  <c r="F53" i="18"/>
  <c r="E4" i="17"/>
  <c r="D14" i="18"/>
  <c r="D18" i="18"/>
  <c r="D5" i="18"/>
  <c r="F5" i="18"/>
  <c r="F14" i="18"/>
  <c r="F12" i="17"/>
  <c r="F14" i="17"/>
  <c r="D12" i="18"/>
  <c r="E14" i="17"/>
  <c r="H64" i="18"/>
  <c r="G64" i="18"/>
  <c r="I64" i="18"/>
  <c r="J64" i="18"/>
  <c r="E64" i="18"/>
  <c r="E65" i="18" s="1"/>
  <c r="F17" i="15"/>
  <c r="E17" i="15"/>
  <c r="D17" i="15"/>
  <c r="J16" i="15"/>
  <c r="G16" i="15"/>
  <c r="F16" i="15"/>
  <c r="E16" i="15"/>
  <c r="D16" i="15"/>
  <c r="J15" i="15"/>
  <c r="G15" i="15"/>
  <c r="F15" i="15"/>
  <c r="E15" i="15"/>
  <c r="D15" i="15"/>
  <c r="J14" i="15"/>
  <c r="G14" i="15"/>
  <c r="F14" i="15"/>
  <c r="E14" i="15"/>
  <c r="D14" i="15"/>
  <c r="J13" i="15"/>
  <c r="G13" i="15"/>
  <c r="F13" i="15"/>
  <c r="E13" i="15"/>
  <c r="D13" i="15"/>
  <c r="J12" i="15"/>
  <c r="G12" i="15"/>
  <c r="F12" i="15"/>
  <c r="E12" i="15"/>
  <c r="D12" i="15"/>
  <c r="J11" i="15"/>
  <c r="I11" i="15"/>
  <c r="H11" i="15"/>
  <c r="F11" i="15"/>
  <c r="E11" i="15"/>
  <c r="D11" i="15"/>
  <c r="J10" i="15"/>
  <c r="G10" i="15"/>
  <c r="F10" i="15"/>
  <c r="E10" i="15"/>
  <c r="D10" i="15"/>
  <c r="J9" i="15"/>
  <c r="G9" i="15"/>
  <c r="F9" i="15"/>
  <c r="E9" i="15"/>
  <c r="D9" i="15"/>
  <c r="J8" i="15"/>
  <c r="G8" i="15"/>
  <c r="F8" i="15"/>
  <c r="E8" i="15"/>
  <c r="D8" i="15"/>
  <c r="J7" i="15"/>
  <c r="I7" i="15"/>
  <c r="H7" i="15"/>
  <c r="F7" i="15"/>
  <c r="E7" i="15"/>
  <c r="D7" i="15"/>
  <c r="J5" i="15"/>
  <c r="G5" i="15"/>
  <c r="F5" i="15"/>
  <c r="E5" i="15"/>
  <c r="D5" i="15"/>
  <c r="J4" i="15"/>
  <c r="G4" i="15"/>
  <c r="F4" i="15"/>
  <c r="E4" i="15"/>
  <c r="D4" i="15"/>
  <c r="E16" i="16"/>
  <c r="E15" i="16"/>
  <c r="E9" i="16"/>
  <c r="E8" i="16"/>
  <c r="E7" i="16"/>
  <c r="E6" i="16"/>
  <c r="E5" i="16"/>
  <c r="E4" i="16"/>
  <c r="J16" i="16"/>
  <c r="I16" i="16"/>
  <c r="H16" i="16"/>
  <c r="G16" i="16"/>
  <c r="J15" i="16"/>
  <c r="I15" i="16"/>
  <c r="H15" i="16"/>
  <c r="G15" i="16"/>
  <c r="J9" i="16"/>
  <c r="G9" i="16"/>
  <c r="J8" i="16"/>
  <c r="G8" i="16"/>
  <c r="J7" i="16"/>
  <c r="G7" i="16"/>
  <c r="J6" i="16"/>
  <c r="G6" i="16"/>
  <c r="J5" i="16"/>
  <c r="J4" i="16"/>
  <c r="F16" i="16"/>
  <c r="F15" i="16"/>
  <c r="F9" i="16"/>
  <c r="F8" i="16"/>
  <c r="F7" i="16"/>
  <c r="F6" i="16"/>
  <c r="F5" i="16"/>
  <c r="F4" i="16"/>
  <c r="D16" i="16"/>
  <c r="D15" i="16"/>
  <c r="D9" i="16"/>
  <c r="D8" i="16"/>
  <c r="D7" i="16"/>
  <c r="D6" i="16"/>
  <c r="D5" i="16"/>
  <c r="D4" i="16"/>
  <c r="G11" i="15"/>
  <c r="H61" i="17" l="1"/>
  <c r="G63" i="17"/>
  <c r="E59" i="17"/>
  <c r="H79" i="20"/>
  <c r="H217" i="20" s="1"/>
  <c r="D12" i="21"/>
  <c r="H6" i="16"/>
  <c r="H4" i="16"/>
  <c r="H7" i="16"/>
  <c r="H8" i="15"/>
  <c r="C12" i="21"/>
  <c r="C13" i="21" s="1"/>
  <c r="I4" i="15"/>
  <c r="I9" i="15"/>
  <c r="H14" i="15"/>
  <c r="H9" i="16"/>
  <c r="H13" i="15"/>
  <c r="H12" i="15"/>
  <c r="H9" i="15"/>
  <c r="H15" i="15"/>
  <c r="E21" i="15"/>
  <c r="H4" i="15"/>
  <c r="D11" i="21"/>
  <c r="E11" i="21"/>
  <c r="E12" i="21"/>
  <c r="I6" i="16"/>
  <c r="I4" i="16"/>
  <c r="I10" i="15"/>
  <c r="I14" i="15"/>
  <c r="I16" i="15"/>
  <c r="I13" i="15"/>
  <c r="I12" i="15"/>
  <c r="I15" i="15"/>
  <c r="H20" i="21"/>
  <c r="G36" i="21"/>
  <c r="H5" i="16"/>
  <c r="H8" i="16"/>
  <c r="H5" i="15"/>
  <c r="I8" i="15"/>
  <c r="G4" i="16"/>
  <c r="G5" i="16"/>
  <c r="I5" i="16"/>
  <c r="I7" i="16"/>
  <c r="I8" i="16"/>
  <c r="I9" i="16"/>
  <c r="I5" i="15"/>
  <c r="G7" i="15"/>
  <c r="G21" i="15" s="1"/>
  <c r="H10" i="15"/>
  <c r="H16" i="15"/>
  <c r="D64" i="18"/>
  <c r="F64" i="18"/>
  <c r="D21" i="15"/>
  <c r="F21" i="15"/>
  <c r="D23" i="15" s="1"/>
  <c r="J21" i="15"/>
  <c r="D27" i="15" s="1"/>
  <c r="E34" i="21" l="1"/>
  <c r="E38" i="21" s="1"/>
  <c r="E42" i="21" s="1"/>
  <c r="J22" i="21"/>
  <c r="D24" i="15"/>
  <c r="F10" i="17"/>
  <c r="G12" i="21"/>
  <c r="H21" i="15"/>
  <c r="D25" i="15" s="1"/>
  <c r="I21" i="15"/>
  <c r="D26" i="15" s="1"/>
  <c r="E13" i="21"/>
  <c r="J24" i="21" s="1"/>
  <c r="L24" i="21" s="1"/>
  <c r="G11" i="21"/>
  <c r="H11" i="21" s="1"/>
  <c r="D13" i="21"/>
  <c r="J23" i="21" s="1"/>
  <c r="H21" i="21"/>
  <c r="H22" i="21" s="1"/>
  <c r="G23" i="15" l="1"/>
  <c r="F19" i="17"/>
  <c r="F8" i="17"/>
  <c r="D28" i="15"/>
  <c r="D29" i="15" s="1"/>
  <c r="F36" i="21"/>
  <c r="D17" i="16"/>
  <c r="F17" i="16"/>
  <c r="H36" i="21" l="1"/>
  <c r="F59" i="17"/>
  <c r="E3" i="14"/>
  <c r="D3" i="14"/>
  <c r="J3" i="13"/>
  <c r="I3" i="13"/>
  <c r="H3" i="13"/>
  <c r="G3" i="13"/>
  <c r="F3" i="13"/>
  <c r="E3" i="13"/>
  <c r="A3" i="13"/>
  <c r="D3" i="12"/>
  <c r="C3" i="12"/>
  <c r="B3" i="12"/>
  <c r="D3" i="11"/>
  <c r="C3" i="11"/>
  <c r="D3" i="10"/>
  <c r="C3" i="10"/>
  <c r="I3" i="9"/>
  <c r="F3" i="9"/>
  <c r="D3" i="9"/>
  <c r="B3" i="9"/>
  <c r="L3" i="7"/>
  <c r="K3" i="7"/>
  <c r="I3" i="7"/>
  <c r="D3" i="7"/>
  <c r="B3" i="7"/>
  <c r="A3" i="7"/>
  <c r="L3" i="8"/>
  <c r="K3" i="8"/>
  <c r="I3" i="8"/>
  <c r="E3" i="8"/>
  <c r="B3" i="8"/>
  <c r="E3" i="6"/>
  <c r="D3" i="6"/>
  <c r="K3" i="4"/>
  <c r="J3" i="4"/>
  <c r="D3" i="4"/>
  <c r="B3" i="4"/>
  <c r="A3" i="4"/>
  <c r="G3" i="5"/>
  <c r="F3" i="5"/>
  <c r="C3" i="5"/>
  <c r="A3" i="5"/>
  <c r="J17" i="16" l="1"/>
  <c r="G17" i="16"/>
  <c r="H17" i="16" l="1"/>
  <c r="I17" i="16"/>
  <c r="E17" i="16" l="1"/>
  <c r="B13" i="21" l="1"/>
  <c r="G34" i="21"/>
  <c r="G38" i="21" s="1"/>
  <c r="G42" i="21" s="1"/>
  <c r="G13" i="21"/>
  <c r="G45" i="21" l="1"/>
  <c r="G47" i="21"/>
  <c r="F34" i="21"/>
  <c r="F38" i="21" s="1"/>
  <c r="F42" i="21" s="1"/>
  <c r="H12" i="21"/>
  <c r="H13" i="21" s="1"/>
  <c r="H34" i="21" l="1"/>
  <c r="H38" i="21" s="1"/>
  <c r="H42" i="21" s="1"/>
</calcChain>
</file>

<file path=xl/sharedStrings.xml><?xml version="1.0" encoding="utf-8"?>
<sst xmlns="http://schemas.openxmlformats.org/spreadsheetml/2006/main" count="6627" uniqueCount="845">
  <si>
    <t>GSTN NO.</t>
  </si>
  <si>
    <t>IGST</t>
  </si>
  <si>
    <t>CGST</t>
  </si>
  <si>
    <t>SGST</t>
  </si>
  <si>
    <t>CESS</t>
  </si>
  <si>
    <t>27AABCM2508F1ZU</t>
  </si>
  <si>
    <t>Varroc Polymers Pvt.ltd.</t>
  </si>
  <si>
    <t>HSN</t>
  </si>
  <si>
    <t>MFG</t>
  </si>
  <si>
    <t>DES</t>
  </si>
  <si>
    <t>BAL</t>
  </si>
  <si>
    <t>N</t>
  </si>
  <si>
    <t>Regular</t>
  </si>
  <si>
    <t>Nos</t>
  </si>
  <si>
    <t>27-Maharashatra</t>
  </si>
  <si>
    <t>Party Name</t>
  </si>
  <si>
    <t>Invoice No.</t>
  </si>
  <si>
    <t>Date</t>
  </si>
  <si>
    <t>Amount</t>
  </si>
  <si>
    <t>Invoice</t>
  </si>
  <si>
    <t>Description</t>
  </si>
  <si>
    <t>OF Goods</t>
  </si>
  <si>
    <t>Parts &amp; Accessories Of Motor Vehicles Other</t>
  </si>
  <si>
    <t>Unit</t>
  </si>
  <si>
    <t>Rate</t>
  </si>
  <si>
    <t>Taxabe</t>
  </si>
  <si>
    <t>Place of</t>
  </si>
  <si>
    <t>Supply</t>
  </si>
  <si>
    <t>Type</t>
  </si>
  <si>
    <t>Reverse</t>
  </si>
  <si>
    <t>Charges</t>
  </si>
  <si>
    <t>Total</t>
  </si>
  <si>
    <t>Qty</t>
  </si>
  <si>
    <t>Code</t>
  </si>
  <si>
    <t>03.07.17</t>
  </si>
  <si>
    <t>Tax</t>
  </si>
  <si>
    <t>673/17-18</t>
  </si>
  <si>
    <t>674/17-18</t>
  </si>
  <si>
    <t>672/17-18</t>
  </si>
  <si>
    <t>27AABFJ4217F1ZP</t>
  </si>
  <si>
    <t>Japtech Industries</t>
  </si>
  <si>
    <t>675/17-18</t>
  </si>
  <si>
    <t>676/17-18</t>
  </si>
  <si>
    <t>677/17-18</t>
  </si>
  <si>
    <t>27AACT1848E1ZH</t>
  </si>
  <si>
    <t>Tata Autocomp Systems Ltd.(x1)</t>
  </si>
  <si>
    <t>678/17-18</t>
  </si>
  <si>
    <t>TOTAL</t>
  </si>
  <si>
    <t>No. of Invoices</t>
  </si>
  <si>
    <t>Total Invoice Value</t>
  </si>
  <si>
    <t>Total Taxable Value</t>
  </si>
  <si>
    <t>Total Cess</t>
  </si>
  <si>
    <t>Invoice Number</t>
  </si>
  <si>
    <t>Invoice date</t>
  </si>
  <si>
    <t>Invoice Value</t>
  </si>
  <si>
    <t>Place Of Supply</t>
  </si>
  <si>
    <t>Reverse Charge</t>
  </si>
  <si>
    <t>Invoice Type</t>
  </si>
  <si>
    <t>E-Commerce GSTIN</t>
  </si>
  <si>
    <t>Taxable Value</t>
  </si>
  <si>
    <t>Cess Amount</t>
  </si>
  <si>
    <t>37-Andhra Pradesh</t>
  </si>
  <si>
    <t>A-KNP/1000/06-17</t>
  </si>
  <si>
    <t>06-17/LKO/1052</t>
  </si>
  <si>
    <t>06-17/LKO/1053</t>
  </si>
  <si>
    <t>A-KNP/1002/06-17</t>
  </si>
  <si>
    <t>A-KNP/1003/06-17</t>
  </si>
  <si>
    <t>01-Jammu &amp; Kashmir</t>
  </si>
  <si>
    <t>A-KNP/1004/06-17</t>
  </si>
  <si>
    <t>Summary For B2CL(5)</t>
  </si>
  <si>
    <t>Total Inv Value</t>
  </si>
  <si>
    <t>05BJKPK5619P1ZN</t>
  </si>
  <si>
    <t>32-Kerala</t>
  </si>
  <si>
    <t>02-Himachal Pradesh</t>
  </si>
  <si>
    <t>04-Chandigarh</t>
  </si>
  <si>
    <t>Summary For B2B(4)</t>
  </si>
  <si>
    <t>No. of Recipients</t>
  </si>
  <si>
    <t>GSTIN/UIN of Recipient</t>
  </si>
  <si>
    <t>19AAAWB0478A1ZZ</t>
  </si>
  <si>
    <t>Summary For B2CS(7)</t>
  </si>
  <si>
    <t>Total Taxable  Value</t>
  </si>
  <si>
    <t>E</t>
  </si>
  <si>
    <t>OE</t>
  </si>
  <si>
    <t>Summary For CDNR(9B)</t>
  </si>
  <si>
    <t>No. of Notes/Vouchers</t>
  </si>
  <si>
    <t>Total Note/Refund Voucher Value</t>
  </si>
  <si>
    <t>Invoice/Advance Receipt Number</t>
  </si>
  <si>
    <t>Invoice/Advance Receipt date</t>
  </si>
  <si>
    <t>Note/Refund Voucher Number</t>
  </si>
  <si>
    <t>Note/Refund Voucher date</t>
  </si>
  <si>
    <t>Document Type</t>
  </si>
  <si>
    <t>Reason For Issuing document</t>
  </si>
  <si>
    <t>Note/Refund Voucher Value</t>
  </si>
  <si>
    <t>Pre GST</t>
  </si>
  <si>
    <t>36AAATG0019A1ZJ</t>
  </si>
  <si>
    <t>C</t>
  </si>
  <si>
    <t>Sales Return</t>
  </si>
  <si>
    <t>05BJKPK5619P1ZA</t>
  </si>
  <si>
    <t>A1000</t>
  </si>
  <si>
    <t>R</t>
  </si>
  <si>
    <t>Correction in invoice</t>
  </si>
  <si>
    <t>Y</t>
  </si>
  <si>
    <t>D</t>
  </si>
  <si>
    <t>Deficiency in service</t>
  </si>
  <si>
    <t>Summary For CDNUR(9B)</t>
  </si>
  <si>
    <t>Total Note Value</t>
  </si>
  <si>
    <t>UR Type</t>
  </si>
  <si>
    <t>B2CL</t>
  </si>
  <si>
    <t>EXP</t>
  </si>
  <si>
    <t>Finalization of Provisional assessment</t>
  </si>
  <si>
    <t>Summary For EXP(6)</t>
  </si>
  <si>
    <t>No. of Shipping Bill</t>
  </si>
  <si>
    <t>Export Type</t>
  </si>
  <si>
    <t>Port Code</t>
  </si>
  <si>
    <t>Shipping Bill Number</t>
  </si>
  <si>
    <t>Shipping Bill Date</t>
  </si>
  <si>
    <t>WOPAY</t>
  </si>
  <si>
    <t>ASB995</t>
  </si>
  <si>
    <t>ASB996</t>
  </si>
  <si>
    <t>WPAY</t>
  </si>
  <si>
    <t>ASB997</t>
  </si>
  <si>
    <t>ASB998</t>
  </si>
  <si>
    <t>ASB999</t>
  </si>
  <si>
    <t>ASB101</t>
  </si>
  <si>
    <t xml:space="preserve">Summary For Advance Adjusted (11B) </t>
  </si>
  <si>
    <t>Total Advance Received</t>
  </si>
  <si>
    <t>Gross Advance Received</t>
  </si>
  <si>
    <t>Total Advance Adjusted</t>
  </si>
  <si>
    <t>Gross Advance Adjusted</t>
  </si>
  <si>
    <t>Summary For Nil rated, exempted and non GST outward supplies (8)</t>
  </si>
  <si>
    <t>Total Nil Rated Supplies</t>
  </si>
  <si>
    <t>Total Exempted Supplies</t>
  </si>
  <si>
    <t>Total Non-GST Supplies</t>
  </si>
  <si>
    <t>Nil Rated Supplies</t>
  </si>
  <si>
    <t>Exempted (other than nil rated/non GST supply )</t>
  </si>
  <si>
    <t>Non-GST supplies</t>
  </si>
  <si>
    <t>Inter-State supplies to registered persons</t>
  </si>
  <si>
    <t>Intra-State supplies to registered persons</t>
  </si>
  <si>
    <t>Inter-State supplies to unregistered persons</t>
  </si>
  <si>
    <t>Intra-State supplies to unregistered persons</t>
  </si>
  <si>
    <t>Summary For HSN(12)</t>
  </si>
  <si>
    <t>No. of HSN</t>
  </si>
  <si>
    <t>Total Value</t>
  </si>
  <si>
    <t>Total Integrated Tax</t>
  </si>
  <si>
    <t>Total Central Tax</t>
  </si>
  <si>
    <t>Total State/UT Tax</t>
  </si>
  <si>
    <t>UQC</t>
  </si>
  <si>
    <t>Total Quantity</t>
  </si>
  <si>
    <t>Integrated Tax Amount</t>
  </si>
  <si>
    <t>Central Tax Amount</t>
  </si>
  <si>
    <t>State/UT Tax Amount</t>
  </si>
  <si>
    <t>Copper</t>
  </si>
  <si>
    <t>KGS-Kilograms</t>
  </si>
  <si>
    <t>Iron &amp; Steel</t>
  </si>
  <si>
    <t>MTS-METRIC TON</t>
  </si>
  <si>
    <t>Fabric</t>
  </si>
  <si>
    <t>MTR-METER</t>
  </si>
  <si>
    <t>Biscuit</t>
  </si>
  <si>
    <t>Aerated Drinks</t>
  </si>
  <si>
    <t>NOS-Numbers</t>
  </si>
  <si>
    <t>Summary of documents issued during the tax period (13)</t>
  </si>
  <si>
    <t>Total Number</t>
  </si>
  <si>
    <t>Total Cancelled</t>
  </si>
  <si>
    <t>Nature  of Document</t>
  </si>
  <si>
    <t>Sr. No. From</t>
  </si>
  <si>
    <t>Sr. No. To</t>
  </si>
  <si>
    <t>Cancelled</t>
  </si>
  <si>
    <t>Invoice for outward supply</t>
  </si>
  <si>
    <t>LKO/1001</t>
  </si>
  <si>
    <t>LKO/10090</t>
  </si>
  <si>
    <t>KNP/552</t>
  </si>
  <si>
    <t>KNP/890</t>
  </si>
  <si>
    <t>Debit Note</t>
  </si>
  <si>
    <t>PUN/78</t>
  </si>
  <si>
    <t>PUN/98</t>
  </si>
  <si>
    <t>Delivery Challan for job work</t>
  </si>
  <si>
    <t>Invoice for inward supply from unregistered person</t>
  </si>
  <si>
    <t>Refund Voucher</t>
  </si>
  <si>
    <t>27AAACD4090Q1Z8</t>
  </si>
  <si>
    <t>Lumax Auto Technologies Ltd.</t>
  </si>
  <si>
    <t>Tata Autocomp Systems LTD.(X1)</t>
  </si>
  <si>
    <t>Lumax Ancillary Limited.</t>
  </si>
  <si>
    <t>27AAACD2571J1ZO</t>
  </si>
  <si>
    <t>23AABCE9378F1ZK</t>
  </si>
  <si>
    <t>VE Commercial vehicles Ltd</t>
  </si>
  <si>
    <t>23-Madhya Pradesh</t>
  </si>
  <si>
    <t>Rinder India Pvt Ltd.</t>
  </si>
  <si>
    <t>27AAACH4211R1ZF</t>
  </si>
  <si>
    <t>23AXLPP2030P1Z9</t>
  </si>
  <si>
    <t>Migma Packtron</t>
  </si>
  <si>
    <t>27AAJFA8391F1Z7</t>
  </si>
  <si>
    <t>Adm Engineering</t>
  </si>
  <si>
    <t>27AABCL0595K1Z9</t>
  </si>
  <si>
    <t>Lotus Tapes (India) Pvt Ltd,</t>
  </si>
  <si>
    <t>Self-Adhesive Tape</t>
  </si>
  <si>
    <t>27AAECD2713N1ZK</t>
  </si>
  <si>
    <t>Axalta Coating Systems India Pvt.Ltd,</t>
  </si>
  <si>
    <t>Ltr</t>
  </si>
  <si>
    <t>Others ( Paint &amp; Varnishes)</t>
  </si>
  <si>
    <t>Misc Chemical Products Thinner</t>
  </si>
  <si>
    <t>27AMMPB3648M1ZO</t>
  </si>
  <si>
    <t>Aditya Enteprises</t>
  </si>
  <si>
    <t>Lighting &amp; Fitting</t>
  </si>
  <si>
    <t>23AAACT6376M1ZZ</t>
  </si>
  <si>
    <t>Tech-Force Composites Pvt,Ltd.,(Indore)</t>
  </si>
  <si>
    <t>27AABFA1883E1ZQ</t>
  </si>
  <si>
    <t>Aeroaids Corporation</t>
  </si>
  <si>
    <t>Can</t>
  </si>
  <si>
    <t>27AAHCA1363L1ZK</t>
  </si>
  <si>
    <t>Atharva Polymers Pvt Ltd,</t>
  </si>
  <si>
    <t>Sai Traders</t>
  </si>
  <si>
    <t>Polish Paper</t>
  </si>
  <si>
    <t>27AAPFG4989F1ZR</t>
  </si>
  <si>
    <t>Gawade Steel Traders</t>
  </si>
  <si>
    <t>Gypsum Powder</t>
  </si>
  <si>
    <t>27AAACA8832H1ZO</t>
  </si>
  <si>
    <t>Ppg Asian Paints Pvt Ltd,</t>
  </si>
  <si>
    <t>Varroc Polymers Pvt Ltd,</t>
  </si>
  <si>
    <t>27AAHFP1154BIZN</t>
  </si>
  <si>
    <t>Premier Sales Corporation</t>
  </si>
  <si>
    <t>Broom</t>
  </si>
  <si>
    <t>Tackrog</t>
  </si>
  <si>
    <t>Cotton Gloves</t>
  </si>
  <si>
    <t>Cloth Lint</t>
  </si>
  <si>
    <t>Mtr</t>
  </si>
  <si>
    <t>Cloth Filter</t>
  </si>
  <si>
    <t>Pencil</t>
  </si>
  <si>
    <t>Nitrial Glove</t>
  </si>
  <si>
    <t>Finger</t>
  </si>
  <si>
    <t>Battery</t>
  </si>
  <si>
    <t>Liquid</t>
  </si>
  <si>
    <t>Wiper</t>
  </si>
  <si>
    <t>Distilled Water</t>
  </si>
  <si>
    <t>Lambi Patti</t>
  </si>
  <si>
    <t>27ACFPY4813JIZ6</t>
  </si>
  <si>
    <t>Om Enterprises</t>
  </si>
  <si>
    <t>Bopp Tapes</t>
  </si>
  <si>
    <t>Cutter</t>
  </si>
  <si>
    <t>Calculator</t>
  </si>
  <si>
    <t>27AAACB4599E1ZL</t>
  </si>
  <si>
    <t>BASF India Limited</t>
  </si>
  <si>
    <t>27ABXPV6045J1ZP</t>
  </si>
  <si>
    <t>Nation Chemicals</t>
  </si>
  <si>
    <t>Toluene</t>
  </si>
  <si>
    <t>IPA</t>
  </si>
  <si>
    <t>27AAGCP0139E1ZP</t>
  </si>
  <si>
    <t>Pricol Ltd (Formerly Pricol Pune Ltd)</t>
  </si>
  <si>
    <t>Mask</t>
  </si>
  <si>
    <t>Lizol</t>
  </si>
  <si>
    <t>Cement</t>
  </si>
  <si>
    <t>27AAACT1249H1ZG</t>
  </si>
  <si>
    <t>TI METAL FORMING</t>
  </si>
  <si>
    <t>27AAECM8871A1ZF</t>
  </si>
  <si>
    <t>Mittal Precision Auto Comps Pvt Ltd,</t>
  </si>
  <si>
    <t>27AACCA4196J1ZG</t>
  </si>
  <si>
    <t>Alpha Foam Ltd</t>
  </si>
  <si>
    <t>06AAACM6984G1Z9</t>
  </si>
  <si>
    <t>Machino Plastics Ltd. Unit-II</t>
  </si>
  <si>
    <t>27AHVPG8951G1ZQ</t>
  </si>
  <si>
    <t>Sam Systems</t>
  </si>
  <si>
    <t>Automatic Data Processing</t>
  </si>
  <si>
    <t>Parts &amp; Accessories Of Other Cover</t>
  </si>
  <si>
    <t>27AAZFM6461A1ZY</t>
  </si>
  <si>
    <t>Micro Plast</t>
  </si>
  <si>
    <t>27AASCS0290B1ZC</t>
  </si>
  <si>
    <t>S &amp; P Electrocoating Pvt Ltd,</t>
  </si>
  <si>
    <t>27AAACQ1376N1ZC</t>
  </si>
  <si>
    <t>Kansai Nerolac Paints Ltd,</t>
  </si>
  <si>
    <t>27AAACT5755A1ZJ</t>
  </si>
  <si>
    <t>Tata Ficosa Automotves Ltd</t>
  </si>
  <si>
    <t>27AATPC2316A1Z7</t>
  </si>
  <si>
    <t>Raj Hardware &amp; Electricals</t>
  </si>
  <si>
    <t>27AJAPG7696KZP</t>
  </si>
  <si>
    <t>Deep Enterprises</t>
  </si>
  <si>
    <t>27ATWPK5509M1ZV</t>
  </si>
  <si>
    <t>Disha Fire Solutions</t>
  </si>
  <si>
    <t>Fire Extinguishers</t>
  </si>
  <si>
    <t>Filter Cloth</t>
  </si>
  <si>
    <t>Hand Glove</t>
  </si>
  <si>
    <t>27BSEPS5026B1ZX</t>
  </si>
  <si>
    <t>Riddhi Traders</t>
  </si>
  <si>
    <t>27AABC08467D1ZA</t>
  </si>
  <si>
    <t>Origa Renting Pvt Ltd</t>
  </si>
  <si>
    <t>rental</t>
  </si>
  <si>
    <t>27AABCP6517B1ZQ</t>
  </si>
  <si>
    <t>Premier Seals (India) Pvt Ltd</t>
  </si>
  <si>
    <t>Value</t>
  </si>
  <si>
    <t>PARTYWISE SALE</t>
  </si>
  <si>
    <t>MONTH</t>
  </si>
  <si>
    <t>JULY</t>
  </si>
  <si>
    <t>IGST TOTAL</t>
  </si>
  <si>
    <t>CGST TOTAL</t>
  </si>
  <si>
    <t>SGST TOTAL</t>
  </si>
  <si>
    <t>DIFF AMOUNT</t>
  </si>
  <si>
    <t>TAXABLE AMOUNT</t>
  </si>
  <si>
    <t>CESS TOTAL</t>
  </si>
  <si>
    <t>NOS</t>
  </si>
  <si>
    <t>HSN SALE SUMMERY</t>
  </si>
  <si>
    <t>SALES REGISTER MONTH OF JULY 2017</t>
  </si>
  <si>
    <t>s.no.</t>
  </si>
  <si>
    <t>Ganesh Total Gaz Distributor</t>
  </si>
  <si>
    <t>27AAMFG7702P1ZS</t>
  </si>
  <si>
    <t>Petroleum Gases &amp; Other</t>
  </si>
  <si>
    <t>Yeshodeep enterpises</t>
  </si>
  <si>
    <t>27ADOPJ4418Q1ZV</t>
  </si>
  <si>
    <t>Shubham Biz Facility Management (p) Ltd,</t>
  </si>
  <si>
    <t>27AASCS9231J1ZO</t>
  </si>
  <si>
    <t>Vnet Corporation</t>
  </si>
  <si>
    <t>27AYCPB9228K1ZA</t>
  </si>
  <si>
    <t>United India Insurance Company Ltd,</t>
  </si>
  <si>
    <t>27AAACU5552C1ZJ</t>
  </si>
  <si>
    <t>Pratibha Tea House</t>
  </si>
  <si>
    <t>Name of Client:</t>
  </si>
  <si>
    <t>Period:</t>
  </si>
  <si>
    <t>GSTIN:</t>
  </si>
  <si>
    <t>Particular</t>
  </si>
  <si>
    <t xml:space="preserve">    CGST </t>
  </si>
  <si>
    <t xml:space="preserve">SGST </t>
  </si>
  <si>
    <t>Cess Amt</t>
  </si>
  <si>
    <t>Total Output Tax</t>
  </si>
  <si>
    <t>Total Amt</t>
  </si>
  <si>
    <t>Total OutPut Tax</t>
  </si>
  <si>
    <t>Tax Payable under Reverse Charge Mechanism</t>
  </si>
  <si>
    <t>Total Input Tax Credit</t>
  </si>
  <si>
    <t>Liability / (Credit)</t>
  </si>
  <si>
    <t>Note:</t>
  </si>
  <si>
    <t>At the end you can adjust the Liability or Credit in the following prefereance</t>
  </si>
  <si>
    <t>Total A</t>
  </si>
  <si>
    <t>Credit of</t>
  </si>
  <si>
    <t>Against Liability of:</t>
  </si>
  <si>
    <t>1st Preference</t>
  </si>
  <si>
    <t>2nd Preferance</t>
  </si>
  <si>
    <t>3rd Preference</t>
  </si>
  <si>
    <t>Total Input Tax</t>
  </si>
  <si>
    <t>Total B</t>
  </si>
  <si>
    <t>Total C</t>
  </si>
  <si>
    <t xml:space="preserve">Rate </t>
  </si>
  <si>
    <t>AUTOFINA</t>
  </si>
  <si>
    <t>27AASFA7303G1ZE</t>
  </si>
  <si>
    <t xml:space="preserve">GST Computation For Form 3B </t>
  </si>
  <si>
    <t>om logistics ltd.</t>
  </si>
  <si>
    <t>06AAACO4716C1ZX</t>
  </si>
  <si>
    <t>Goods</t>
  </si>
  <si>
    <t>Service</t>
  </si>
  <si>
    <t>Maharashatra electricity Disc co.ltd</t>
  </si>
  <si>
    <t>27ABXFSO61P1Z5</t>
  </si>
  <si>
    <t>S R Enterprises</t>
  </si>
  <si>
    <t>JV</t>
  </si>
  <si>
    <t>TDS</t>
  </si>
  <si>
    <t xml:space="preserve">Voucher </t>
  </si>
  <si>
    <t>Pur</t>
  </si>
  <si>
    <t>Rohit Gadsing &amp; Co.</t>
  </si>
  <si>
    <t>Samarth Transport</t>
  </si>
  <si>
    <t>Sales (Output)</t>
  </si>
  <si>
    <t xml:space="preserve"> Purchase (Input)</t>
  </si>
  <si>
    <t>Liability under Reverse Charge (Purchase Input)</t>
  </si>
  <si>
    <t>personal exe. Internert 5% reduction</t>
  </si>
  <si>
    <t>inliegable credit on constracton  gavde (office building)</t>
  </si>
  <si>
    <t>mseb</t>
  </si>
  <si>
    <t>tds</t>
  </si>
  <si>
    <t>27AAACT1848E1ZH</t>
  </si>
  <si>
    <t>01.08.17</t>
  </si>
  <si>
    <t>Shubham Biz Facility Management (P) Ltd</t>
  </si>
  <si>
    <t>J271019838</t>
  </si>
  <si>
    <t>J271019839</t>
  </si>
  <si>
    <t>Lokseva Petroleum</t>
  </si>
  <si>
    <t>TB75000032</t>
  </si>
  <si>
    <t>26.08.17</t>
  </si>
  <si>
    <t>02.08.17</t>
  </si>
  <si>
    <t>OS2702000239</t>
  </si>
  <si>
    <t>OS2702000238</t>
  </si>
  <si>
    <t>M51731500209</t>
  </si>
  <si>
    <t>03.08.17</t>
  </si>
  <si>
    <t>Lumax Ancillary Limited</t>
  </si>
  <si>
    <t>27AAACD257111ZO</t>
  </si>
  <si>
    <t>04.08.17</t>
  </si>
  <si>
    <t>Nutan Enterprises</t>
  </si>
  <si>
    <t>27AFJPK6177Q1ZJ</t>
  </si>
  <si>
    <t>09.05.17</t>
  </si>
  <si>
    <t>Rohit Gadshing &amp; Co,</t>
  </si>
  <si>
    <t>05.08.17</t>
  </si>
  <si>
    <t>Mrf Corp Limited</t>
  </si>
  <si>
    <t>27AAACM2185R1ZX</t>
  </si>
  <si>
    <t>06.08.17</t>
  </si>
  <si>
    <t>07.08.17</t>
  </si>
  <si>
    <t>08.08.17</t>
  </si>
  <si>
    <t>09.08.17</t>
  </si>
  <si>
    <t>10.08.17</t>
  </si>
  <si>
    <t>J271026279</t>
  </si>
  <si>
    <t>J271026280</t>
  </si>
  <si>
    <t>11.08.17</t>
  </si>
  <si>
    <t>Yuan Heng Tai Water Transfer Printing Co .,Ltd</t>
  </si>
  <si>
    <t>12.08.17</t>
  </si>
  <si>
    <t>27AJZPM2520M1ZL</t>
  </si>
  <si>
    <t>667/17-18</t>
  </si>
  <si>
    <t>13.08.17</t>
  </si>
  <si>
    <t>14.08.17</t>
  </si>
  <si>
    <t>Maharashtra State Electricity Distribution Co Ltd</t>
  </si>
  <si>
    <t>16.08.17</t>
  </si>
  <si>
    <t>M51731500244</t>
  </si>
  <si>
    <t>M51731500245</t>
  </si>
  <si>
    <t>17.08.17</t>
  </si>
  <si>
    <t>Promise Pest Control System</t>
  </si>
  <si>
    <t>27AACPH4424P1ZJ</t>
  </si>
  <si>
    <t>18.08.17</t>
  </si>
  <si>
    <t>19.08.17</t>
  </si>
  <si>
    <t>21.08.17</t>
  </si>
  <si>
    <t>Airtel relationship no 1335956435</t>
  </si>
  <si>
    <t>27AAACB2894G1ZN</t>
  </si>
  <si>
    <t>22.08.17</t>
  </si>
  <si>
    <t>23.08.17</t>
  </si>
  <si>
    <t xml:space="preserve"> Yashodeep Enterprises</t>
  </si>
  <si>
    <t>Lumax Autotechnologies Ltd</t>
  </si>
  <si>
    <t>24.08.17</t>
  </si>
  <si>
    <t>M51731500587</t>
  </si>
  <si>
    <t>M51731500588</t>
  </si>
  <si>
    <t>Fedex express Transportation And Supply Chain Services (India) Private Ltd</t>
  </si>
  <si>
    <t>27AABCF6516A1Z3</t>
  </si>
  <si>
    <t>27.08.17</t>
  </si>
  <si>
    <t>28.08.17</t>
  </si>
  <si>
    <t>Lotus Tape (India)Pvt Ltd</t>
  </si>
  <si>
    <t>M51731500691</t>
  </si>
  <si>
    <t>M51731500692</t>
  </si>
  <si>
    <t>TB75000144</t>
  </si>
  <si>
    <t>29.08.17</t>
  </si>
  <si>
    <t>Rajendra Enterprises</t>
  </si>
  <si>
    <t>27AVIPS7433C1ZF</t>
  </si>
  <si>
    <t>1718RE0172</t>
  </si>
  <si>
    <t>Anuradha Enterprises</t>
  </si>
  <si>
    <t>27BAEPM8837J1Z6</t>
  </si>
  <si>
    <t>30.08.17</t>
  </si>
  <si>
    <t>Hari Om Enterprises</t>
  </si>
  <si>
    <t>27AEZPB3304H1ZI</t>
  </si>
  <si>
    <t>31.08.17</t>
  </si>
  <si>
    <t>0S2702005706</t>
  </si>
  <si>
    <t>0S2702005704</t>
  </si>
  <si>
    <t>0S2702005705</t>
  </si>
  <si>
    <t>Mrf Corp Limited-Hub</t>
  </si>
  <si>
    <t>33AAACM2185R1Z4</t>
  </si>
  <si>
    <t xml:space="preserve">TALLY </t>
  </si>
  <si>
    <t>DIFF</t>
  </si>
  <si>
    <t>Import</t>
  </si>
  <si>
    <t>33-Tamil Nadu</t>
  </si>
  <si>
    <t>Manpower</t>
  </si>
  <si>
    <t>Diesel</t>
  </si>
  <si>
    <t>Internet</t>
  </si>
  <si>
    <t>Building Mterials</t>
  </si>
  <si>
    <t>Gas</t>
  </si>
  <si>
    <t>Labels</t>
  </si>
  <si>
    <t>Kg</t>
  </si>
  <si>
    <t>Tea</t>
  </si>
  <si>
    <t>0</t>
  </si>
  <si>
    <t>Light</t>
  </si>
  <si>
    <t>Lint Free</t>
  </si>
  <si>
    <t>Tape</t>
  </si>
  <si>
    <t>Apron</t>
  </si>
  <si>
    <t>Pest Control</t>
  </si>
  <si>
    <t>Telecom</t>
  </si>
  <si>
    <t>Packing Tape</t>
  </si>
  <si>
    <t xml:space="preserve">Electric </t>
  </si>
  <si>
    <t>Lint Free Cloth</t>
  </si>
  <si>
    <t>Customs Duty</t>
  </si>
  <si>
    <t>Amc Charges</t>
  </si>
  <si>
    <t xml:space="preserve">Electric Cable </t>
  </si>
  <si>
    <t>Thickness Gauge</t>
  </si>
  <si>
    <t>Apporan</t>
  </si>
  <si>
    <t>Staep paed</t>
  </si>
  <si>
    <t>957/17-18</t>
  </si>
  <si>
    <t>958/17-18</t>
  </si>
  <si>
    <t>959/17-18</t>
  </si>
  <si>
    <t>960/17-18</t>
  </si>
  <si>
    <t>961/17-18</t>
  </si>
  <si>
    <t>962/17-18</t>
  </si>
  <si>
    <t>963/17-18</t>
  </si>
  <si>
    <t>964/17-18</t>
  </si>
  <si>
    <t>965/17-18</t>
  </si>
  <si>
    <t>966/17-18</t>
  </si>
  <si>
    <t>967/17-18</t>
  </si>
  <si>
    <t>968/17-18</t>
  </si>
  <si>
    <t>969/17-18</t>
  </si>
  <si>
    <t>970/17-18</t>
  </si>
  <si>
    <t>971/17-18</t>
  </si>
  <si>
    <t>972/17-18</t>
  </si>
  <si>
    <t>973/17-18</t>
  </si>
  <si>
    <t>974/17-18</t>
  </si>
  <si>
    <t>975/17-18</t>
  </si>
  <si>
    <t>976/17-18</t>
  </si>
  <si>
    <t>977/17-18</t>
  </si>
  <si>
    <t>978/17-18</t>
  </si>
  <si>
    <t>979/17-18</t>
  </si>
  <si>
    <t>980/17-18</t>
  </si>
  <si>
    <t>981/17-18</t>
  </si>
  <si>
    <t>982/17-18</t>
  </si>
  <si>
    <t>983/17-18</t>
  </si>
  <si>
    <t>984/17-18</t>
  </si>
  <si>
    <t>985/17-18</t>
  </si>
  <si>
    <t>986/17-18</t>
  </si>
  <si>
    <t>987/17-18</t>
  </si>
  <si>
    <t>988/17-18</t>
  </si>
  <si>
    <t>989/17-18</t>
  </si>
  <si>
    <t>990/17-18</t>
  </si>
  <si>
    <t>991/17-18</t>
  </si>
  <si>
    <t>992/17-18</t>
  </si>
  <si>
    <t>993/17-18</t>
  </si>
  <si>
    <t>994/17-18</t>
  </si>
  <si>
    <t>995/17-18</t>
  </si>
  <si>
    <t>996/17-18</t>
  </si>
  <si>
    <t>997/17-18</t>
  </si>
  <si>
    <t>998/17-18</t>
  </si>
  <si>
    <t>999/17-18</t>
  </si>
  <si>
    <t>1000/17-18</t>
  </si>
  <si>
    <t>1001/17-18</t>
  </si>
  <si>
    <t>1002/17-18</t>
  </si>
  <si>
    <t>1003/17-18</t>
  </si>
  <si>
    <t>1004/17-18</t>
  </si>
  <si>
    <t>1005/17-18</t>
  </si>
  <si>
    <t>1006/17-18</t>
  </si>
  <si>
    <t>1007/17-18</t>
  </si>
  <si>
    <t>1008/17-18</t>
  </si>
  <si>
    <t>1009/17-18</t>
  </si>
  <si>
    <t>1010/17-18</t>
  </si>
  <si>
    <t>1011/17-18</t>
  </si>
  <si>
    <t>1012/17-18</t>
  </si>
  <si>
    <t>1013/17-18</t>
  </si>
  <si>
    <t>1014/17-18</t>
  </si>
  <si>
    <t>1015/17-18</t>
  </si>
  <si>
    <t>1016/17-18</t>
  </si>
  <si>
    <t>1017/17-18</t>
  </si>
  <si>
    <t>1018/17-18</t>
  </si>
  <si>
    <t>1019/17-18</t>
  </si>
  <si>
    <t>1020/17-18</t>
  </si>
  <si>
    <t>1021/17-18</t>
  </si>
  <si>
    <t>1022/17-18</t>
  </si>
  <si>
    <t>1023/17-18</t>
  </si>
  <si>
    <t>1024/17-18</t>
  </si>
  <si>
    <t>1025/17-18</t>
  </si>
  <si>
    <t>1026/17-18</t>
  </si>
  <si>
    <t>1027/17-18</t>
  </si>
  <si>
    <t>1028/17-18</t>
  </si>
  <si>
    <t>1029/17-18</t>
  </si>
  <si>
    <t>1030/17-18</t>
  </si>
  <si>
    <t>1031/17-18</t>
  </si>
  <si>
    <t>1032/17-18</t>
  </si>
  <si>
    <t>1033/17-18</t>
  </si>
  <si>
    <t>1034/17-18</t>
  </si>
  <si>
    <t>1035/17-18</t>
  </si>
  <si>
    <t>1036/17-18</t>
  </si>
  <si>
    <t>1037/17-18</t>
  </si>
  <si>
    <t>1038/17-18</t>
  </si>
  <si>
    <t>1039/17-18</t>
  </si>
  <si>
    <t>1040/17-18</t>
  </si>
  <si>
    <t>Shree Sai Coaters</t>
  </si>
  <si>
    <t>27ACAFS7745J1ZP</t>
  </si>
  <si>
    <t>1042/17-18</t>
  </si>
  <si>
    <t>1043/17-18</t>
  </si>
  <si>
    <t>1044/17-18</t>
  </si>
  <si>
    <t>1045/17-18</t>
  </si>
  <si>
    <t>1046/17-18</t>
  </si>
  <si>
    <t>1047/17-18</t>
  </si>
  <si>
    <t>1048/17-18</t>
  </si>
  <si>
    <t>1049/17-18</t>
  </si>
  <si>
    <t>1050/17-18</t>
  </si>
  <si>
    <t>1051/17-18</t>
  </si>
  <si>
    <t>1052/17-18</t>
  </si>
  <si>
    <t>1053/17-18</t>
  </si>
  <si>
    <t>1054/17-18</t>
  </si>
  <si>
    <t>1055/17-18</t>
  </si>
  <si>
    <t>1056/17-18</t>
  </si>
  <si>
    <t>1057/17-18</t>
  </si>
  <si>
    <t>1058/17-18</t>
  </si>
  <si>
    <t>1059/17-18</t>
  </si>
  <si>
    <t>1060/17-18</t>
  </si>
  <si>
    <t>1061/17-18</t>
  </si>
  <si>
    <t>1062/17-18</t>
  </si>
  <si>
    <t>1063/17-18</t>
  </si>
  <si>
    <t>1064/17-18</t>
  </si>
  <si>
    <t>1065/17-18</t>
  </si>
  <si>
    <t>1066/17-18</t>
  </si>
  <si>
    <t>1067/17-18</t>
  </si>
  <si>
    <t>1068/17-18</t>
  </si>
  <si>
    <t>1069/17-18</t>
  </si>
  <si>
    <t>1070/17-18</t>
  </si>
  <si>
    <t>1071/17-18</t>
  </si>
  <si>
    <t>1072/17-18</t>
  </si>
  <si>
    <t>1073/17-18</t>
  </si>
  <si>
    <t>1074/17-18</t>
  </si>
  <si>
    <t>1075/17-18</t>
  </si>
  <si>
    <t>1076/17-18</t>
  </si>
  <si>
    <t>1077/17-18</t>
  </si>
  <si>
    <t>1078/17-18</t>
  </si>
  <si>
    <t>1079/17-18</t>
  </si>
  <si>
    <t>1080/17-18</t>
  </si>
  <si>
    <t>1081/17-18</t>
  </si>
  <si>
    <t>1082/17-18</t>
  </si>
  <si>
    <t>1083/17-18</t>
  </si>
  <si>
    <t>1084/17-18</t>
  </si>
  <si>
    <t>1085/17-18</t>
  </si>
  <si>
    <t>1086/17-18</t>
  </si>
  <si>
    <t>1087/17-18</t>
  </si>
  <si>
    <t>1088/17-18</t>
  </si>
  <si>
    <t>1089/17-18</t>
  </si>
  <si>
    <t>1090/17-18</t>
  </si>
  <si>
    <t>1091/17-18</t>
  </si>
  <si>
    <t>1092/17-18</t>
  </si>
  <si>
    <t>1093/17-18</t>
  </si>
  <si>
    <t>1094/17-18</t>
  </si>
  <si>
    <t>1095/17-18</t>
  </si>
  <si>
    <t>1096/17-18</t>
  </si>
  <si>
    <t>1097/17-18</t>
  </si>
  <si>
    <t>1098/17-18</t>
  </si>
  <si>
    <t>1099/17-18</t>
  </si>
  <si>
    <t>1100/17-18</t>
  </si>
  <si>
    <t>1101/17-18</t>
  </si>
  <si>
    <t>1102/17-18</t>
  </si>
  <si>
    <t>1103/17-18</t>
  </si>
  <si>
    <t>1104/17-18</t>
  </si>
  <si>
    <t>1105/17-18</t>
  </si>
  <si>
    <t>1106/17-18</t>
  </si>
  <si>
    <t>1107/17-18</t>
  </si>
  <si>
    <t>1108/17-18</t>
  </si>
  <si>
    <t>1109/17-18</t>
  </si>
  <si>
    <t>1110/17-18</t>
  </si>
  <si>
    <t>1111/17-18</t>
  </si>
  <si>
    <t>1112/17-18</t>
  </si>
  <si>
    <t>1113/17-18</t>
  </si>
  <si>
    <t>1114/17-18</t>
  </si>
  <si>
    <t>1115/17-18</t>
  </si>
  <si>
    <t>1116/17-18</t>
  </si>
  <si>
    <t>1117/17-18</t>
  </si>
  <si>
    <t>1118/17-18</t>
  </si>
  <si>
    <t>1119/17-18</t>
  </si>
  <si>
    <t>1120/17-18</t>
  </si>
  <si>
    <t>1121/17-18</t>
  </si>
  <si>
    <t>1122/17-18</t>
  </si>
  <si>
    <t>1123/17-18</t>
  </si>
  <si>
    <t>1124/17-18</t>
  </si>
  <si>
    <t>1125/17-18</t>
  </si>
  <si>
    <t>1126/17-18</t>
  </si>
  <si>
    <t>1127/17-18</t>
  </si>
  <si>
    <t>1128/17-18</t>
  </si>
  <si>
    <t>1129/17-18</t>
  </si>
  <si>
    <t>1130/17-18</t>
  </si>
  <si>
    <t>1131/17-18</t>
  </si>
  <si>
    <t>1132/17-18</t>
  </si>
  <si>
    <t>1133/17-18</t>
  </si>
  <si>
    <t>1134/17-18</t>
  </si>
  <si>
    <t>1135/17-18</t>
  </si>
  <si>
    <t>1136/17-18</t>
  </si>
  <si>
    <t>1137/17-18</t>
  </si>
  <si>
    <t>1138/17-18</t>
  </si>
  <si>
    <t>1139/17-18</t>
  </si>
  <si>
    <t>1140/17-18</t>
  </si>
  <si>
    <t>1141/17-18</t>
  </si>
  <si>
    <t>1142/17-18</t>
  </si>
  <si>
    <t>1143/17-18</t>
  </si>
  <si>
    <t>1144/17-18</t>
  </si>
  <si>
    <t>1145/17-18</t>
  </si>
  <si>
    <t>Tube Investments Of India Ltd</t>
  </si>
  <si>
    <t>27AADCT1398N1ZQ</t>
  </si>
  <si>
    <t>1146/17-18</t>
  </si>
  <si>
    <t>1147/17-18</t>
  </si>
  <si>
    <t>1148/17-18</t>
  </si>
  <si>
    <t>1149/17-18</t>
  </si>
  <si>
    <t>1150/17-18</t>
  </si>
  <si>
    <t>1151/17-18</t>
  </si>
  <si>
    <t>1152/17-18</t>
  </si>
  <si>
    <t>1153/17-18</t>
  </si>
  <si>
    <t>1154/17-18</t>
  </si>
  <si>
    <t>1155/17-18</t>
  </si>
  <si>
    <t>1156/17-18</t>
  </si>
  <si>
    <t>1157/17-18</t>
  </si>
  <si>
    <t>1158/17-18</t>
  </si>
  <si>
    <t>1159/17-18</t>
  </si>
  <si>
    <t>1160/17-18</t>
  </si>
  <si>
    <t>1161/17-18</t>
  </si>
  <si>
    <t>1162/17-18</t>
  </si>
  <si>
    <t>1163/17-18</t>
  </si>
  <si>
    <t>1164/17-18</t>
  </si>
  <si>
    <t>1165/17-18</t>
  </si>
  <si>
    <t>1166/17-18</t>
  </si>
  <si>
    <t>1167/17-18</t>
  </si>
  <si>
    <t>1168/17-18</t>
  </si>
  <si>
    <t>1169/17-18</t>
  </si>
  <si>
    <t>1170/17-18</t>
  </si>
  <si>
    <t>1171/17-18</t>
  </si>
  <si>
    <t>1172/17-18</t>
  </si>
  <si>
    <t>1173/17-18</t>
  </si>
  <si>
    <t>1174/17-18</t>
  </si>
  <si>
    <t>1175/17-18</t>
  </si>
  <si>
    <t>1176/17-18</t>
  </si>
  <si>
    <t>1177/17-18</t>
  </si>
  <si>
    <t>1178/17-18</t>
  </si>
  <si>
    <t>1179/17-18</t>
  </si>
  <si>
    <t>1180/17-18</t>
  </si>
  <si>
    <t>1181/17-18</t>
  </si>
  <si>
    <t>1182/17-18</t>
  </si>
  <si>
    <t>1183/17-18</t>
  </si>
  <si>
    <t>1184/17-18</t>
  </si>
  <si>
    <t>1185/17-18</t>
  </si>
  <si>
    <t>1186/17-18</t>
  </si>
  <si>
    <t>1187/17-18</t>
  </si>
  <si>
    <t>1188/17-18</t>
  </si>
  <si>
    <t>1189/17-18</t>
  </si>
  <si>
    <t>1190/17-18</t>
  </si>
  <si>
    <t>1191/17-18</t>
  </si>
  <si>
    <t>1192/17-18</t>
  </si>
  <si>
    <t>1193/17-18</t>
  </si>
  <si>
    <t>1194/17-18</t>
  </si>
  <si>
    <t>1195/17-18</t>
  </si>
  <si>
    <t>1196/17-18</t>
  </si>
  <si>
    <t>1197/17-18</t>
  </si>
  <si>
    <t>1198/17-18</t>
  </si>
  <si>
    <t>1199/17-18</t>
  </si>
  <si>
    <t>1200/17-18</t>
  </si>
  <si>
    <t>1201/17-18</t>
  </si>
  <si>
    <t>1202/17-18</t>
  </si>
  <si>
    <t>1203/17-18</t>
  </si>
  <si>
    <t>1204/17-18</t>
  </si>
  <si>
    <t>1205/17-18</t>
  </si>
  <si>
    <t>1206/17-18</t>
  </si>
  <si>
    <t>1207/17-18</t>
  </si>
  <si>
    <t>1208/17-18</t>
  </si>
  <si>
    <t>1209/17-18</t>
  </si>
  <si>
    <t>1210/17-18</t>
  </si>
  <si>
    <t>1211/17-18</t>
  </si>
  <si>
    <t>1212/17-18</t>
  </si>
  <si>
    <t>1213/17-18</t>
  </si>
  <si>
    <t>1214/17-18</t>
  </si>
  <si>
    <t>1215/17-18</t>
  </si>
  <si>
    <t>1216/17-18</t>
  </si>
  <si>
    <t>1217/17-18</t>
  </si>
  <si>
    <t>1218/17-18</t>
  </si>
  <si>
    <t>1219/17-18</t>
  </si>
  <si>
    <t>1220/17-18</t>
  </si>
  <si>
    <t>1221/17-18</t>
  </si>
  <si>
    <t>1222/17-18</t>
  </si>
  <si>
    <t>1223/17-18</t>
  </si>
  <si>
    <t>1224/17-18</t>
  </si>
  <si>
    <t>1225/17-18</t>
  </si>
  <si>
    <t>1226/17-18</t>
  </si>
  <si>
    <t>1227/17-18</t>
  </si>
  <si>
    <t>1228/17-18</t>
  </si>
  <si>
    <t>1229/17-18</t>
  </si>
  <si>
    <t>1230/17-18</t>
  </si>
  <si>
    <t>1231/17-18</t>
  </si>
  <si>
    <t>1232/17-18</t>
  </si>
  <si>
    <t>1233/17-18</t>
  </si>
  <si>
    <t>1234/17-18</t>
  </si>
  <si>
    <t>1235/17-18</t>
  </si>
  <si>
    <t>1236/17-18</t>
  </si>
  <si>
    <t>1237/17-18</t>
  </si>
  <si>
    <t>1238/17-18</t>
  </si>
  <si>
    <t>1239/17-18</t>
  </si>
  <si>
    <t>1240/17-18</t>
  </si>
  <si>
    <t>1241/17-18</t>
  </si>
  <si>
    <t>1242/17-18</t>
  </si>
  <si>
    <t>1243/17-18</t>
  </si>
  <si>
    <t>1244/17-18</t>
  </si>
  <si>
    <t>1245/17-18</t>
  </si>
  <si>
    <t>1246/17-18</t>
  </si>
  <si>
    <t>1247/17-18</t>
  </si>
  <si>
    <t>1248/17-18</t>
  </si>
  <si>
    <t>1249/17-18</t>
  </si>
  <si>
    <t>1250/17-18</t>
  </si>
  <si>
    <t>1251/17-18</t>
  </si>
  <si>
    <t>1252/17-18</t>
  </si>
  <si>
    <t>1253/17-18</t>
  </si>
  <si>
    <t>1254/17-18</t>
  </si>
  <si>
    <t>1255/17-18</t>
  </si>
  <si>
    <t>1256/17-18</t>
  </si>
  <si>
    <t>1257/17-18</t>
  </si>
  <si>
    <t>1258/17-18</t>
  </si>
  <si>
    <t>1259/17-18</t>
  </si>
  <si>
    <t>1260/17-18</t>
  </si>
  <si>
    <t>1261/17-18</t>
  </si>
  <si>
    <t>1262/17-18</t>
  </si>
  <si>
    <t>1263/17-18</t>
  </si>
  <si>
    <t>1264/17-18</t>
  </si>
  <si>
    <t>1265/17-18</t>
  </si>
  <si>
    <t>1266/17-18</t>
  </si>
  <si>
    <t>1267/17-18</t>
  </si>
  <si>
    <t>1268/17-18</t>
  </si>
  <si>
    <t>1269/17-18</t>
  </si>
  <si>
    <t>1270/17-18</t>
  </si>
  <si>
    <t>1271/17-18</t>
  </si>
  <si>
    <t>1272/17-18</t>
  </si>
  <si>
    <t>1273/17-18</t>
  </si>
  <si>
    <t>1274/17-18</t>
  </si>
  <si>
    <t>1275/17-18</t>
  </si>
  <si>
    <t>1276/17-18</t>
  </si>
  <si>
    <t>1277/17-18</t>
  </si>
  <si>
    <t>1278/17-18</t>
  </si>
  <si>
    <t>1279/17-18</t>
  </si>
  <si>
    <t>1280/17-18</t>
  </si>
  <si>
    <t>1281/17-18</t>
  </si>
  <si>
    <t>1282/17-18</t>
  </si>
  <si>
    <t>1283/17-18</t>
  </si>
  <si>
    <t>1284/17-18</t>
  </si>
  <si>
    <t>1285/17-18</t>
  </si>
  <si>
    <t>1286/17-18</t>
  </si>
  <si>
    <t>1287/17-18</t>
  </si>
  <si>
    <t>1288/17-18</t>
  </si>
  <si>
    <t>1289/17-18</t>
  </si>
  <si>
    <t>1290/17-18</t>
  </si>
  <si>
    <t>1291/17-18</t>
  </si>
  <si>
    <t>1292/17-18</t>
  </si>
  <si>
    <t>1293/17-18</t>
  </si>
  <si>
    <t>1294/17-18</t>
  </si>
  <si>
    <t>1295/17-18</t>
  </si>
  <si>
    <t>1296/17-18</t>
  </si>
  <si>
    <t>1297/17-18</t>
  </si>
  <si>
    <t>1298/17-18</t>
  </si>
  <si>
    <t>Tata Motors Ltd</t>
  </si>
  <si>
    <t>27AAACT2727Q1ZW</t>
  </si>
  <si>
    <t>1299/17-18</t>
  </si>
  <si>
    <t>1300/17-18</t>
  </si>
  <si>
    <t>1301/17-18</t>
  </si>
  <si>
    <t>1302/17-18</t>
  </si>
  <si>
    <t>1303/17-18</t>
  </si>
  <si>
    <t>1304/17-18</t>
  </si>
  <si>
    <t>1305/17-18</t>
  </si>
  <si>
    <t>1306/17-18</t>
  </si>
  <si>
    <t>1307/17-18</t>
  </si>
  <si>
    <t>1308/17-18</t>
  </si>
  <si>
    <t>1309/17-18</t>
  </si>
  <si>
    <t>1310/17-18</t>
  </si>
  <si>
    <t>1311/17-18</t>
  </si>
  <si>
    <t>1041/17-18</t>
  </si>
  <si>
    <t>MSEB</t>
  </si>
  <si>
    <t xml:space="preserve"> Staff &amp; Welfare Cash</t>
  </si>
  <si>
    <t>Office Exp House Keeping Cash</t>
  </si>
  <si>
    <t xml:space="preserve"> Freight &amp; Transport Cash</t>
  </si>
  <si>
    <t>Repair &amp; Maint  Exp  Cash</t>
  </si>
  <si>
    <t>PETROLEUM RESINS (ACTIVATOR)</t>
  </si>
  <si>
    <t>LTR</t>
  </si>
  <si>
    <t>MISC CHEMICAL PRODUCTS THINNER</t>
  </si>
  <si>
    <t>Lease Rental Machinery</t>
  </si>
  <si>
    <t>loading &amp; unloading</t>
  </si>
  <si>
    <t>credit under Reverse Charge Mechanism</t>
  </si>
  <si>
    <t>Voucher Type</t>
  </si>
  <si>
    <t>Cash Payment</t>
  </si>
  <si>
    <t>Purchases</t>
  </si>
  <si>
    <t>Add Liability</t>
  </si>
  <si>
    <t>1) Reversal Under 17(5) Construction</t>
  </si>
  <si>
    <t>2) Reversal Under 42,43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</si>
</sst>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;[Red]0"/>
    <numFmt numFmtId="165" formatCode="_(* #,##0.0000_);_(* \(#,##0.0000\);_(* &quot;-&quot;??_);_(@_)"/>
  </numFmts>
  <fonts count="18" x14ac:knownFonts="1"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sz val="11"/>
      <color rgb="FF0A0101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7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3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49" fontId="1" fillId="0" borderId="2" xfId="0" applyNumberFormat="1" applyFont="1" applyBorder="1" applyAlignment="1">
      <alignment vertical="top"/>
    </xf>
    <xf numFmtId="0" fontId="0" fillId="0" borderId="4" xfId="0" applyBorder="1"/>
    <xf numFmtId="43" fontId="0" fillId="0" borderId="2" xfId="0" applyNumberFormat="1" applyBorder="1"/>
    <xf numFmtId="43" fontId="0" fillId="0" borderId="4" xfId="0" applyNumberForma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43" fontId="2" fillId="0" borderId="2" xfId="0" applyNumberFormat="1" applyFont="1" applyBorder="1"/>
    <xf numFmtId="43" fontId="2" fillId="0" borderId="4" xfId="0" applyNumberFormat="1" applyFont="1" applyBorder="1"/>
    <xf numFmtId="43" fontId="0" fillId="2" borderId="2" xfId="0" applyNumberFormat="1" applyFill="1" applyBorder="1"/>
    <xf numFmtId="43" fontId="0" fillId="2" borderId="4" xfId="0" applyNumberFormat="1" applyFill="1" applyBorder="1"/>
    <xf numFmtId="0" fontId="0" fillId="0" borderId="7" xfId="0" applyBorder="1"/>
    <xf numFmtId="0" fontId="0" fillId="0" borderId="8" xfId="0" applyBorder="1"/>
    <xf numFmtId="49" fontId="1" fillId="0" borderId="4" xfId="0" applyNumberFormat="1" applyFont="1" applyBorder="1" applyAlignment="1">
      <alignment vertical="top"/>
    </xf>
    <xf numFmtId="2" fontId="0" fillId="0" borderId="1" xfId="0" applyNumberFormat="1" applyBorder="1"/>
    <xf numFmtId="0" fontId="2" fillId="0" borderId="4" xfId="0" applyFont="1" applyBorder="1"/>
    <xf numFmtId="0" fontId="0" fillId="0" borderId="6" xfId="0" applyBorder="1"/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4" fillId="3" borderId="14" xfId="0" applyFont="1" applyFill="1" applyBorder="1" applyAlignment="1" applyProtection="1">
      <alignment horizontal="center"/>
    </xf>
    <xf numFmtId="2" fontId="4" fillId="3" borderId="14" xfId="0" applyNumberFormat="1" applyFont="1" applyFill="1" applyBorder="1" applyAlignment="1" applyProtection="1">
      <alignment horizontal="right"/>
    </xf>
    <xf numFmtId="0" fontId="4" fillId="3" borderId="14" xfId="0" applyFont="1" applyFill="1" applyBorder="1" applyAlignment="1" applyProtection="1">
      <alignment horizontal="left"/>
    </xf>
    <xf numFmtId="0" fontId="5" fillId="0" borderId="14" xfId="0" applyFont="1" applyBorder="1" applyAlignment="1" applyProtection="1">
      <alignment horizontal="center"/>
    </xf>
    <xf numFmtId="2" fontId="6" fillId="0" borderId="14" xfId="0" applyNumberFormat="1" applyFont="1" applyBorder="1" applyProtection="1"/>
    <xf numFmtId="0" fontId="5" fillId="0" borderId="14" xfId="0" applyFont="1" applyBorder="1" applyAlignment="1" applyProtection="1">
      <alignment horizontal="left"/>
    </xf>
    <xf numFmtId="0" fontId="5" fillId="0" borderId="14" xfId="0" applyFont="1" applyBorder="1" applyAlignment="1" applyProtection="1">
      <alignment horizontal="right"/>
    </xf>
    <xf numFmtId="2" fontId="5" fillId="0" borderId="14" xfId="0" applyNumberFormat="1" applyFont="1" applyBorder="1" applyAlignment="1" applyProtection="1">
      <alignment horizontal="right"/>
    </xf>
    <xf numFmtId="0" fontId="7" fillId="4" borderId="0" xfId="0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left"/>
      <protection locked="0"/>
    </xf>
    <xf numFmtId="15" fontId="5" fillId="0" borderId="0" xfId="0" applyNumberFormat="1" applyFont="1" applyAlignment="1" applyProtection="1">
      <alignment horizontal="center"/>
      <protection locked="0"/>
    </xf>
    <xf numFmtId="2" fontId="5" fillId="0" borderId="0" xfId="0" applyNumberFormat="1" applyFont="1" applyProtection="1">
      <protection locked="0"/>
    </xf>
    <xf numFmtId="1" fontId="5" fillId="0" borderId="0" xfId="0" applyNumberFormat="1" applyFont="1" applyAlignment="1" applyProtection="1">
      <alignment horizontal="left"/>
      <protection locked="0"/>
    </xf>
    <xf numFmtId="14" fontId="5" fillId="0" borderId="0" xfId="0" applyNumberFormat="1" applyFont="1" applyAlignment="1" applyProtection="1">
      <alignment horizontal="center"/>
      <protection locked="0"/>
    </xf>
    <xf numFmtId="14" fontId="5" fillId="0" borderId="0" xfId="0" applyNumberFormat="1" applyFont="1" applyAlignment="1" applyProtection="1">
      <alignment horizontal="left" wrapText="1"/>
      <protection locked="0"/>
    </xf>
    <xf numFmtId="2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4" fillId="3" borderId="2" xfId="0" applyFont="1" applyFill="1" applyBorder="1" applyAlignment="1" applyProtection="1">
      <alignment horizontal="center" vertical="top"/>
    </xf>
    <xf numFmtId="0" fontId="8" fillId="5" borderId="2" xfId="1" applyFill="1" applyBorder="1" applyAlignment="1" applyProtection="1">
      <alignment horizontal="center"/>
    </xf>
    <xf numFmtId="2" fontId="5" fillId="0" borderId="0" xfId="0" applyNumberFormat="1" applyFont="1" applyProtection="1"/>
    <xf numFmtId="0" fontId="5" fillId="0" borderId="0" xfId="0" applyFont="1" applyProtection="1"/>
    <xf numFmtId="2" fontId="5" fillId="0" borderId="0" xfId="0" applyNumberFormat="1" applyFont="1" applyAlignment="1" applyProtection="1">
      <alignment horizontal="right"/>
    </xf>
    <xf numFmtId="2" fontId="5" fillId="0" borderId="0" xfId="0" applyNumberFormat="1" applyFont="1" applyAlignment="1" applyProtection="1">
      <alignment horizontal="right" wrapText="1"/>
    </xf>
    <xf numFmtId="0" fontId="9" fillId="0" borderId="2" xfId="1" applyFont="1" applyFill="1" applyBorder="1" applyAlignment="1" applyProtection="1">
      <alignment horizontal="center" vertical="top" wrapText="1"/>
    </xf>
    <xf numFmtId="2" fontId="4" fillId="3" borderId="14" xfId="0" applyNumberFormat="1" applyFont="1" applyFill="1" applyBorder="1" applyAlignment="1" applyProtection="1">
      <alignment horizontal="center"/>
    </xf>
    <xf numFmtId="2" fontId="4" fillId="3" borderId="14" xfId="0" applyNumberFormat="1" applyFont="1" applyFill="1" applyBorder="1" applyAlignment="1" applyProtection="1">
      <alignment horizontal="right" wrapText="1"/>
    </xf>
    <xf numFmtId="0" fontId="5" fillId="0" borderId="14" xfId="0" applyFont="1" applyBorder="1" applyProtection="1"/>
    <xf numFmtId="2" fontId="5" fillId="0" borderId="14" xfId="0" applyNumberFormat="1" applyFont="1" applyBorder="1" applyAlignment="1" applyProtection="1">
      <alignment horizontal="right" wrapText="1"/>
    </xf>
    <xf numFmtId="2" fontId="5" fillId="0" borderId="0" xfId="0" applyNumberFormat="1" applyFont="1" applyAlignment="1" applyProtection="1">
      <alignment horizontal="right" wrapText="1"/>
      <protection locked="0"/>
    </xf>
    <xf numFmtId="0" fontId="10" fillId="0" borderId="0" xfId="0" applyNumberFormat="1" applyFont="1" applyAlignment="1" applyProtection="1">
      <alignment horizontal="center"/>
    </xf>
    <xf numFmtId="2" fontId="10" fillId="0" borderId="0" xfId="0" applyNumberFormat="1" applyFont="1" applyAlignment="1" applyProtection="1">
      <alignment horizontal="right"/>
    </xf>
    <xf numFmtId="0" fontId="10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center"/>
    </xf>
    <xf numFmtId="0" fontId="4" fillId="3" borderId="7" xfId="0" applyFont="1" applyFill="1" applyBorder="1" applyAlignment="1" applyProtection="1">
      <alignment horizontal="center" vertical="top"/>
    </xf>
    <xf numFmtId="0" fontId="8" fillId="5" borderId="14" xfId="1" applyFill="1" applyBorder="1" applyAlignment="1" applyProtection="1">
      <alignment horizontal="center"/>
    </xf>
    <xf numFmtId="2" fontId="5" fillId="0" borderId="14" xfId="0" applyNumberFormat="1" applyFont="1" applyBorder="1" applyAlignment="1" applyProtection="1">
      <alignment horizontal="right" vertical="top"/>
    </xf>
    <xf numFmtId="0" fontId="11" fillId="0" borderId="2" xfId="1" applyFont="1" applyFill="1" applyBorder="1" applyAlignment="1" applyProtection="1">
      <alignment horizontal="center" vertical="top" wrapText="1"/>
    </xf>
    <xf numFmtId="0" fontId="4" fillId="3" borderId="14" xfId="0" applyFont="1" applyFill="1" applyBorder="1" applyAlignment="1" applyProtection="1">
      <alignment horizontal="right"/>
    </xf>
    <xf numFmtId="14" fontId="5" fillId="0" borderId="0" xfId="0" applyNumberFormat="1" applyFont="1" applyAlignment="1" applyProtection="1">
      <alignment horizontal="left"/>
      <protection locked="0"/>
    </xf>
    <xf numFmtId="14" fontId="5" fillId="0" borderId="0" xfId="0" applyNumberFormat="1" applyFont="1" applyFill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/>
    </xf>
    <xf numFmtId="0" fontId="4" fillId="3" borderId="14" xfId="0" applyFont="1" applyFill="1" applyBorder="1" applyAlignment="1" applyProtection="1">
      <alignment horizontal="center" wrapText="1"/>
    </xf>
    <xf numFmtId="0" fontId="5" fillId="0" borderId="14" xfId="0" applyFont="1" applyBorder="1" applyAlignment="1" applyProtection="1">
      <alignment horizontal="center" wrapText="1"/>
    </xf>
    <xf numFmtId="2" fontId="6" fillId="0" borderId="14" xfId="0" applyNumberFormat="1" applyFont="1" applyBorder="1" applyAlignment="1" applyProtection="1">
      <alignment horizontal="right"/>
    </xf>
    <xf numFmtId="0" fontId="5" fillId="6" borderId="0" xfId="0" applyFont="1" applyFill="1" applyProtection="1"/>
    <xf numFmtId="0" fontId="5" fillId="6" borderId="0" xfId="0" applyFont="1" applyFill="1" applyAlignment="1" applyProtection="1">
      <alignment horizontal="left"/>
    </xf>
    <xf numFmtId="0" fontId="5" fillId="6" borderId="0" xfId="0" applyFont="1" applyFill="1" applyAlignment="1" applyProtection="1">
      <alignment horizontal="center"/>
    </xf>
    <xf numFmtId="2" fontId="5" fillId="6" borderId="0" xfId="0" applyNumberFormat="1" applyFont="1" applyFill="1" applyAlignment="1" applyProtection="1">
      <alignment horizontal="right"/>
    </xf>
    <xf numFmtId="14" fontId="5" fillId="0" borderId="0" xfId="0" applyNumberFormat="1" applyFont="1" applyAlignment="1" applyProtection="1">
      <alignment horizontal="center" vertical="center"/>
      <protection locked="0"/>
    </xf>
    <xf numFmtId="14" fontId="5" fillId="0" borderId="0" xfId="0" applyNumberFormat="1" applyFont="1" applyAlignment="1" applyProtection="1">
      <alignment horizontal="left" vertical="center"/>
      <protection locked="0"/>
    </xf>
    <xf numFmtId="15" fontId="5" fillId="0" borderId="0" xfId="0" applyNumberFormat="1" applyFont="1" applyAlignment="1" applyProtection="1">
      <alignment horizontal="center" wrapText="1"/>
      <protection locked="0"/>
    </xf>
    <xf numFmtId="0" fontId="5" fillId="0" borderId="0" xfId="0" applyNumberFormat="1" applyFont="1" applyAlignment="1" applyProtection="1">
      <alignment horizontal="left"/>
      <protection locked="0"/>
    </xf>
    <xf numFmtId="2" fontId="5" fillId="0" borderId="14" xfId="0" applyNumberFormat="1" applyFont="1" applyBorder="1" applyProtection="1"/>
    <xf numFmtId="0" fontId="7" fillId="4" borderId="0" xfId="0" applyFont="1" applyFill="1" applyBorder="1" applyAlignment="1" applyProtection="1">
      <alignment horizontal="center" vertical="center"/>
    </xf>
    <xf numFmtId="15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left"/>
    </xf>
    <xf numFmtId="2" fontId="7" fillId="6" borderId="0" xfId="0" applyNumberFormat="1" applyFont="1" applyFill="1" applyBorder="1" applyAlignment="1" applyProtection="1">
      <alignment horizontal="right"/>
    </xf>
    <xf numFmtId="0" fontId="4" fillId="3" borderId="2" xfId="0" applyFont="1" applyFill="1" applyBorder="1" applyAlignment="1" applyProtection="1">
      <alignment horizontal="center" vertical="top" wrapText="1"/>
    </xf>
    <xf numFmtId="2" fontId="5" fillId="0" borderId="0" xfId="0" applyNumberFormat="1" applyFont="1" applyAlignment="1" applyProtection="1"/>
    <xf numFmtId="0" fontId="7" fillId="4" borderId="0" xfId="0" applyFont="1" applyFill="1" applyAlignment="1" applyProtection="1">
      <alignment horizontal="center"/>
    </xf>
    <xf numFmtId="2" fontId="7" fillId="4" borderId="0" xfId="0" applyNumberFormat="1" applyFont="1" applyFill="1" applyAlignment="1" applyProtection="1">
      <alignment horizontal="right"/>
    </xf>
    <xf numFmtId="2" fontId="7" fillId="4" borderId="0" xfId="0" applyNumberFormat="1" applyFont="1" applyFill="1" applyBorder="1" applyAlignment="1" applyProtection="1">
      <alignment horizontal="right"/>
    </xf>
    <xf numFmtId="2" fontId="5" fillId="0" borderId="0" xfId="0" applyNumberFormat="1" applyFont="1" applyAlignment="1" applyProtection="1">
      <protection locked="0"/>
    </xf>
    <xf numFmtId="0" fontId="7" fillId="4" borderId="0" xfId="0" applyFont="1" applyFill="1" applyAlignment="1" applyProtection="1">
      <alignment horizontal="center" vertical="top"/>
    </xf>
    <xf numFmtId="2" fontId="7" fillId="4" borderId="0" xfId="0" applyNumberFormat="1" applyFont="1" applyFill="1" applyAlignment="1" applyProtection="1">
      <alignment horizontal="right" vertical="top"/>
    </xf>
    <xf numFmtId="2" fontId="7" fillId="4" borderId="0" xfId="0" applyNumberFormat="1" applyFont="1" applyFill="1" applyAlignment="1" applyProtection="1">
      <alignment horizontal="right" wrapText="1"/>
    </xf>
    <xf numFmtId="2" fontId="7" fillId="4" borderId="0" xfId="0" applyNumberFormat="1" applyFont="1" applyFill="1" applyBorder="1" applyAlignment="1" applyProtection="1">
      <alignment horizontal="right" vertical="top" wrapText="1"/>
    </xf>
    <xf numFmtId="0" fontId="4" fillId="3" borderId="15" xfId="0" applyFont="1" applyFill="1" applyBorder="1" applyAlignment="1" applyProtection="1">
      <alignment horizontal="center"/>
    </xf>
    <xf numFmtId="0" fontId="4" fillId="3" borderId="16" xfId="0" applyFont="1" applyFill="1" applyBorder="1" applyAlignment="1" applyProtection="1">
      <alignment horizontal="left"/>
    </xf>
    <xf numFmtId="0" fontId="4" fillId="3" borderId="16" xfId="0" applyFont="1" applyFill="1" applyBorder="1" applyAlignment="1" applyProtection="1">
      <alignment horizontal="center"/>
    </xf>
    <xf numFmtId="2" fontId="4" fillId="3" borderId="16" xfId="0" applyNumberFormat="1" applyFont="1" applyFill="1" applyBorder="1" applyAlignment="1" applyProtection="1">
      <alignment horizontal="center"/>
    </xf>
    <xf numFmtId="2" fontId="4" fillId="3" borderId="16" xfId="0" applyNumberFormat="1" applyFont="1" applyFill="1" applyBorder="1" applyAlignment="1" applyProtection="1">
      <alignment horizontal="right"/>
    </xf>
    <xf numFmtId="2" fontId="4" fillId="3" borderId="17" xfId="0" applyNumberFormat="1" applyFont="1" applyFill="1" applyBorder="1" applyAlignment="1" applyProtection="1">
      <alignment horizontal="right"/>
    </xf>
    <xf numFmtId="0" fontId="5" fillId="0" borderId="18" xfId="0" applyFont="1" applyBorder="1" applyAlignment="1" applyProtection="1">
      <alignment horizontal="center"/>
    </xf>
    <xf numFmtId="0" fontId="5" fillId="0" borderId="19" xfId="0" applyFont="1" applyBorder="1" applyAlignment="1" applyProtection="1">
      <alignment horizontal="left"/>
    </xf>
    <xf numFmtId="0" fontId="5" fillId="0" borderId="19" xfId="0" applyFont="1" applyBorder="1" applyProtection="1"/>
    <xf numFmtId="0" fontId="5" fillId="0" borderId="19" xfId="0" applyFont="1" applyBorder="1" applyAlignment="1" applyProtection="1">
      <alignment horizontal="right"/>
    </xf>
    <xf numFmtId="2" fontId="5" fillId="0" borderId="19" xfId="0" applyNumberFormat="1" applyFont="1" applyBorder="1" applyAlignment="1" applyProtection="1">
      <alignment horizontal="right"/>
    </xf>
    <xf numFmtId="2" fontId="5" fillId="0" borderId="20" xfId="0" applyNumberFormat="1" applyFont="1" applyBorder="1" applyAlignment="1" applyProtection="1">
      <alignment horizontal="right"/>
    </xf>
    <xf numFmtId="0" fontId="4" fillId="3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/>
    <xf numFmtId="0" fontId="4" fillId="3" borderId="14" xfId="0" applyFont="1" applyFill="1" applyBorder="1" applyAlignment="1" applyProtection="1"/>
    <xf numFmtId="0" fontId="5" fillId="0" borderId="14" xfId="0" applyFont="1" applyBorder="1" applyAlignment="1" applyProtection="1"/>
    <xf numFmtId="164" fontId="5" fillId="0" borderId="14" xfId="0" applyNumberFormat="1" applyFont="1" applyBorder="1" applyAlignment="1" applyProtection="1">
      <alignment horizontal="right"/>
    </xf>
    <xf numFmtId="0" fontId="7" fillId="4" borderId="0" xfId="0" applyFont="1" applyFill="1" applyBorder="1" applyAlignment="1" applyProtection="1">
      <alignment horizontal="left" vertical="top"/>
    </xf>
    <xf numFmtId="0" fontId="7" fillId="4" borderId="0" xfId="0" applyFont="1" applyFill="1" applyBorder="1" applyAlignment="1" applyProtection="1">
      <alignment vertical="top"/>
    </xf>
    <xf numFmtId="2" fontId="5" fillId="6" borderId="0" xfId="0" applyNumberFormat="1" applyFont="1" applyFill="1" applyBorder="1" applyAlignment="1" applyProtection="1">
      <alignment horizontal="right" vertical="top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>
      <alignment vertical="top"/>
    </xf>
    <xf numFmtId="49" fontId="1" fillId="0" borderId="10" xfId="0" applyNumberFormat="1" applyFont="1" applyBorder="1" applyAlignment="1">
      <alignment vertical="top"/>
    </xf>
    <xf numFmtId="0" fontId="0" fillId="2" borderId="4" xfId="0" applyFill="1" applyBorder="1"/>
    <xf numFmtId="2" fontId="3" fillId="0" borderId="3" xfId="0" applyNumberFormat="1" applyFont="1" applyBorder="1"/>
    <xf numFmtId="2" fontId="12" fillId="0" borderId="2" xfId="0" applyNumberFormat="1" applyFont="1" applyFill="1" applyBorder="1"/>
    <xf numFmtId="2" fontId="12" fillId="0" borderId="4" xfId="0" applyNumberFormat="1" applyFont="1" applyFill="1" applyBorder="1"/>
    <xf numFmtId="2" fontId="12" fillId="0" borderId="2" xfId="0" applyNumberFormat="1" applyFont="1" applyBorder="1"/>
    <xf numFmtId="2" fontId="12" fillId="0" borderId="4" xfId="0" applyNumberFormat="1" applyFont="1" applyBorder="1"/>
    <xf numFmtId="2" fontId="0" fillId="0" borderId="3" xfId="0" applyNumberFormat="1" applyBorder="1"/>
    <xf numFmtId="43" fontId="0" fillId="0" borderId="1" xfId="0" applyNumberFormat="1" applyBorder="1"/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/>
    <xf numFmtId="2" fontId="0" fillId="0" borderId="2" xfId="0" applyNumberFormat="1" applyBorder="1"/>
    <xf numFmtId="2" fontId="2" fillId="0" borderId="3" xfId="0" applyNumberFormat="1" applyFont="1" applyBorder="1"/>
    <xf numFmtId="2" fontId="0" fillId="2" borderId="3" xfId="0" applyNumberFormat="1" applyFill="1" applyBorder="1"/>
    <xf numFmtId="2" fontId="0" fillId="0" borderId="4" xfId="0" applyNumberFormat="1" applyBorder="1"/>
    <xf numFmtId="2" fontId="1" fillId="0" borderId="4" xfId="0" applyNumberFormat="1" applyFont="1" applyBorder="1" applyAlignment="1">
      <alignment vertical="top"/>
    </xf>
    <xf numFmtId="2" fontId="2" fillId="0" borderId="4" xfId="0" applyNumberFormat="1" applyFont="1" applyBorder="1"/>
    <xf numFmtId="2" fontId="0" fillId="2" borderId="4" xfId="0" applyNumberFormat="1" applyFill="1" applyBorder="1"/>
    <xf numFmtId="2" fontId="0" fillId="0" borderId="8" xfId="0" applyNumberFormat="1" applyBorder="1"/>
    <xf numFmtId="2" fontId="0" fillId="0" borderId="0" xfId="0" applyNumberFormat="1" applyBorder="1"/>
    <xf numFmtId="2" fontId="0" fillId="0" borderId="5" xfId="0" applyNumberFormat="1" applyBorder="1"/>
    <xf numFmtId="14" fontId="0" fillId="0" borderId="4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2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2" fontId="12" fillId="0" borderId="35" xfId="0" applyNumberFormat="1" applyFont="1" applyFill="1" applyBorder="1"/>
    <xf numFmtId="0" fontId="0" fillId="0" borderId="36" xfId="0" applyBorder="1"/>
    <xf numFmtId="2" fontId="12" fillId="0" borderId="37" xfId="0" applyNumberFormat="1" applyFont="1" applyFill="1" applyBorder="1"/>
    <xf numFmtId="0" fontId="0" fillId="0" borderId="38" xfId="0" applyBorder="1"/>
    <xf numFmtId="2" fontId="0" fillId="0" borderId="39" xfId="0" applyNumberFormat="1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26" xfId="0" applyBorder="1"/>
    <xf numFmtId="2" fontId="0" fillId="0" borderId="25" xfId="0" applyNumberFormat="1" applyBorder="1"/>
    <xf numFmtId="1" fontId="0" fillId="0" borderId="0" xfId="0" applyNumberFormat="1"/>
    <xf numFmtId="1" fontId="0" fillId="0" borderId="3" xfId="0" applyNumberFormat="1" applyBorder="1"/>
    <xf numFmtId="1" fontId="0" fillId="0" borderId="4" xfId="0" applyNumberFormat="1" applyBorder="1"/>
    <xf numFmtId="1" fontId="0" fillId="0" borderId="1" xfId="0" applyNumberFormat="1" applyBorder="1"/>
    <xf numFmtId="2" fontId="12" fillId="0" borderId="3" xfId="0" applyNumberFormat="1" applyFont="1" applyFill="1" applyBorder="1"/>
    <xf numFmtId="0" fontId="2" fillId="0" borderId="23" xfId="0" applyFont="1" applyBorder="1"/>
    <xf numFmtId="1" fontId="0" fillId="0" borderId="23" xfId="0" applyNumberFormat="1" applyBorder="1"/>
    <xf numFmtId="0" fontId="0" fillId="0" borderId="48" xfId="0" applyBorder="1"/>
    <xf numFmtId="0" fontId="2" fillId="0" borderId="0" xfId="0" applyFont="1" applyBorder="1"/>
    <xf numFmtId="1" fontId="0" fillId="0" borderId="0" xfId="0" applyNumberFormat="1" applyBorder="1"/>
    <xf numFmtId="0" fontId="0" fillId="0" borderId="49" xfId="0" applyBorder="1"/>
    <xf numFmtId="0" fontId="0" fillId="0" borderId="50" xfId="0" applyBorder="1"/>
    <xf numFmtId="0" fontId="2" fillId="0" borderId="50" xfId="0" applyFont="1" applyBorder="1"/>
    <xf numFmtId="1" fontId="0" fillId="0" borderId="50" xfId="0" applyNumberFormat="1" applyBorder="1"/>
    <xf numFmtId="0" fontId="0" fillId="0" borderId="5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2" fontId="12" fillId="0" borderId="37" xfId="0" applyNumberFormat="1" applyFont="1" applyBorder="1"/>
    <xf numFmtId="2" fontId="12" fillId="0" borderId="25" xfId="0" applyNumberFormat="1" applyFont="1" applyBorder="1"/>
    <xf numFmtId="2" fontId="12" fillId="0" borderId="27" xfId="0" applyNumberFormat="1" applyFont="1" applyBorder="1"/>
    <xf numFmtId="2" fontId="0" fillId="0" borderId="52" xfId="0" applyNumberFormat="1" applyBorder="1"/>
    <xf numFmtId="0" fontId="7" fillId="4" borderId="23" xfId="0" applyFont="1" applyFill="1" applyBorder="1" applyAlignment="1" applyProtection="1">
      <alignment horizontal="center"/>
    </xf>
    <xf numFmtId="2" fontId="0" fillId="2" borderId="53" xfId="0" applyNumberFormat="1" applyFill="1" applyBorder="1" applyAlignment="1">
      <alignment horizontal="left"/>
    </xf>
    <xf numFmtId="2" fontId="2" fillId="0" borderId="52" xfId="0" applyNumberFormat="1" applyFont="1" applyBorder="1"/>
    <xf numFmtId="2" fontId="0" fillId="0" borderId="54" xfId="0" applyNumberFormat="1" applyBorder="1" applyAlignment="1"/>
    <xf numFmtId="2" fontId="0" fillId="0" borderId="54" xfId="0" applyNumberFormat="1" applyBorder="1" applyAlignment="1">
      <alignment horizontal="center"/>
    </xf>
    <xf numFmtId="1" fontId="0" fillId="0" borderId="52" xfId="0" applyNumberFormat="1" applyBorder="1"/>
    <xf numFmtId="43" fontId="0" fillId="0" borderId="0" xfId="0" applyNumberFormat="1"/>
    <xf numFmtId="0" fontId="0" fillId="5" borderId="0" xfId="0" applyFill="1" applyBorder="1"/>
    <xf numFmtId="0" fontId="0" fillId="5" borderId="31" xfId="0" applyFill="1" applyBorder="1"/>
    <xf numFmtId="0" fontId="14" fillId="5" borderId="8" xfId="0" applyFont="1" applyFill="1" applyBorder="1"/>
    <xf numFmtId="0" fontId="14" fillId="5" borderId="1" xfId="0" applyFont="1" applyFill="1" applyBorder="1"/>
    <xf numFmtId="43" fontId="0" fillId="8" borderId="14" xfId="2" applyFont="1" applyFill="1" applyBorder="1"/>
    <xf numFmtId="43" fontId="0" fillId="8" borderId="61" xfId="2" applyFont="1" applyFill="1" applyBorder="1"/>
    <xf numFmtId="43" fontId="0" fillId="0" borderId="14" xfId="2" applyFont="1" applyBorder="1"/>
    <xf numFmtId="43" fontId="14" fillId="8" borderId="14" xfId="2" applyFont="1" applyFill="1" applyBorder="1" applyAlignment="1">
      <alignment vertical="center"/>
    </xf>
    <xf numFmtId="43" fontId="14" fillId="8" borderId="61" xfId="2" applyFont="1" applyFill="1" applyBorder="1" applyAlignment="1">
      <alignment vertical="center"/>
    </xf>
    <xf numFmtId="43" fontId="14" fillId="8" borderId="16" xfId="2" applyFont="1" applyFill="1" applyBorder="1"/>
    <xf numFmtId="0" fontId="14" fillId="9" borderId="14" xfId="0" applyFont="1" applyFill="1" applyBorder="1"/>
    <xf numFmtId="0" fontId="14" fillId="9" borderId="61" xfId="0" applyFont="1" applyFill="1" applyBorder="1"/>
    <xf numFmtId="0" fontId="0" fillId="0" borderId="66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61" xfId="0" applyFont="1" applyFill="1" applyBorder="1" applyAlignment="1">
      <alignment vertical="center"/>
    </xf>
    <xf numFmtId="0" fontId="0" fillId="0" borderId="66" xfId="0" applyFont="1" applyBorder="1"/>
    <xf numFmtId="0" fontId="0" fillId="0" borderId="14" xfId="0" applyFont="1" applyBorder="1"/>
    <xf numFmtId="0" fontId="0" fillId="10" borderId="61" xfId="0" applyFont="1" applyFill="1" applyBorder="1"/>
    <xf numFmtId="0" fontId="0" fillId="0" borderId="67" xfId="0" applyFont="1" applyBorder="1"/>
    <xf numFmtId="0" fontId="0" fillId="0" borderId="62" xfId="0" applyFont="1" applyBorder="1"/>
    <xf numFmtId="0" fontId="0" fillId="10" borderId="63" xfId="0" applyFont="1" applyFill="1" applyBorder="1"/>
    <xf numFmtId="39" fontId="0" fillId="8" borderId="60" xfId="0" applyNumberFormat="1" applyFill="1" applyBorder="1"/>
    <xf numFmtId="43" fontId="0" fillId="0" borderId="69" xfId="2" applyFont="1" applyBorder="1"/>
    <xf numFmtId="43" fontId="0" fillId="0" borderId="58" xfId="2" applyFont="1" applyBorder="1"/>
    <xf numFmtId="43" fontId="14" fillId="8" borderId="58" xfId="2" applyFont="1" applyFill="1" applyBorder="1" applyAlignment="1">
      <alignment vertical="center"/>
    </xf>
    <xf numFmtId="43" fontId="14" fillId="8" borderId="68" xfId="2" applyFont="1" applyFill="1" applyBorder="1" applyAlignment="1">
      <alignment vertical="center"/>
    </xf>
    <xf numFmtId="43" fontId="14" fillId="8" borderId="69" xfId="2" applyFont="1" applyFill="1" applyBorder="1" applyAlignment="1">
      <alignment vertical="center"/>
    </xf>
    <xf numFmtId="39" fontId="0" fillId="8" borderId="57" xfId="0" applyNumberFormat="1" applyFill="1" applyBorder="1"/>
    <xf numFmtId="43" fontId="14" fillId="8" borderId="59" xfId="2" applyFont="1" applyFill="1" applyBorder="1" applyAlignment="1">
      <alignment vertical="center"/>
    </xf>
    <xf numFmtId="0" fontId="14" fillId="7" borderId="5" xfId="0" applyFont="1" applyFill="1" applyBorder="1"/>
    <xf numFmtId="43" fontId="14" fillId="8" borderId="17" xfId="2" applyFont="1" applyFill="1" applyBorder="1"/>
    <xf numFmtId="0" fontId="0" fillId="7" borderId="15" xfId="0" applyFill="1" applyBorder="1"/>
    <xf numFmtId="43" fontId="0" fillId="8" borderId="16" xfId="2" applyFont="1" applyFill="1" applyBorder="1"/>
    <xf numFmtId="43" fontId="0" fillId="8" borderId="17" xfId="2" applyFont="1" applyFill="1" applyBorder="1"/>
    <xf numFmtId="43" fontId="0" fillId="8" borderId="59" xfId="2" applyFont="1" applyFill="1" applyBorder="1"/>
    <xf numFmtId="43" fontId="0" fillId="8" borderId="70" xfId="2" applyFont="1" applyFill="1" applyBorder="1"/>
    <xf numFmtId="0" fontId="14" fillId="7" borderId="16" xfId="0" applyFont="1" applyFill="1" applyBorder="1"/>
    <xf numFmtId="0" fontId="14" fillId="7" borderId="17" xfId="0" applyFont="1" applyFill="1" applyBorder="1"/>
    <xf numFmtId="43" fontId="0" fillId="8" borderId="68" xfId="2" applyFont="1" applyFill="1" applyBorder="1"/>
    <xf numFmtId="0" fontId="15" fillId="5" borderId="3" xfId="0" applyFont="1" applyFill="1" applyBorder="1"/>
    <xf numFmtId="0" fontId="0" fillId="0" borderId="73" xfId="0" applyBorder="1"/>
    <xf numFmtId="0" fontId="15" fillId="7" borderId="74" xfId="0" applyFont="1" applyFill="1" applyBorder="1" applyAlignment="1"/>
    <xf numFmtId="0" fontId="15" fillId="7" borderId="75" xfId="0" applyFont="1" applyFill="1" applyBorder="1" applyAlignment="1"/>
    <xf numFmtId="39" fontId="0" fillId="8" borderId="65" xfId="0" applyNumberFormat="1" applyFill="1" applyBorder="1"/>
    <xf numFmtId="43" fontId="14" fillId="8" borderId="70" xfId="2" applyFont="1" applyFill="1" applyBorder="1" applyAlignment="1">
      <alignment vertical="center"/>
    </xf>
    <xf numFmtId="0" fontId="14" fillId="7" borderId="15" xfId="0" applyFont="1" applyFill="1" applyBorder="1" applyAlignment="1">
      <alignment wrapText="1"/>
    </xf>
    <xf numFmtId="0" fontId="14" fillId="7" borderId="21" xfId="0" applyFont="1" applyFill="1" applyBorder="1" applyAlignment="1">
      <alignment vertical="center"/>
    </xf>
    <xf numFmtId="0" fontId="14" fillId="7" borderId="16" xfId="0" applyFont="1" applyFill="1" applyBorder="1" applyAlignment="1">
      <alignment vertical="center"/>
    </xf>
    <xf numFmtId="0" fontId="14" fillId="7" borderId="17" xfId="0" applyFont="1" applyFill="1" applyBorder="1" applyAlignment="1">
      <alignment vertical="center"/>
    </xf>
    <xf numFmtId="2" fontId="0" fillId="0" borderId="53" xfId="0" applyNumberFormat="1" applyBorder="1" applyAlignment="1">
      <alignment horizontal="center"/>
    </xf>
    <xf numFmtId="43" fontId="0" fillId="0" borderId="4" xfId="0" applyNumberFormat="1" applyFill="1" applyBorder="1"/>
    <xf numFmtId="43" fontId="0" fillId="2" borderId="1" xfId="0" applyNumberFormat="1" applyFill="1" applyBorder="1"/>
    <xf numFmtId="43" fontId="2" fillId="0" borderId="1" xfId="0" applyNumberFormat="1" applyFont="1" applyBorder="1"/>
    <xf numFmtId="10" fontId="0" fillId="0" borderId="0" xfId="0" applyNumberFormat="1"/>
    <xf numFmtId="165" fontId="0" fillId="0" borderId="0" xfId="0" applyNumberFormat="1"/>
    <xf numFmtId="0" fontId="0" fillId="2" borderId="2" xfId="0" applyFill="1" applyBorder="1"/>
    <xf numFmtId="17" fontId="0" fillId="0" borderId="4" xfId="0" applyNumberFormat="1" applyBorder="1"/>
    <xf numFmtId="0" fontId="0" fillId="11" borderId="4" xfId="0" applyFill="1" applyBorder="1"/>
    <xf numFmtId="43" fontId="0" fillId="11" borderId="4" xfId="0" applyNumberFormat="1" applyFill="1" applyBorder="1"/>
    <xf numFmtId="0" fontId="0" fillId="0" borderId="4" xfId="0" applyFill="1" applyBorder="1"/>
    <xf numFmtId="49" fontId="1" fillId="11" borderId="4" xfId="0" applyNumberFormat="1" applyFont="1" applyFill="1" applyBorder="1" applyAlignment="1">
      <alignment vertical="top"/>
    </xf>
    <xf numFmtId="14" fontId="0" fillId="0" borderId="4" xfId="0" applyNumberFormat="1" applyBorder="1" applyAlignment="1"/>
    <xf numFmtId="2" fontId="0" fillId="0" borderId="4" xfId="0" applyNumberFormat="1" applyBorder="1" applyAlignment="1">
      <alignment horizontal="right"/>
    </xf>
    <xf numFmtId="0" fontId="12" fillId="0" borderId="4" xfId="0" applyFont="1" applyFill="1" applyBorder="1"/>
    <xf numFmtId="0" fontId="0" fillId="0" borderId="36" xfId="0" applyFill="1" applyBorder="1"/>
    <xf numFmtId="0" fontId="0" fillId="0" borderId="4" xfId="0" applyFont="1" applyFill="1" applyBorder="1"/>
    <xf numFmtId="2" fontId="0" fillId="0" borderId="4" xfId="0" applyNumberFormat="1" applyFont="1" applyFill="1" applyBorder="1"/>
    <xf numFmtId="43" fontId="0" fillId="0" borderId="4" xfId="0" applyNumberFormat="1" applyBorder="1" applyAlignment="1"/>
    <xf numFmtId="0" fontId="0" fillId="0" borderId="4" xfId="0" applyBorder="1" applyAlignment="1"/>
    <xf numFmtId="49" fontId="17" fillId="0" borderId="0" xfId="0" applyNumberFormat="1" applyFont="1" applyAlignment="1">
      <alignment vertical="top"/>
    </xf>
    <xf numFmtId="0" fontId="0" fillId="12" borderId="2" xfId="0" applyFill="1" applyBorder="1"/>
    <xf numFmtId="2" fontId="2" fillId="0" borderId="23" xfId="0" applyNumberFormat="1" applyFont="1" applyBorder="1"/>
    <xf numFmtId="2" fontId="0" fillId="0" borderId="23" xfId="0" applyNumberFormat="1" applyBorder="1"/>
    <xf numFmtId="2" fontId="2" fillId="0" borderId="0" xfId="0" applyNumberFormat="1" applyFont="1" applyBorder="1"/>
    <xf numFmtId="2" fontId="2" fillId="0" borderId="50" xfId="0" applyNumberFormat="1" applyFont="1" applyBorder="1"/>
    <xf numFmtId="2" fontId="0" fillId="0" borderId="50" xfId="0" applyNumberFormat="1" applyBorder="1"/>
    <xf numFmtId="2" fontId="2" fillId="11" borderId="4" xfId="0" applyNumberFormat="1" applyFont="1" applyFill="1" applyBorder="1"/>
    <xf numFmtId="43" fontId="0" fillId="0" borderId="3" xfId="0" applyNumberFormat="1" applyBorder="1"/>
    <xf numFmtId="43" fontId="0" fillId="2" borderId="3" xfId="0" applyNumberFormat="1" applyFill="1" applyBorder="1"/>
    <xf numFmtId="43" fontId="0" fillId="0" borderId="0" xfId="0" applyNumberFormat="1" applyBorder="1"/>
    <xf numFmtId="49" fontId="1" fillId="0" borderId="3" xfId="0" applyNumberFormat="1" applyFont="1" applyBorder="1" applyAlignment="1">
      <alignment vertical="top"/>
    </xf>
    <xf numFmtId="2" fontId="2" fillId="2" borderId="4" xfId="0" applyNumberFormat="1" applyFont="1" applyFill="1" applyBorder="1"/>
    <xf numFmtId="43" fontId="0" fillId="8" borderId="76" xfId="2" applyFont="1" applyFill="1" applyBorder="1"/>
    <xf numFmtId="0" fontId="0" fillId="2" borderId="4" xfId="0" applyFont="1" applyFill="1" applyBorder="1"/>
    <xf numFmtId="2" fontId="12" fillId="2" borderId="4" xfId="0" applyNumberFormat="1" applyFont="1" applyFill="1" applyBorder="1"/>
    <xf numFmtId="2" fontId="12" fillId="2" borderId="37" xfId="0" applyNumberFormat="1" applyFont="1" applyFill="1" applyBorder="1"/>
    <xf numFmtId="0" fontId="0" fillId="2" borderId="0" xfId="0" applyFill="1"/>
    <xf numFmtId="0" fontId="0" fillId="13" borderId="4" xfId="0" applyFill="1" applyBorder="1"/>
    <xf numFmtId="2" fontId="12" fillId="13" borderId="4" xfId="0" applyNumberFormat="1" applyFont="1" applyFill="1" applyBorder="1"/>
    <xf numFmtId="2" fontId="12" fillId="13" borderId="37" xfId="0" applyNumberFormat="1" applyFont="1" applyFill="1" applyBorder="1"/>
    <xf numFmtId="43" fontId="0" fillId="0" borderId="0" xfId="2" applyFont="1"/>
    <xf numFmtId="0" fontId="14" fillId="7" borderId="0" xfId="0" applyFont="1" applyFill="1" applyBorder="1" applyAlignment="1">
      <alignment horizontal="center"/>
    </xf>
    <xf numFmtId="43" fontId="14" fillId="8" borderId="0" xfId="2" applyFont="1" applyFill="1" applyBorder="1"/>
    <xf numFmtId="0" fontId="14" fillId="7" borderId="0" xfId="0" applyFont="1" applyFill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top" wrapText="1"/>
    </xf>
    <xf numFmtId="0" fontId="14" fillId="9" borderId="65" xfId="0" applyFont="1" applyFill="1" applyBorder="1" applyAlignment="1">
      <alignment horizontal="center" vertical="top" wrapText="1"/>
    </xf>
    <xf numFmtId="0" fontId="14" fillId="9" borderId="64" xfId="0" applyFont="1" applyFill="1" applyBorder="1" applyAlignment="1">
      <alignment horizontal="center" vertical="top" wrapText="1"/>
    </xf>
    <xf numFmtId="0" fontId="14" fillId="9" borderId="55" xfId="0" applyFont="1" applyFill="1" applyBorder="1" applyAlignment="1">
      <alignment horizontal="center" vertical="top" wrapText="1"/>
    </xf>
    <xf numFmtId="0" fontId="14" fillId="9" borderId="56" xfId="0" applyFont="1" applyFill="1" applyBorder="1" applyAlignment="1">
      <alignment horizontal="center" vertical="top" wrapText="1"/>
    </xf>
    <xf numFmtId="0" fontId="16" fillId="7" borderId="5" xfId="0" applyFont="1" applyFill="1" applyBorder="1" applyAlignment="1">
      <alignment horizontal="center"/>
    </xf>
    <xf numFmtId="0" fontId="16" fillId="7" borderId="21" xfId="0" applyFont="1" applyFill="1" applyBorder="1" applyAlignment="1">
      <alignment horizontal="center"/>
    </xf>
    <xf numFmtId="0" fontId="16" fillId="7" borderId="6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71" xfId="0" applyFill="1" applyBorder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14" fillId="7" borderId="21" xfId="0" applyFont="1" applyFill="1" applyBorder="1" applyAlignment="1">
      <alignment horizontal="center"/>
    </xf>
    <xf numFmtId="0" fontId="14" fillId="7" borderId="72" xfId="0" applyFont="1" applyFill="1" applyBorder="1" applyAlignment="1">
      <alignment horizontal="center"/>
    </xf>
    <xf numFmtId="0" fontId="0" fillId="7" borderId="60" xfId="0" applyFill="1" applyBorder="1" applyAlignment="1">
      <alignment horizontal="center" wrapText="1"/>
    </xf>
    <xf numFmtId="0" fontId="0" fillId="7" borderId="14" xfId="0" applyFill="1" applyBorder="1" applyAlignment="1">
      <alignment horizontal="center" wrapText="1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17" fontId="15" fillId="5" borderId="5" xfId="0" applyNumberFormat="1" applyFont="1" applyFill="1" applyBorder="1" applyAlignment="1">
      <alignment horizontal="center"/>
    </xf>
    <xf numFmtId="17" fontId="15" fillId="5" borderId="21" xfId="0" applyNumberFormat="1" applyFont="1" applyFill="1" applyBorder="1" applyAlignment="1">
      <alignment horizontal="center"/>
    </xf>
    <xf numFmtId="0" fontId="15" fillId="5" borderId="21" xfId="0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6" xfId="0" applyFill="1" applyBorder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65"/>
  <sheetViews>
    <sheetView workbookViewId="0"/>
  </sheetViews>
  <sheetFormatPr defaultRowHeight="14.4" x14ac:dyDescent="0.3"/>
  <cols>
    <col min="1" max="1" width="26.6640625" customWidth="1"/>
    <col min="2" max="2" width="17.109375" customWidth="1"/>
    <col min="3" max="3" width="11.33203125"/>
    <col min="4" max="4" width="11.44140625" bestFit="1" customWidth="1"/>
    <col min="5" max="5" width="11.6640625" bestFit="1" customWidth="1"/>
    <col min="6" max="6" width="11.33203125"/>
    <col min="7" max="7" width="7.44140625" bestFit="1" customWidth="1"/>
    <col min="10" max="10" width="6.77734375" bestFit="1" customWidth="1"/>
    <col min="11" max="11" width="12.21875" style="8" bestFit="1" customWidth="1"/>
    <col min="12" max="12" width="9.5546875" customWidth="1"/>
    <col min="13" max="13" width="11.44140625" bestFit="1" customWidth="1"/>
    <col min="14" max="14" width="10.5546875" customWidth="1"/>
    <col min="15" max="15" width="9.109375" customWidth="1"/>
    <col min="16" max="16" width="11.5546875" style="173" bestFit="1" customWidth="1"/>
    <col min="17" max="17" width="11.33203125"/>
    <col min="18" max="18" width="4.44140625" bestFit="1" customWidth="1"/>
    <col min="19" max="20" width="9.5546875" bestFit="1" customWidth="1"/>
    <col min="21" max="21" width="4.5546875" bestFit="1" customWidth="1"/>
    <col min="22" max="22" width="9.5546875" bestFit="1" customWidth="1"/>
  </cols>
  <sheetData>
    <row r="1" spans="1:22" ht="15" thickTop="1" x14ac:dyDescent="0.3">
      <c r="A1" s="144"/>
      <c r="B1" s="145"/>
      <c r="C1" s="145"/>
      <c r="D1" s="145"/>
      <c r="E1" s="145"/>
      <c r="F1" s="145"/>
      <c r="G1" s="145"/>
      <c r="H1" s="145"/>
      <c r="I1" s="145"/>
      <c r="J1" s="145"/>
      <c r="K1" s="178"/>
      <c r="L1" s="145"/>
      <c r="M1" s="145"/>
      <c r="N1" s="145"/>
      <c r="O1" s="145"/>
      <c r="P1" s="179"/>
      <c r="Q1" s="145"/>
      <c r="R1" s="145"/>
      <c r="S1" s="145"/>
      <c r="T1" s="145"/>
      <c r="U1" s="145"/>
      <c r="V1" s="180"/>
    </row>
    <row r="2" spans="1:22" x14ac:dyDescent="0.3">
      <c r="A2" s="165"/>
      <c r="B2" s="118"/>
      <c r="C2" s="118"/>
      <c r="D2" s="118"/>
      <c r="E2" s="118"/>
      <c r="F2" s="118"/>
      <c r="G2" s="118"/>
      <c r="H2" s="118"/>
      <c r="I2" s="118"/>
      <c r="J2" s="118"/>
      <c r="K2" s="181"/>
      <c r="L2" s="118"/>
      <c r="M2" s="118"/>
      <c r="N2" s="118"/>
      <c r="O2" s="118"/>
      <c r="P2" s="182"/>
      <c r="Q2" s="118"/>
      <c r="R2" s="118"/>
      <c r="S2" s="118"/>
      <c r="T2" s="118"/>
      <c r="U2" s="118"/>
      <c r="V2" s="166"/>
    </row>
    <row r="3" spans="1:22" x14ac:dyDescent="0.3">
      <c r="A3" s="165"/>
      <c r="B3" s="118"/>
      <c r="C3" s="118" t="s">
        <v>298</v>
      </c>
      <c r="D3" s="118"/>
      <c r="E3" s="118"/>
      <c r="F3" s="118"/>
      <c r="G3" s="118"/>
      <c r="H3" s="118"/>
      <c r="I3" s="118"/>
      <c r="J3" s="118"/>
      <c r="K3" s="181"/>
      <c r="L3" s="118"/>
      <c r="M3" s="118"/>
      <c r="N3" s="118"/>
      <c r="O3" s="118"/>
      <c r="P3" s="182"/>
      <c r="Q3" s="118"/>
      <c r="R3" s="118"/>
      <c r="S3" s="118"/>
      <c r="T3" s="118"/>
      <c r="U3" s="118"/>
      <c r="V3" s="166"/>
    </row>
    <row r="4" spans="1:22" ht="15" thickBot="1" x14ac:dyDescent="0.35">
      <c r="A4" s="183"/>
      <c r="B4" s="184"/>
      <c r="C4" s="184"/>
      <c r="D4" s="184"/>
      <c r="E4" s="184"/>
      <c r="F4" s="184"/>
      <c r="G4" s="184"/>
      <c r="H4" s="184"/>
      <c r="I4" s="184"/>
      <c r="J4" s="184"/>
      <c r="K4" s="185"/>
      <c r="L4" s="184"/>
      <c r="M4" s="184"/>
      <c r="N4" s="184"/>
      <c r="O4" s="184"/>
      <c r="P4" s="186"/>
      <c r="Q4" s="184"/>
      <c r="R4" s="184"/>
      <c r="S4" s="184"/>
      <c r="T4" s="184"/>
      <c r="U4" s="184"/>
      <c r="V4" s="187"/>
    </row>
    <row r="5" spans="1:22" ht="15.6" thickTop="1" thickBot="1" x14ac:dyDescent="0.35">
      <c r="A5" s="193" t="s">
        <v>15</v>
      </c>
      <c r="B5" s="193" t="s">
        <v>0</v>
      </c>
      <c r="C5" s="193" t="s">
        <v>16</v>
      </c>
      <c r="D5" s="193" t="s">
        <v>17</v>
      </c>
      <c r="E5" s="193" t="s">
        <v>19</v>
      </c>
      <c r="F5" s="193" t="s">
        <v>26</v>
      </c>
      <c r="G5" s="193" t="s">
        <v>29</v>
      </c>
      <c r="H5" s="193" t="s">
        <v>19</v>
      </c>
      <c r="I5" s="194" t="s">
        <v>58</v>
      </c>
      <c r="J5" s="195" t="s">
        <v>35</v>
      </c>
      <c r="K5" s="196" t="s">
        <v>25</v>
      </c>
      <c r="L5" s="197" t="s">
        <v>1</v>
      </c>
      <c r="M5" s="198" t="s">
        <v>2</v>
      </c>
      <c r="N5" s="198" t="s">
        <v>3</v>
      </c>
      <c r="O5" s="198" t="s">
        <v>4</v>
      </c>
      <c r="P5" s="199" t="s">
        <v>7</v>
      </c>
      <c r="Q5" s="193" t="s">
        <v>20</v>
      </c>
      <c r="R5" s="193" t="s">
        <v>23</v>
      </c>
      <c r="S5" s="193" t="s">
        <v>8</v>
      </c>
      <c r="T5" s="193" t="s">
        <v>9</v>
      </c>
      <c r="U5" s="193" t="s">
        <v>10</v>
      </c>
      <c r="V5" s="193" t="s">
        <v>31</v>
      </c>
    </row>
    <row r="6" spans="1:22" ht="15" thickBot="1" x14ac:dyDescent="0.35">
      <c r="A6" s="127"/>
      <c r="B6" s="127"/>
      <c r="C6" s="127"/>
      <c r="D6" s="127"/>
      <c r="E6" s="127" t="s">
        <v>18</v>
      </c>
      <c r="F6" s="127" t="s">
        <v>27</v>
      </c>
      <c r="G6" s="127" t="s">
        <v>30</v>
      </c>
      <c r="H6" s="127" t="s">
        <v>28</v>
      </c>
      <c r="I6" s="23"/>
      <c r="J6" s="135" t="s">
        <v>24</v>
      </c>
      <c r="K6" s="134" t="s">
        <v>18</v>
      </c>
      <c r="L6" s="18" t="s">
        <v>18</v>
      </c>
      <c r="M6" s="18" t="s">
        <v>18</v>
      </c>
      <c r="N6" s="18" t="s">
        <v>18</v>
      </c>
      <c r="O6" s="18" t="s">
        <v>18</v>
      </c>
      <c r="P6" s="174" t="s">
        <v>33</v>
      </c>
      <c r="Q6" s="127" t="s">
        <v>21</v>
      </c>
      <c r="R6" s="127"/>
      <c r="S6" s="127" t="s">
        <v>32</v>
      </c>
      <c r="T6" s="127" t="s">
        <v>32</v>
      </c>
      <c r="U6" s="127" t="s">
        <v>32</v>
      </c>
      <c r="V6" s="127" t="s">
        <v>32</v>
      </c>
    </row>
    <row r="7" spans="1:22" x14ac:dyDescent="0.3">
      <c r="A7" s="136" t="s">
        <v>6</v>
      </c>
      <c r="B7" s="136" t="s">
        <v>5</v>
      </c>
      <c r="C7" s="136" t="s">
        <v>467</v>
      </c>
      <c r="D7" s="143">
        <v>42948</v>
      </c>
      <c r="E7" s="136">
        <v>43317.2</v>
      </c>
      <c r="F7" s="136" t="s">
        <v>14</v>
      </c>
      <c r="G7" s="140" t="s">
        <v>11</v>
      </c>
      <c r="H7" s="136" t="s">
        <v>12</v>
      </c>
      <c r="J7" s="139">
        <v>28</v>
      </c>
      <c r="K7" s="138">
        <v>33841.56</v>
      </c>
      <c r="L7" s="136">
        <v>0</v>
      </c>
      <c r="M7" s="136">
        <f>+J7/100*K7/2</f>
        <v>4737.8184000000001</v>
      </c>
      <c r="N7" s="136">
        <f>+J7/100*K7/2</f>
        <v>4737.8184000000001</v>
      </c>
      <c r="O7" s="136">
        <v>0</v>
      </c>
      <c r="P7" s="175">
        <v>87081090</v>
      </c>
      <c r="Q7" s="137" t="s">
        <v>22</v>
      </c>
      <c r="R7" s="136" t="s">
        <v>13</v>
      </c>
      <c r="S7" s="136">
        <v>408</v>
      </c>
      <c r="T7" s="136">
        <v>408</v>
      </c>
      <c r="U7" s="136">
        <f t="shared" ref="U7:U70" si="0">+S7-T7</f>
        <v>0</v>
      </c>
      <c r="V7" s="136">
        <v>408</v>
      </c>
    </row>
    <row r="8" spans="1:22" x14ac:dyDescent="0.3">
      <c r="A8" s="136" t="s">
        <v>6</v>
      </c>
      <c r="B8" s="136" t="s">
        <v>5</v>
      </c>
      <c r="C8" s="136" t="s">
        <v>468</v>
      </c>
      <c r="D8" s="143">
        <v>42948</v>
      </c>
      <c r="E8" s="136">
        <v>19649.28</v>
      </c>
      <c r="F8" s="136" t="s">
        <v>14</v>
      </c>
      <c r="G8" s="140" t="s">
        <v>11</v>
      </c>
      <c r="H8" s="136" t="s">
        <v>12</v>
      </c>
      <c r="J8" s="139">
        <v>28</v>
      </c>
      <c r="K8" s="138">
        <v>15351</v>
      </c>
      <c r="L8" s="136">
        <v>0</v>
      </c>
      <c r="M8" s="136">
        <f>+J8/100*K8/2</f>
        <v>2149.1400000000003</v>
      </c>
      <c r="N8" s="136">
        <f>+J8/100*K8/2</f>
        <v>2149.1400000000003</v>
      </c>
      <c r="O8" s="136">
        <v>0</v>
      </c>
      <c r="P8" s="175">
        <v>87141090</v>
      </c>
      <c r="Q8" s="137" t="s">
        <v>22</v>
      </c>
      <c r="R8" s="136" t="s">
        <v>13</v>
      </c>
      <c r="S8" s="136">
        <v>204</v>
      </c>
      <c r="T8" s="136">
        <v>204</v>
      </c>
      <c r="U8" s="136">
        <f t="shared" si="0"/>
        <v>0</v>
      </c>
      <c r="V8" s="136">
        <v>204</v>
      </c>
    </row>
    <row r="9" spans="1:22" x14ac:dyDescent="0.3">
      <c r="A9" s="136" t="s">
        <v>179</v>
      </c>
      <c r="B9" s="136" t="s">
        <v>178</v>
      </c>
      <c r="C9" s="136" t="s">
        <v>469</v>
      </c>
      <c r="D9" s="143">
        <v>42948</v>
      </c>
      <c r="E9" s="136">
        <v>38694.300000000003</v>
      </c>
      <c r="F9" s="136" t="s">
        <v>14</v>
      </c>
      <c r="G9" s="140" t="s">
        <v>11</v>
      </c>
      <c r="H9" s="136" t="s">
        <v>12</v>
      </c>
      <c r="J9" s="139">
        <v>28</v>
      </c>
      <c r="K9" s="138">
        <v>30229.919999999998</v>
      </c>
      <c r="L9" s="136">
        <v>0</v>
      </c>
      <c r="M9" s="136">
        <f t="shared" ref="M9:M11" si="1">+J9/100*K9/2</f>
        <v>4232.1887999999999</v>
      </c>
      <c r="N9" s="136">
        <f t="shared" ref="N9:N11" si="2">+J9/100*K9/2</f>
        <v>4232.1887999999999</v>
      </c>
      <c r="O9" s="136">
        <v>0</v>
      </c>
      <c r="P9" s="175">
        <v>85129000</v>
      </c>
      <c r="Q9" s="137" t="s">
        <v>22</v>
      </c>
      <c r="R9" s="136" t="s">
        <v>13</v>
      </c>
      <c r="S9" s="136">
        <v>504</v>
      </c>
      <c r="T9" s="136">
        <v>504</v>
      </c>
      <c r="U9" s="136">
        <f t="shared" si="0"/>
        <v>0</v>
      </c>
      <c r="V9" s="136">
        <v>504</v>
      </c>
    </row>
    <row r="10" spans="1:22" x14ac:dyDescent="0.3">
      <c r="A10" s="136" t="s">
        <v>40</v>
      </c>
      <c r="B10" s="136" t="s">
        <v>39</v>
      </c>
      <c r="C10" s="136" t="s">
        <v>470</v>
      </c>
      <c r="D10" s="143">
        <v>42948</v>
      </c>
      <c r="E10" s="136">
        <v>23469.96</v>
      </c>
      <c r="F10" s="136" t="s">
        <v>14</v>
      </c>
      <c r="G10" s="140" t="s">
        <v>11</v>
      </c>
      <c r="H10" s="136" t="s">
        <v>12</v>
      </c>
      <c r="J10" s="139">
        <v>18</v>
      </c>
      <c r="K10" s="138">
        <v>19889.8</v>
      </c>
      <c r="L10" s="136">
        <v>0</v>
      </c>
      <c r="M10" s="136">
        <f t="shared" si="1"/>
        <v>1790.0819999999999</v>
      </c>
      <c r="N10" s="136">
        <f t="shared" si="2"/>
        <v>1790.0819999999999</v>
      </c>
      <c r="O10" s="136">
        <v>0</v>
      </c>
      <c r="P10" s="175">
        <v>998898</v>
      </c>
      <c r="Q10" s="137" t="s">
        <v>22</v>
      </c>
      <c r="R10" s="136" t="s">
        <v>13</v>
      </c>
      <c r="S10" s="136">
        <v>0</v>
      </c>
      <c r="T10" s="136">
        <v>0</v>
      </c>
      <c r="U10" s="136">
        <f t="shared" si="0"/>
        <v>0</v>
      </c>
      <c r="V10" s="136">
        <v>70</v>
      </c>
    </row>
    <row r="11" spans="1:22" x14ac:dyDescent="0.3">
      <c r="A11" s="136" t="s">
        <v>180</v>
      </c>
      <c r="B11" s="136" t="s">
        <v>360</v>
      </c>
      <c r="C11" s="136" t="s">
        <v>471</v>
      </c>
      <c r="D11" s="143">
        <v>42948</v>
      </c>
      <c r="E11" s="136">
        <v>54669.23</v>
      </c>
      <c r="F11" s="136" t="s">
        <v>14</v>
      </c>
      <c r="G11" s="140" t="s">
        <v>11</v>
      </c>
      <c r="H11" s="136" t="s">
        <v>12</v>
      </c>
      <c r="J11" s="139">
        <v>28</v>
      </c>
      <c r="K11" s="138">
        <v>42710.33</v>
      </c>
      <c r="L11" s="136">
        <v>0</v>
      </c>
      <c r="M11" s="136">
        <f t="shared" si="1"/>
        <v>5979.4462000000012</v>
      </c>
      <c r="N11" s="136">
        <f t="shared" si="2"/>
        <v>5979.4462000000012</v>
      </c>
      <c r="O11" s="136">
        <v>0</v>
      </c>
      <c r="P11" s="175">
        <v>87089900</v>
      </c>
      <c r="Q11" s="137" t="s">
        <v>22</v>
      </c>
      <c r="R11" s="136" t="s">
        <v>13</v>
      </c>
      <c r="S11" s="136">
        <v>187</v>
      </c>
      <c r="T11" s="136">
        <v>187</v>
      </c>
      <c r="U11" s="136">
        <f t="shared" si="0"/>
        <v>0</v>
      </c>
      <c r="V11" s="136">
        <v>187</v>
      </c>
    </row>
    <row r="12" spans="1:22" x14ac:dyDescent="0.3">
      <c r="A12" s="136" t="s">
        <v>6</v>
      </c>
      <c r="B12" s="136" t="s">
        <v>5</v>
      </c>
      <c r="C12" s="136" t="s">
        <v>472</v>
      </c>
      <c r="D12" s="143">
        <v>42948</v>
      </c>
      <c r="E12" s="136">
        <v>56057.56</v>
      </c>
      <c r="F12" s="136" t="s">
        <v>14</v>
      </c>
      <c r="G12" s="140" t="s">
        <v>11</v>
      </c>
      <c r="H12" s="136" t="s">
        <v>12</v>
      </c>
      <c r="J12" s="139">
        <v>28</v>
      </c>
      <c r="K12" s="138">
        <v>43794.96</v>
      </c>
      <c r="L12" s="136">
        <v>0</v>
      </c>
      <c r="M12" s="136">
        <f>+J12/100*K12/2+0.01</f>
        <v>6131.3044000000009</v>
      </c>
      <c r="N12" s="136">
        <f>+J12/100*K12/2+0.01</f>
        <v>6131.3044000000009</v>
      </c>
      <c r="O12" s="136">
        <v>0</v>
      </c>
      <c r="P12" s="175">
        <v>87081090</v>
      </c>
      <c r="Q12" s="137" t="s">
        <v>22</v>
      </c>
      <c r="R12" s="136" t="s">
        <v>13</v>
      </c>
      <c r="S12" s="136">
        <v>528</v>
      </c>
      <c r="T12" s="136">
        <v>528</v>
      </c>
      <c r="U12" s="136">
        <f t="shared" si="0"/>
        <v>0</v>
      </c>
      <c r="V12" s="136">
        <v>528</v>
      </c>
    </row>
    <row r="13" spans="1:22" x14ac:dyDescent="0.3">
      <c r="A13" s="136" t="s">
        <v>184</v>
      </c>
      <c r="B13" s="136" t="s">
        <v>183</v>
      </c>
      <c r="C13" s="136" t="s">
        <v>473</v>
      </c>
      <c r="D13" s="143">
        <v>42948</v>
      </c>
      <c r="E13" s="136">
        <v>42832.17</v>
      </c>
      <c r="F13" s="136" t="s">
        <v>185</v>
      </c>
      <c r="G13" s="140" t="s">
        <v>11</v>
      </c>
      <c r="H13" s="136" t="s">
        <v>12</v>
      </c>
      <c r="J13" s="139">
        <v>28</v>
      </c>
      <c r="K13" s="138">
        <v>33462.629999999997</v>
      </c>
      <c r="L13" s="136">
        <f t="shared" ref="L13:L15" si="3">+J13/100*K13</f>
        <v>9369.5364000000009</v>
      </c>
      <c r="M13" s="136">
        <v>0</v>
      </c>
      <c r="N13" s="136">
        <v>0</v>
      </c>
      <c r="O13" s="136">
        <v>0</v>
      </c>
      <c r="P13" s="175">
        <v>87081090</v>
      </c>
      <c r="Q13" s="137" t="s">
        <v>22</v>
      </c>
      <c r="R13" s="136" t="s">
        <v>13</v>
      </c>
      <c r="S13" s="136">
        <v>17</v>
      </c>
      <c r="T13" s="136">
        <v>17</v>
      </c>
      <c r="U13" s="136">
        <f t="shared" si="0"/>
        <v>0</v>
      </c>
      <c r="V13" s="136">
        <v>17</v>
      </c>
    </row>
    <row r="14" spans="1:22" x14ac:dyDescent="0.3">
      <c r="A14" s="136" t="s">
        <v>184</v>
      </c>
      <c r="B14" s="136" t="s">
        <v>183</v>
      </c>
      <c r="C14" s="136" t="s">
        <v>474</v>
      </c>
      <c r="D14" s="143">
        <v>42948</v>
      </c>
      <c r="E14" s="136">
        <v>28840.55</v>
      </c>
      <c r="F14" s="136" t="s">
        <v>185</v>
      </c>
      <c r="G14" s="140" t="s">
        <v>11</v>
      </c>
      <c r="H14" s="136" t="s">
        <v>12</v>
      </c>
      <c r="J14" s="139">
        <v>28</v>
      </c>
      <c r="K14" s="138">
        <v>22531.68</v>
      </c>
      <c r="L14" s="136">
        <f t="shared" si="3"/>
        <v>6308.8704000000007</v>
      </c>
      <c r="M14" s="136">
        <v>0</v>
      </c>
      <c r="N14" s="136">
        <v>0</v>
      </c>
      <c r="O14" s="136">
        <v>0</v>
      </c>
      <c r="P14" s="175">
        <v>87081090</v>
      </c>
      <c r="Q14" s="137" t="s">
        <v>22</v>
      </c>
      <c r="R14" s="136" t="s">
        <v>13</v>
      </c>
      <c r="S14" s="136">
        <v>24</v>
      </c>
      <c r="T14" s="136">
        <v>24</v>
      </c>
      <c r="U14" s="136">
        <f t="shared" si="0"/>
        <v>0</v>
      </c>
      <c r="V14" s="136">
        <v>24</v>
      </c>
    </row>
    <row r="15" spans="1:22" x14ac:dyDescent="0.3">
      <c r="A15" s="136" t="s">
        <v>184</v>
      </c>
      <c r="B15" s="136" t="s">
        <v>183</v>
      </c>
      <c r="C15" s="136" t="s">
        <v>475</v>
      </c>
      <c r="D15" s="143">
        <v>42948</v>
      </c>
      <c r="E15" s="136">
        <v>33352.699999999997</v>
      </c>
      <c r="F15" s="136" t="s">
        <v>185</v>
      </c>
      <c r="G15" s="140" t="s">
        <v>11</v>
      </c>
      <c r="H15" s="136" t="s">
        <v>12</v>
      </c>
      <c r="J15" s="139">
        <v>28</v>
      </c>
      <c r="K15" s="138">
        <v>26056.799999999999</v>
      </c>
      <c r="L15" s="136">
        <f t="shared" si="3"/>
        <v>7295.9040000000005</v>
      </c>
      <c r="M15" s="136">
        <v>0</v>
      </c>
      <c r="N15" s="136">
        <v>0</v>
      </c>
      <c r="O15" s="136">
        <v>0</v>
      </c>
      <c r="P15" s="175">
        <v>87081090</v>
      </c>
      <c r="Q15" s="137" t="s">
        <v>22</v>
      </c>
      <c r="R15" s="136" t="s">
        <v>13</v>
      </c>
      <c r="S15" s="136">
        <v>80</v>
      </c>
      <c r="T15" s="136">
        <v>80</v>
      </c>
      <c r="U15" s="136">
        <f t="shared" si="0"/>
        <v>0</v>
      </c>
      <c r="V15" s="136">
        <v>80</v>
      </c>
    </row>
    <row r="16" spans="1:22" x14ac:dyDescent="0.3">
      <c r="A16" s="136" t="s">
        <v>255</v>
      </c>
      <c r="B16" s="136" t="s">
        <v>254</v>
      </c>
      <c r="C16" s="136" t="s">
        <v>476</v>
      </c>
      <c r="D16" s="143">
        <v>42948</v>
      </c>
      <c r="E16" s="136">
        <v>1939.92</v>
      </c>
      <c r="F16" s="136" t="s">
        <v>14</v>
      </c>
      <c r="G16" s="140" t="s">
        <v>11</v>
      </c>
      <c r="H16" s="136" t="s">
        <v>12</v>
      </c>
      <c r="J16" s="139">
        <v>18</v>
      </c>
      <c r="K16" s="138">
        <v>1644</v>
      </c>
      <c r="L16" s="136">
        <v>0</v>
      </c>
      <c r="M16" s="136">
        <f t="shared" ref="M16" si="4">+J16/100*K16/2</f>
        <v>147.96</v>
      </c>
      <c r="N16" s="136">
        <f t="shared" ref="N16" si="5">+J16/100*K16/2</f>
        <v>147.96</v>
      </c>
      <c r="O16" s="136">
        <v>0</v>
      </c>
      <c r="P16" s="175">
        <v>998898</v>
      </c>
      <c r="Q16" s="137" t="s">
        <v>22</v>
      </c>
      <c r="R16" s="136" t="s">
        <v>13</v>
      </c>
      <c r="S16" s="136">
        <v>0</v>
      </c>
      <c r="T16" s="136">
        <v>0</v>
      </c>
      <c r="U16" s="136">
        <f t="shared" si="0"/>
        <v>0</v>
      </c>
      <c r="V16" s="136">
        <v>200</v>
      </c>
    </row>
    <row r="17" spans="1:22" x14ac:dyDescent="0.3">
      <c r="A17" s="136" t="s">
        <v>6</v>
      </c>
      <c r="B17" s="136" t="s">
        <v>5</v>
      </c>
      <c r="C17" s="136" t="s">
        <v>477</v>
      </c>
      <c r="D17" s="143">
        <v>42948</v>
      </c>
      <c r="E17" s="136">
        <v>19264</v>
      </c>
      <c r="F17" s="136" t="s">
        <v>14</v>
      </c>
      <c r="G17" s="140" t="s">
        <v>11</v>
      </c>
      <c r="H17" s="136" t="s">
        <v>12</v>
      </c>
      <c r="J17" s="139">
        <v>28</v>
      </c>
      <c r="K17" s="138">
        <v>15050</v>
      </c>
      <c r="L17" s="136">
        <v>0</v>
      </c>
      <c r="M17" s="136">
        <f>+J17/100*K17/2</f>
        <v>2107</v>
      </c>
      <c r="N17" s="136">
        <f>+J17/100*K17/2</f>
        <v>2107</v>
      </c>
      <c r="O17" s="136">
        <v>0</v>
      </c>
      <c r="P17" s="175">
        <v>87141090</v>
      </c>
      <c r="Q17" s="137" t="s">
        <v>22</v>
      </c>
      <c r="R17" s="136" t="s">
        <v>13</v>
      </c>
      <c r="S17" s="136">
        <v>200</v>
      </c>
      <c r="T17" s="136">
        <v>200</v>
      </c>
      <c r="U17" s="136">
        <f t="shared" si="0"/>
        <v>0</v>
      </c>
      <c r="V17" s="136">
        <v>200</v>
      </c>
    </row>
    <row r="18" spans="1:22" x14ac:dyDescent="0.3">
      <c r="A18" s="136" t="s">
        <v>6</v>
      </c>
      <c r="B18" s="136" t="s">
        <v>5</v>
      </c>
      <c r="C18" s="136" t="s">
        <v>478</v>
      </c>
      <c r="D18" s="143">
        <v>42948</v>
      </c>
      <c r="E18" s="136">
        <v>25480.720000000001</v>
      </c>
      <c r="F18" s="136" t="s">
        <v>14</v>
      </c>
      <c r="G18" s="140" t="s">
        <v>11</v>
      </c>
      <c r="H18" s="136" t="s">
        <v>12</v>
      </c>
      <c r="J18" s="139">
        <v>28</v>
      </c>
      <c r="K18" s="138">
        <v>19906.8</v>
      </c>
      <c r="L18" s="136">
        <v>0</v>
      </c>
      <c r="M18" s="136">
        <f>+J18/100*K18/2+0.01</f>
        <v>2786.9620000000004</v>
      </c>
      <c r="N18" s="136">
        <f>+J18/100*K18/2+0.01</f>
        <v>2786.9620000000004</v>
      </c>
      <c r="O18" s="136">
        <v>0</v>
      </c>
      <c r="P18" s="175">
        <v>87081090</v>
      </c>
      <c r="Q18" s="137" t="s">
        <v>22</v>
      </c>
      <c r="R18" s="136" t="s">
        <v>13</v>
      </c>
      <c r="S18" s="136">
        <v>240</v>
      </c>
      <c r="T18" s="136">
        <v>240</v>
      </c>
      <c r="U18" s="136">
        <f t="shared" si="0"/>
        <v>0</v>
      </c>
      <c r="V18" s="136">
        <v>240</v>
      </c>
    </row>
    <row r="19" spans="1:22" x14ac:dyDescent="0.3">
      <c r="A19" s="136" t="s">
        <v>6</v>
      </c>
      <c r="B19" s="136" t="s">
        <v>5</v>
      </c>
      <c r="C19" s="136" t="s">
        <v>479</v>
      </c>
      <c r="D19" s="143">
        <v>42948</v>
      </c>
      <c r="E19" s="136">
        <v>12714.24</v>
      </c>
      <c r="F19" s="136" t="s">
        <v>14</v>
      </c>
      <c r="G19" s="140" t="s">
        <v>11</v>
      </c>
      <c r="H19" s="136" t="s">
        <v>12</v>
      </c>
      <c r="J19" s="139">
        <v>28</v>
      </c>
      <c r="K19" s="138">
        <v>9933</v>
      </c>
      <c r="L19" s="136">
        <v>0</v>
      </c>
      <c r="M19" s="136">
        <f>+J19/100*K19/2</f>
        <v>1390.6200000000001</v>
      </c>
      <c r="N19" s="136">
        <f>+J19/100*K19/2</f>
        <v>1390.6200000000001</v>
      </c>
      <c r="O19" s="136">
        <v>0</v>
      </c>
      <c r="P19" s="175">
        <v>87141090</v>
      </c>
      <c r="Q19" s="137" t="s">
        <v>22</v>
      </c>
      <c r="R19" s="136" t="s">
        <v>13</v>
      </c>
      <c r="S19" s="136">
        <v>132</v>
      </c>
      <c r="T19" s="136">
        <v>132</v>
      </c>
      <c r="U19" s="136">
        <f t="shared" si="0"/>
        <v>0</v>
      </c>
      <c r="V19" s="136">
        <v>132</v>
      </c>
    </row>
    <row r="20" spans="1:22" x14ac:dyDescent="0.3">
      <c r="A20" s="136" t="s">
        <v>6</v>
      </c>
      <c r="B20" s="136" t="s">
        <v>5</v>
      </c>
      <c r="C20" s="136" t="s">
        <v>480</v>
      </c>
      <c r="D20" s="143">
        <v>42948</v>
      </c>
      <c r="E20" s="136">
        <v>9745.92</v>
      </c>
      <c r="F20" s="136" t="s">
        <v>14</v>
      </c>
      <c r="G20" s="140" t="s">
        <v>11</v>
      </c>
      <c r="H20" s="136" t="s">
        <v>12</v>
      </c>
      <c r="J20" s="139">
        <v>28</v>
      </c>
      <c r="K20" s="138">
        <v>7614</v>
      </c>
      <c r="L20" s="136">
        <v>0</v>
      </c>
      <c r="M20" s="136">
        <f>+J20/100*K20/2</f>
        <v>1065.96</v>
      </c>
      <c r="N20" s="136">
        <f>+J20/100*K20/2</f>
        <v>1065.96</v>
      </c>
      <c r="O20" s="136">
        <v>0</v>
      </c>
      <c r="P20" s="175">
        <v>87141090</v>
      </c>
      <c r="Q20" s="137" t="s">
        <v>22</v>
      </c>
      <c r="R20" s="136" t="s">
        <v>13</v>
      </c>
      <c r="S20" s="136">
        <v>216</v>
      </c>
      <c r="T20" s="136">
        <v>216</v>
      </c>
      <c r="U20" s="136">
        <f t="shared" si="0"/>
        <v>0</v>
      </c>
      <c r="V20" s="136">
        <v>216</v>
      </c>
    </row>
    <row r="21" spans="1:22" x14ac:dyDescent="0.3">
      <c r="A21" s="136" t="s">
        <v>6</v>
      </c>
      <c r="B21" s="136" t="s">
        <v>5</v>
      </c>
      <c r="C21" s="136" t="s">
        <v>481</v>
      </c>
      <c r="D21" s="143">
        <v>42948</v>
      </c>
      <c r="E21" s="136">
        <v>38221.040000000001</v>
      </c>
      <c r="F21" s="136" t="s">
        <v>14</v>
      </c>
      <c r="G21" s="140" t="s">
        <v>11</v>
      </c>
      <c r="H21" s="136" t="s">
        <v>12</v>
      </c>
      <c r="J21" s="139">
        <v>28</v>
      </c>
      <c r="K21" s="138">
        <v>29860.2</v>
      </c>
      <c r="L21" s="136">
        <v>0</v>
      </c>
      <c r="M21" s="136">
        <f>+J21/100*K21/2-0.01</f>
        <v>4180.4180000000006</v>
      </c>
      <c r="N21" s="136">
        <f>+J21/100*K21/2-0.01</f>
        <v>4180.4180000000006</v>
      </c>
      <c r="O21" s="136">
        <v>0</v>
      </c>
      <c r="P21" s="175">
        <v>87081090</v>
      </c>
      <c r="Q21" s="137" t="s">
        <v>22</v>
      </c>
      <c r="R21" s="136" t="s">
        <v>13</v>
      </c>
      <c r="S21" s="136">
        <v>360</v>
      </c>
      <c r="T21" s="136">
        <v>360</v>
      </c>
      <c r="U21" s="136">
        <f t="shared" si="0"/>
        <v>0</v>
      </c>
      <c r="V21" s="136">
        <v>360</v>
      </c>
    </row>
    <row r="22" spans="1:22" x14ac:dyDescent="0.3">
      <c r="A22" s="136" t="s">
        <v>6</v>
      </c>
      <c r="B22" s="136" t="s">
        <v>5</v>
      </c>
      <c r="C22" s="136" t="s">
        <v>482</v>
      </c>
      <c r="D22" s="143">
        <v>42948</v>
      </c>
      <c r="E22" s="136">
        <v>6330.24</v>
      </c>
      <c r="F22" s="136" t="s">
        <v>14</v>
      </c>
      <c r="G22" s="140" t="s">
        <v>11</v>
      </c>
      <c r="H22" s="136" t="s">
        <v>12</v>
      </c>
      <c r="J22" s="139">
        <v>28</v>
      </c>
      <c r="K22" s="138">
        <v>4945.5</v>
      </c>
      <c r="L22" s="136">
        <v>0</v>
      </c>
      <c r="M22" s="136">
        <f>+J22/100*K22/2</f>
        <v>692.37000000000012</v>
      </c>
      <c r="N22" s="136">
        <f>+J22/100*K22/2</f>
        <v>692.37000000000012</v>
      </c>
      <c r="O22" s="136">
        <v>0</v>
      </c>
      <c r="P22" s="175">
        <v>87081090</v>
      </c>
      <c r="Q22" s="137" t="s">
        <v>22</v>
      </c>
      <c r="R22" s="136" t="s">
        <v>13</v>
      </c>
      <c r="S22" s="136">
        <v>60</v>
      </c>
      <c r="T22" s="136">
        <v>60</v>
      </c>
      <c r="U22" s="136">
        <f t="shared" si="0"/>
        <v>0</v>
      </c>
      <c r="V22" s="136">
        <v>60</v>
      </c>
    </row>
    <row r="23" spans="1:22" x14ac:dyDescent="0.3">
      <c r="A23" s="136" t="s">
        <v>253</v>
      </c>
      <c r="B23" s="136" t="s">
        <v>252</v>
      </c>
      <c r="C23" s="136" t="s">
        <v>483</v>
      </c>
      <c r="D23" s="143">
        <v>42949</v>
      </c>
      <c r="E23" s="136">
        <v>4531.2</v>
      </c>
      <c r="F23" s="136" t="s">
        <v>14</v>
      </c>
      <c r="G23" s="140" t="s">
        <v>11</v>
      </c>
      <c r="H23" s="136" t="s">
        <v>12</v>
      </c>
      <c r="J23" s="139">
        <v>18</v>
      </c>
      <c r="K23" s="138">
        <v>3840</v>
      </c>
      <c r="L23" s="136">
        <v>0</v>
      </c>
      <c r="M23" s="136">
        <f t="shared" ref="M23:M26" si="6">+J23/100*K23/2</f>
        <v>345.59999999999997</v>
      </c>
      <c r="N23" s="136">
        <f t="shared" ref="N23:N26" si="7">+J23/100*K23/2</f>
        <v>345.59999999999997</v>
      </c>
      <c r="O23" s="136">
        <v>0</v>
      </c>
      <c r="P23" s="175">
        <v>998898</v>
      </c>
      <c r="Q23" s="137" t="s">
        <v>22</v>
      </c>
      <c r="R23" s="136" t="s">
        <v>13</v>
      </c>
      <c r="S23" s="136">
        <v>0</v>
      </c>
      <c r="T23" s="136">
        <v>0</v>
      </c>
      <c r="U23" s="136">
        <f t="shared" si="0"/>
        <v>0</v>
      </c>
      <c r="V23" s="136">
        <v>12</v>
      </c>
    </row>
    <row r="24" spans="1:22" x14ac:dyDescent="0.3">
      <c r="A24" s="136" t="s">
        <v>253</v>
      </c>
      <c r="B24" s="136" t="s">
        <v>252</v>
      </c>
      <c r="C24" s="136" t="s">
        <v>484</v>
      </c>
      <c r="D24" s="143">
        <v>42949</v>
      </c>
      <c r="E24" s="136">
        <v>4531.2</v>
      </c>
      <c r="F24" s="136" t="s">
        <v>14</v>
      </c>
      <c r="G24" s="140" t="s">
        <v>11</v>
      </c>
      <c r="H24" s="136" t="s">
        <v>12</v>
      </c>
      <c r="J24" s="139">
        <v>18</v>
      </c>
      <c r="K24" s="138">
        <v>3840</v>
      </c>
      <c r="L24" s="136">
        <v>0</v>
      </c>
      <c r="M24" s="136">
        <f t="shared" si="6"/>
        <v>345.59999999999997</v>
      </c>
      <c r="N24" s="136">
        <f t="shared" si="7"/>
        <v>345.59999999999997</v>
      </c>
      <c r="O24" s="136">
        <v>0</v>
      </c>
      <c r="P24" s="175">
        <v>998898</v>
      </c>
      <c r="Q24" s="137" t="s">
        <v>22</v>
      </c>
      <c r="R24" s="136" t="s">
        <v>13</v>
      </c>
      <c r="S24" s="136">
        <v>0</v>
      </c>
      <c r="T24" s="136">
        <v>0</v>
      </c>
      <c r="U24" s="136">
        <f t="shared" si="0"/>
        <v>0</v>
      </c>
      <c r="V24" s="136">
        <v>12</v>
      </c>
    </row>
    <row r="25" spans="1:22" x14ac:dyDescent="0.3">
      <c r="A25" s="136" t="s">
        <v>180</v>
      </c>
      <c r="B25" s="136" t="s">
        <v>360</v>
      </c>
      <c r="C25" s="136" t="s">
        <v>485</v>
      </c>
      <c r="D25" s="143">
        <v>42949</v>
      </c>
      <c r="E25" s="136">
        <v>52028.22</v>
      </c>
      <c r="F25" s="136" t="s">
        <v>14</v>
      </c>
      <c r="G25" s="140" t="s">
        <v>11</v>
      </c>
      <c r="H25" s="136" t="s">
        <v>12</v>
      </c>
      <c r="J25" s="139">
        <v>28</v>
      </c>
      <c r="K25" s="138">
        <v>40647.040000000001</v>
      </c>
      <c r="L25" s="136">
        <v>0</v>
      </c>
      <c r="M25" s="136">
        <f t="shared" si="6"/>
        <v>5690.5856000000003</v>
      </c>
      <c r="N25" s="136">
        <f t="shared" si="7"/>
        <v>5690.5856000000003</v>
      </c>
      <c r="O25" s="136">
        <v>0</v>
      </c>
      <c r="P25" s="175">
        <v>87089900</v>
      </c>
      <c r="Q25" s="137" t="s">
        <v>22</v>
      </c>
      <c r="R25" s="136" t="s">
        <v>13</v>
      </c>
      <c r="S25" s="136">
        <v>437</v>
      </c>
      <c r="T25" s="136">
        <v>437</v>
      </c>
      <c r="U25" s="136">
        <f t="shared" si="0"/>
        <v>0</v>
      </c>
      <c r="V25" s="136">
        <v>437</v>
      </c>
    </row>
    <row r="26" spans="1:22" x14ac:dyDescent="0.3">
      <c r="A26" s="136" t="s">
        <v>186</v>
      </c>
      <c r="B26" s="136" t="s">
        <v>187</v>
      </c>
      <c r="C26" s="136" t="s">
        <v>486</v>
      </c>
      <c r="D26" s="143">
        <v>42949</v>
      </c>
      <c r="E26" s="136">
        <v>76800</v>
      </c>
      <c r="F26" s="136" t="s">
        <v>14</v>
      </c>
      <c r="G26" s="140" t="s">
        <v>11</v>
      </c>
      <c r="H26" s="136" t="s">
        <v>12</v>
      </c>
      <c r="J26" s="139">
        <v>28</v>
      </c>
      <c r="K26" s="138">
        <v>60000</v>
      </c>
      <c r="L26" s="136">
        <v>0</v>
      </c>
      <c r="M26" s="136">
        <f t="shared" si="6"/>
        <v>8400</v>
      </c>
      <c r="N26" s="136">
        <f t="shared" si="7"/>
        <v>8400</v>
      </c>
      <c r="O26" s="136">
        <v>0</v>
      </c>
      <c r="P26" s="175">
        <v>85129000</v>
      </c>
      <c r="Q26" s="137" t="s">
        <v>22</v>
      </c>
      <c r="R26" s="136" t="s">
        <v>13</v>
      </c>
      <c r="S26" s="136">
        <v>2400</v>
      </c>
      <c r="T26" s="136">
        <v>2400</v>
      </c>
      <c r="U26" s="136">
        <f t="shared" si="0"/>
        <v>0</v>
      </c>
      <c r="V26" s="136">
        <v>2400</v>
      </c>
    </row>
    <row r="27" spans="1:22" x14ac:dyDescent="0.3">
      <c r="A27" s="136" t="s">
        <v>6</v>
      </c>
      <c r="B27" s="136" t="s">
        <v>5</v>
      </c>
      <c r="C27" s="136" t="s">
        <v>487</v>
      </c>
      <c r="D27" s="143">
        <v>42949</v>
      </c>
      <c r="E27" s="136">
        <v>47139.32</v>
      </c>
      <c r="F27" s="136" t="s">
        <v>14</v>
      </c>
      <c r="G27" s="140" t="s">
        <v>11</v>
      </c>
      <c r="H27" s="136" t="s">
        <v>12</v>
      </c>
      <c r="J27" s="139">
        <v>28</v>
      </c>
      <c r="K27" s="138">
        <v>36827.58</v>
      </c>
      <c r="L27" s="136">
        <v>0</v>
      </c>
      <c r="M27" s="136">
        <f>+J27/100*K27/2+0.01</f>
        <v>5155.8712000000005</v>
      </c>
      <c r="N27" s="136">
        <f>+J27/100*K27/2+0.01</f>
        <v>5155.8712000000005</v>
      </c>
      <c r="O27" s="136">
        <v>0</v>
      </c>
      <c r="P27" s="175">
        <v>87081090</v>
      </c>
      <c r="Q27" s="137" t="s">
        <v>22</v>
      </c>
      <c r="R27" s="136" t="s">
        <v>13</v>
      </c>
      <c r="S27" s="136">
        <v>444</v>
      </c>
      <c r="T27" s="136">
        <v>444</v>
      </c>
      <c r="U27" s="136">
        <f t="shared" si="0"/>
        <v>0</v>
      </c>
      <c r="V27" s="136">
        <v>444</v>
      </c>
    </row>
    <row r="28" spans="1:22" x14ac:dyDescent="0.3">
      <c r="A28" s="136" t="s">
        <v>6</v>
      </c>
      <c r="B28" s="136" t="s">
        <v>5</v>
      </c>
      <c r="C28" s="136" t="s">
        <v>488</v>
      </c>
      <c r="D28" s="143">
        <v>42949</v>
      </c>
      <c r="E28" s="136">
        <v>14618.88</v>
      </c>
      <c r="F28" s="136" t="s">
        <v>14</v>
      </c>
      <c r="G28" s="140" t="s">
        <v>11</v>
      </c>
      <c r="H28" s="136" t="s">
        <v>12</v>
      </c>
      <c r="J28" s="139">
        <v>28</v>
      </c>
      <c r="K28" s="138">
        <v>11421</v>
      </c>
      <c r="L28" s="136">
        <v>0</v>
      </c>
      <c r="M28" s="136">
        <f>+J28/100*K28/2</f>
        <v>1598.94</v>
      </c>
      <c r="N28" s="136">
        <f>+J28/100*K28/2</f>
        <v>1598.94</v>
      </c>
      <c r="O28" s="136">
        <v>0</v>
      </c>
      <c r="P28" s="175">
        <v>87141090</v>
      </c>
      <c r="Q28" s="137" t="s">
        <v>22</v>
      </c>
      <c r="R28" s="136" t="s">
        <v>13</v>
      </c>
      <c r="S28" s="136">
        <v>324</v>
      </c>
      <c r="T28" s="136">
        <v>324</v>
      </c>
      <c r="U28" s="136">
        <f t="shared" si="0"/>
        <v>0</v>
      </c>
      <c r="V28" s="136">
        <v>324</v>
      </c>
    </row>
    <row r="29" spans="1:22" x14ac:dyDescent="0.3">
      <c r="A29" s="136" t="s">
        <v>6</v>
      </c>
      <c r="B29" s="136" t="s">
        <v>5</v>
      </c>
      <c r="C29" s="136" t="s">
        <v>489</v>
      </c>
      <c r="D29" s="143">
        <v>42949</v>
      </c>
      <c r="E29" s="136">
        <v>26754.720000000001</v>
      </c>
      <c r="F29" s="136" t="s">
        <v>14</v>
      </c>
      <c r="G29" s="140" t="s">
        <v>11</v>
      </c>
      <c r="H29" s="136" t="s">
        <v>12</v>
      </c>
      <c r="J29" s="139">
        <v>28</v>
      </c>
      <c r="K29" s="138">
        <v>20902.14</v>
      </c>
      <c r="L29" s="136">
        <v>0</v>
      </c>
      <c r="M29" s="136">
        <f>+J29/100*K29/2-0.01</f>
        <v>2926.2896000000001</v>
      </c>
      <c r="N29" s="136">
        <f>+J29/100*K29/2-0.01</f>
        <v>2926.2896000000001</v>
      </c>
      <c r="O29" s="136">
        <v>0</v>
      </c>
      <c r="P29" s="175">
        <v>87081090</v>
      </c>
      <c r="Q29" s="137" t="s">
        <v>22</v>
      </c>
      <c r="R29" s="136" t="s">
        <v>13</v>
      </c>
      <c r="S29" s="136">
        <v>252</v>
      </c>
      <c r="T29" s="136">
        <v>252</v>
      </c>
      <c r="U29" s="136">
        <f t="shared" si="0"/>
        <v>0</v>
      </c>
      <c r="V29" s="136">
        <v>252</v>
      </c>
    </row>
    <row r="30" spans="1:22" x14ac:dyDescent="0.3">
      <c r="A30" s="136" t="s">
        <v>6</v>
      </c>
      <c r="B30" s="136" t="s">
        <v>5</v>
      </c>
      <c r="C30" s="136" t="s">
        <v>490</v>
      </c>
      <c r="D30" s="143">
        <v>42949</v>
      </c>
      <c r="E30" s="136">
        <v>30576.84</v>
      </c>
      <c r="F30" s="136" t="s">
        <v>14</v>
      </c>
      <c r="G30" s="140" t="s">
        <v>11</v>
      </c>
      <c r="H30" s="136" t="s">
        <v>12</v>
      </c>
      <c r="J30" s="139">
        <v>28</v>
      </c>
      <c r="K30" s="138">
        <v>23888.16</v>
      </c>
      <c r="L30" s="136">
        <v>0</v>
      </c>
      <c r="M30" s="136">
        <f>+J30/100*K30/2</f>
        <v>3344.3424000000005</v>
      </c>
      <c r="N30" s="136">
        <f>+J30/100*K30/2</f>
        <v>3344.3424000000005</v>
      </c>
      <c r="O30" s="136">
        <v>0</v>
      </c>
      <c r="P30" s="175">
        <v>87081090</v>
      </c>
      <c r="Q30" s="137" t="s">
        <v>22</v>
      </c>
      <c r="R30" s="136" t="s">
        <v>13</v>
      </c>
      <c r="S30" s="136">
        <v>288</v>
      </c>
      <c r="T30" s="136">
        <v>288</v>
      </c>
      <c r="U30" s="136">
        <f t="shared" si="0"/>
        <v>0</v>
      </c>
      <c r="V30" s="136">
        <v>288</v>
      </c>
    </row>
    <row r="31" spans="1:22" x14ac:dyDescent="0.3">
      <c r="A31" s="136" t="s">
        <v>6</v>
      </c>
      <c r="B31" s="136" t="s">
        <v>5</v>
      </c>
      <c r="C31" s="136" t="s">
        <v>491</v>
      </c>
      <c r="D31" s="143">
        <v>42949</v>
      </c>
      <c r="E31" s="136">
        <v>5414.4</v>
      </c>
      <c r="F31" s="136" t="s">
        <v>14</v>
      </c>
      <c r="G31" s="140" t="s">
        <v>11</v>
      </c>
      <c r="H31" s="136" t="s">
        <v>12</v>
      </c>
      <c r="J31" s="139">
        <v>28</v>
      </c>
      <c r="K31" s="138">
        <v>4230</v>
      </c>
      <c r="L31" s="136">
        <v>0</v>
      </c>
      <c r="M31" s="136">
        <f>+J31/100*K31/2</f>
        <v>592.20000000000005</v>
      </c>
      <c r="N31" s="136">
        <f>+J31/100*K31/2</f>
        <v>592.20000000000005</v>
      </c>
      <c r="O31" s="136">
        <v>0</v>
      </c>
      <c r="P31" s="175">
        <v>87141090</v>
      </c>
      <c r="Q31" s="137" t="s">
        <v>22</v>
      </c>
      <c r="R31" s="136" t="s">
        <v>13</v>
      </c>
      <c r="S31" s="136">
        <v>120</v>
      </c>
      <c r="T31" s="136">
        <v>120</v>
      </c>
      <c r="U31" s="136">
        <f t="shared" si="0"/>
        <v>0</v>
      </c>
      <c r="V31" s="136">
        <v>120</v>
      </c>
    </row>
    <row r="32" spans="1:22" x14ac:dyDescent="0.3">
      <c r="A32" s="136" t="s">
        <v>181</v>
      </c>
      <c r="B32" s="136" t="s">
        <v>182</v>
      </c>
      <c r="C32" s="136" t="s">
        <v>492</v>
      </c>
      <c r="D32" s="143">
        <v>42950</v>
      </c>
      <c r="E32" s="136">
        <v>105048.58</v>
      </c>
      <c r="F32" s="136" t="s">
        <v>14</v>
      </c>
      <c r="G32" s="140" t="s">
        <v>11</v>
      </c>
      <c r="H32" s="136" t="s">
        <v>12</v>
      </c>
      <c r="J32" s="139">
        <v>28</v>
      </c>
      <c r="K32" s="138">
        <v>82069.2</v>
      </c>
      <c r="L32" s="136">
        <v>0</v>
      </c>
      <c r="M32" s="136">
        <f t="shared" ref="M32" si="8">+J32/100*K32/2</f>
        <v>11489.688</v>
      </c>
      <c r="N32" s="136">
        <f t="shared" ref="N32" si="9">+J32/100*K32/2</f>
        <v>11489.688</v>
      </c>
      <c r="O32" s="136">
        <v>0</v>
      </c>
      <c r="P32" s="175">
        <v>87141090</v>
      </c>
      <c r="Q32" s="137" t="s">
        <v>22</v>
      </c>
      <c r="R32" s="136" t="s">
        <v>13</v>
      </c>
      <c r="S32" s="136">
        <v>3576</v>
      </c>
      <c r="T32" s="136">
        <v>3576</v>
      </c>
      <c r="U32" s="136">
        <f t="shared" si="0"/>
        <v>0</v>
      </c>
      <c r="V32" s="136">
        <v>357</v>
      </c>
    </row>
    <row r="33" spans="1:22" x14ac:dyDescent="0.3">
      <c r="A33" s="136" t="s">
        <v>6</v>
      </c>
      <c r="B33" s="136" t="s">
        <v>5</v>
      </c>
      <c r="C33" s="136" t="s">
        <v>493</v>
      </c>
      <c r="D33" s="143">
        <v>42950</v>
      </c>
      <c r="E33" s="136">
        <v>13926.54</v>
      </c>
      <c r="F33" s="136" t="s">
        <v>14</v>
      </c>
      <c r="G33" s="140" t="s">
        <v>11</v>
      </c>
      <c r="H33" s="136" t="s">
        <v>12</v>
      </c>
      <c r="J33" s="139">
        <v>28</v>
      </c>
      <c r="K33" s="138">
        <v>10880.1</v>
      </c>
      <c r="L33" s="136">
        <v>0</v>
      </c>
      <c r="M33" s="136">
        <f>+J33/100*K33/2+0.01</f>
        <v>1523.2240000000002</v>
      </c>
      <c r="N33" s="136">
        <f>+J33/100*K33/2+0.01</f>
        <v>1523.2240000000002</v>
      </c>
      <c r="O33" s="136">
        <v>0</v>
      </c>
      <c r="P33" s="175">
        <v>87081090</v>
      </c>
      <c r="Q33" s="137" t="s">
        <v>22</v>
      </c>
      <c r="R33" s="136" t="s">
        <v>13</v>
      </c>
      <c r="S33" s="136">
        <v>132</v>
      </c>
      <c r="T33" s="136">
        <v>132</v>
      </c>
      <c r="U33" s="136">
        <f t="shared" si="0"/>
        <v>0</v>
      </c>
      <c r="V33" s="136">
        <v>132</v>
      </c>
    </row>
    <row r="34" spans="1:22" x14ac:dyDescent="0.3">
      <c r="A34" s="136" t="s">
        <v>6</v>
      </c>
      <c r="B34" s="136" t="s">
        <v>5</v>
      </c>
      <c r="C34" s="136" t="s">
        <v>494</v>
      </c>
      <c r="D34" s="143">
        <v>42950</v>
      </c>
      <c r="E34" s="136">
        <v>24206.68</v>
      </c>
      <c r="F34" s="136" t="s">
        <v>14</v>
      </c>
      <c r="G34" s="140" t="s">
        <v>11</v>
      </c>
      <c r="H34" s="136" t="s">
        <v>12</v>
      </c>
      <c r="J34" s="139">
        <v>28</v>
      </c>
      <c r="K34" s="138">
        <v>18911.46</v>
      </c>
      <c r="L34" s="136">
        <v>0</v>
      </c>
      <c r="M34" s="136">
        <f>+J34/100*K34/2+0.01</f>
        <v>2647.6144000000004</v>
      </c>
      <c r="N34" s="136">
        <f>+J34/100*K34/2+0.01</f>
        <v>2647.6144000000004</v>
      </c>
      <c r="O34" s="136">
        <v>0</v>
      </c>
      <c r="P34" s="175">
        <v>87081090</v>
      </c>
      <c r="Q34" s="137" t="s">
        <v>22</v>
      </c>
      <c r="R34" s="136" t="s">
        <v>13</v>
      </c>
      <c r="S34" s="136">
        <v>228</v>
      </c>
      <c r="T34" s="136">
        <v>228</v>
      </c>
      <c r="U34" s="136">
        <f t="shared" si="0"/>
        <v>0</v>
      </c>
      <c r="V34" s="136">
        <v>228</v>
      </c>
    </row>
    <row r="35" spans="1:22" x14ac:dyDescent="0.3">
      <c r="A35" s="136" t="s">
        <v>246</v>
      </c>
      <c r="B35" s="136" t="s">
        <v>245</v>
      </c>
      <c r="C35" s="136" t="s">
        <v>495</v>
      </c>
      <c r="D35" s="143">
        <v>42950</v>
      </c>
      <c r="E35" s="136">
        <v>67531.520000000004</v>
      </c>
      <c r="F35" s="136" t="s">
        <v>14</v>
      </c>
      <c r="G35" s="140" t="s">
        <v>11</v>
      </c>
      <c r="H35" s="136" t="s">
        <v>12</v>
      </c>
      <c r="J35" s="139">
        <v>28</v>
      </c>
      <c r="K35" s="138">
        <v>52759</v>
      </c>
      <c r="L35" s="136">
        <v>0</v>
      </c>
      <c r="M35" s="136">
        <f t="shared" ref="M35" si="10">+J35/100*K35/2</f>
        <v>7386.2600000000011</v>
      </c>
      <c r="N35" s="136">
        <f t="shared" ref="N35" si="11">+J35/100*K35/2</f>
        <v>7386.2600000000011</v>
      </c>
      <c r="O35" s="136">
        <v>0</v>
      </c>
      <c r="P35" s="175">
        <v>87141090</v>
      </c>
      <c r="Q35" s="137" t="s">
        <v>22</v>
      </c>
      <c r="R35" s="136" t="s">
        <v>13</v>
      </c>
      <c r="S35" s="136">
        <v>700</v>
      </c>
      <c r="T35" s="136">
        <v>700</v>
      </c>
      <c r="U35" s="136">
        <f t="shared" si="0"/>
        <v>0</v>
      </c>
      <c r="V35" s="136">
        <v>700</v>
      </c>
    </row>
    <row r="36" spans="1:22" x14ac:dyDescent="0.3">
      <c r="A36" s="136" t="s">
        <v>6</v>
      </c>
      <c r="B36" s="136" t="s">
        <v>5</v>
      </c>
      <c r="C36" s="136" t="s">
        <v>496</v>
      </c>
      <c r="D36" s="143">
        <v>42950</v>
      </c>
      <c r="E36" s="136">
        <v>19264</v>
      </c>
      <c r="F36" s="136" t="s">
        <v>14</v>
      </c>
      <c r="G36" s="140" t="s">
        <v>11</v>
      </c>
      <c r="H36" s="136" t="s">
        <v>12</v>
      </c>
      <c r="J36" s="139">
        <v>28</v>
      </c>
      <c r="K36" s="138">
        <v>15050</v>
      </c>
      <c r="L36" s="136">
        <v>0</v>
      </c>
      <c r="M36" s="136">
        <f>+J36/100*K36/2</f>
        <v>2107</v>
      </c>
      <c r="N36" s="136">
        <f>+J36/100*K36/2</f>
        <v>2107</v>
      </c>
      <c r="O36" s="136">
        <v>0</v>
      </c>
      <c r="P36" s="175">
        <v>87141090</v>
      </c>
      <c r="Q36" s="137" t="s">
        <v>22</v>
      </c>
      <c r="R36" s="136" t="s">
        <v>13</v>
      </c>
      <c r="S36" s="136">
        <v>200</v>
      </c>
      <c r="T36" s="136">
        <v>200</v>
      </c>
      <c r="U36" s="136">
        <f t="shared" si="0"/>
        <v>0</v>
      </c>
      <c r="V36" s="136">
        <v>200</v>
      </c>
    </row>
    <row r="37" spans="1:22" x14ac:dyDescent="0.3">
      <c r="A37" s="136" t="s">
        <v>40</v>
      </c>
      <c r="B37" s="136" t="s">
        <v>39</v>
      </c>
      <c r="C37" s="136" t="s">
        <v>497</v>
      </c>
      <c r="D37" s="143">
        <v>42950</v>
      </c>
      <c r="E37" s="136">
        <v>10058.56</v>
      </c>
      <c r="F37" s="136" t="s">
        <v>14</v>
      </c>
      <c r="G37" s="140" t="s">
        <v>11</v>
      </c>
      <c r="H37" s="136" t="s">
        <v>12</v>
      </c>
      <c r="J37" s="139">
        <v>18</v>
      </c>
      <c r="K37" s="138">
        <v>8524.2000000000007</v>
      </c>
      <c r="L37" s="136">
        <v>0</v>
      </c>
      <c r="M37" s="136">
        <f t="shared" ref="M37" si="12">+J37/100*K37/2</f>
        <v>767.178</v>
      </c>
      <c r="N37" s="136">
        <f t="shared" ref="N37" si="13">+J37/100*K37/2</f>
        <v>767.178</v>
      </c>
      <c r="O37" s="136">
        <v>0</v>
      </c>
      <c r="P37" s="175">
        <v>998898</v>
      </c>
      <c r="Q37" s="137" t="s">
        <v>22</v>
      </c>
      <c r="R37" s="136" t="s">
        <v>13</v>
      </c>
      <c r="S37" s="136">
        <v>0</v>
      </c>
      <c r="T37" s="136">
        <v>0</v>
      </c>
      <c r="U37" s="136">
        <f t="shared" si="0"/>
        <v>0</v>
      </c>
      <c r="V37" s="136">
        <v>30</v>
      </c>
    </row>
    <row r="38" spans="1:22" x14ac:dyDescent="0.3">
      <c r="A38" s="136" t="s">
        <v>180</v>
      </c>
      <c r="B38" s="136" t="s">
        <v>360</v>
      </c>
      <c r="C38" s="136" t="s">
        <v>498</v>
      </c>
      <c r="D38" s="143">
        <v>42950</v>
      </c>
      <c r="E38" s="136">
        <v>54032.6</v>
      </c>
      <c r="F38" s="136" t="s">
        <v>14</v>
      </c>
      <c r="G38" s="140" t="s">
        <v>11</v>
      </c>
      <c r="H38" s="136" t="s">
        <v>12</v>
      </c>
      <c r="J38" s="139">
        <v>28</v>
      </c>
      <c r="K38" s="138">
        <v>42212.959999999999</v>
      </c>
      <c r="L38" s="136">
        <v>0</v>
      </c>
      <c r="M38" s="136">
        <f>+J38/100*K38/2+0.01</f>
        <v>5909.8244000000004</v>
      </c>
      <c r="N38" s="136">
        <f>+J38/100*K38/2+0.01</f>
        <v>5909.8244000000004</v>
      </c>
      <c r="O38" s="136">
        <v>0</v>
      </c>
      <c r="P38" s="175">
        <v>87089900</v>
      </c>
      <c r="Q38" s="137" t="s">
        <v>22</v>
      </c>
      <c r="R38" s="136" t="s">
        <v>13</v>
      </c>
      <c r="S38" s="136">
        <v>112</v>
      </c>
      <c r="T38" s="136">
        <v>112</v>
      </c>
      <c r="U38" s="136">
        <f t="shared" si="0"/>
        <v>0</v>
      </c>
      <c r="V38" s="136">
        <v>112</v>
      </c>
    </row>
    <row r="39" spans="1:22" x14ac:dyDescent="0.3">
      <c r="A39" s="136" t="s">
        <v>253</v>
      </c>
      <c r="B39" s="136" t="s">
        <v>252</v>
      </c>
      <c r="C39" s="136" t="s">
        <v>499</v>
      </c>
      <c r="D39" s="143">
        <v>42950</v>
      </c>
      <c r="E39" s="136">
        <v>4531.2</v>
      </c>
      <c r="F39" s="136" t="s">
        <v>14</v>
      </c>
      <c r="G39" s="140" t="s">
        <v>11</v>
      </c>
      <c r="H39" s="136" t="s">
        <v>12</v>
      </c>
      <c r="J39" s="139">
        <v>18</v>
      </c>
      <c r="K39" s="138">
        <v>3840</v>
      </c>
      <c r="L39" s="136">
        <v>0</v>
      </c>
      <c r="M39" s="136">
        <f t="shared" ref="M39" si="14">+J39/100*K39/2</f>
        <v>345.59999999999997</v>
      </c>
      <c r="N39" s="136">
        <f t="shared" ref="N39" si="15">+J39/100*K39/2</f>
        <v>345.59999999999997</v>
      </c>
      <c r="O39" s="136">
        <v>0</v>
      </c>
      <c r="P39" s="175">
        <v>998898</v>
      </c>
      <c r="Q39" s="137" t="s">
        <v>22</v>
      </c>
      <c r="R39" s="136" t="s">
        <v>13</v>
      </c>
      <c r="S39" s="136">
        <v>0</v>
      </c>
      <c r="T39" s="136">
        <v>0</v>
      </c>
      <c r="U39" s="136">
        <f t="shared" si="0"/>
        <v>0</v>
      </c>
      <c r="V39" s="136">
        <v>12</v>
      </c>
    </row>
    <row r="40" spans="1:22" x14ac:dyDescent="0.3">
      <c r="A40" s="136" t="s">
        <v>6</v>
      </c>
      <c r="B40" s="136" t="s">
        <v>5</v>
      </c>
      <c r="C40" s="136" t="s">
        <v>500</v>
      </c>
      <c r="D40" s="143">
        <v>42950</v>
      </c>
      <c r="E40" s="136">
        <v>63701.760000000002</v>
      </c>
      <c r="F40" s="136" t="s">
        <v>14</v>
      </c>
      <c r="G40" s="140" t="s">
        <v>11</v>
      </c>
      <c r="H40" s="136" t="s">
        <v>12</v>
      </c>
      <c r="J40" s="139">
        <v>28</v>
      </c>
      <c r="K40" s="138">
        <v>49767</v>
      </c>
      <c r="L40" s="136">
        <v>0</v>
      </c>
      <c r="M40" s="136">
        <f>+J40/100*K40/2</f>
        <v>6967.380000000001</v>
      </c>
      <c r="N40" s="136">
        <f>+J40/100*K40/2</f>
        <v>6967.380000000001</v>
      </c>
      <c r="O40" s="136">
        <v>0</v>
      </c>
      <c r="P40" s="175">
        <v>87081090</v>
      </c>
      <c r="Q40" s="137" t="s">
        <v>22</v>
      </c>
      <c r="R40" s="136" t="s">
        <v>13</v>
      </c>
      <c r="S40" s="136">
        <v>600</v>
      </c>
      <c r="T40" s="136">
        <v>600</v>
      </c>
      <c r="U40" s="136">
        <f t="shared" si="0"/>
        <v>0</v>
      </c>
      <c r="V40" s="136">
        <v>600</v>
      </c>
    </row>
    <row r="41" spans="1:22" x14ac:dyDescent="0.3">
      <c r="A41" s="136" t="s">
        <v>253</v>
      </c>
      <c r="B41" s="136" t="s">
        <v>252</v>
      </c>
      <c r="C41" s="136" t="s">
        <v>501</v>
      </c>
      <c r="D41" s="143">
        <v>42950</v>
      </c>
      <c r="E41" s="136">
        <v>4531.2</v>
      </c>
      <c r="F41" s="136" t="s">
        <v>14</v>
      </c>
      <c r="G41" s="140" t="s">
        <v>11</v>
      </c>
      <c r="H41" s="136" t="s">
        <v>12</v>
      </c>
      <c r="J41" s="139">
        <v>18</v>
      </c>
      <c r="K41" s="138">
        <v>3840</v>
      </c>
      <c r="L41" s="136">
        <v>0</v>
      </c>
      <c r="M41" s="136">
        <f t="shared" ref="M41" si="16">+J41/100*K41/2</f>
        <v>345.59999999999997</v>
      </c>
      <c r="N41" s="136">
        <f t="shared" ref="N41" si="17">+J41/100*K41/2</f>
        <v>345.59999999999997</v>
      </c>
      <c r="O41" s="136">
        <v>0</v>
      </c>
      <c r="P41" s="175">
        <v>998898</v>
      </c>
      <c r="Q41" s="137" t="s">
        <v>22</v>
      </c>
      <c r="R41" s="136" t="s">
        <v>13</v>
      </c>
      <c r="S41" s="136">
        <v>0</v>
      </c>
      <c r="T41" s="136">
        <v>0</v>
      </c>
      <c r="U41" s="136">
        <f t="shared" si="0"/>
        <v>0</v>
      </c>
      <c r="V41" s="136">
        <v>12</v>
      </c>
    </row>
    <row r="42" spans="1:22" x14ac:dyDescent="0.3">
      <c r="A42" s="136" t="s">
        <v>6</v>
      </c>
      <c r="B42" s="136" t="s">
        <v>5</v>
      </c>
      <c r="C42" s="136" t="s">
        <v>502</v>
      </c>
      <c r="D42" s="143">
        <v>42950</v>
      </c>
      <c r="E42" s="136">
        <v>19264</v>
      </c>
      <c r="F42" s="136" t="s">
        <v>14</v>
      </c>
      <c r="G42" s="140" t="s">
        <v>11</v>
      </c>
      <c r="H42" s="136" t="s">
        <v>12</v>
      </c>
      <c r="J42" s="139">
        <v>28</v>
      </c>
      <c r="K42" s="138">
        <v>15050</v>
      </c>
      <c r="L42" s="136">
        <v>0</v>
      </c>
      <c r="M42" s="136">
        <f>+J42/100*K42/2</f>
        <v>2107</v>
      </c>
      <c r="N42" s="136">
        <f>+J42/100*K42/2</f>
        <v>2107</v>
      </c>
      <c r="O42" s="136">
        <v>0</v>
      </c>
      <c r="P42" s="175">
        <v>87141090</v>
      </c>
      <c r="Q42" s="137" t="s">
        <v>22</v>
      </c>
      <c r="R42" s="136" t="s">
        <v>13</v>
      </c>
      <c r="S42" s="136">
        <v>200</v>
      </c>
      <c r="T42" s="136">
        <v>200</v>
      </c>
      <c r="U42" s="136">
        <f t="shared" si="0"/>
        <v>0</v>
      </c>
      <c r="V42" s="136">
        <v>200</v>
      </c>
    </row>
    <row r="43" spans="1:22" x14ac:dyDescent="0.3">
      <c r="A43" s="136" t="s">
        <v>179</v>
      </c>
      <c r="B43" s="136" t="s">
        <v>178</v>
      </c>
      <c r="C43" s="136" t="s">
        <v>503</v>
      </c>
      <c r="D43" s="143">
        <v>42950</v>
      </c>
      <c r="E43" s="136">
        <v>74624.72</v>
      </c>
      <c r="F43" s="136" t="s">
        <v>14</v>
      </c>
      <c r="G43" s="140" t="s">
        <v>11</v>
      </c>
      <c r="H43" s="136" t="s">
        <v>12</v>
      </c>
      <c r="J43" s="139">
        <v>28</v>
      </c>
      <c r="K43" s="138">
        <v>58300.56</v>
      </c>
      <c r="L43" s="136">
        <v>0</v>
      </c>
      <c r="M43" s="136">
        <f t="shared" ref="M43" si="18">+J43/100*K43/2</f>
        <v>8162.0784000000003</v>
      </c>
      <c r="N43" s="136">
        <f t="shared" ref="N43" si="19">+J43/100*K43/2</f>
        <v>8162.0784000000003</v>
      </c>
      <c r="O43" s="136">
        <v>0</v>
      </c>
      <c r="P43" s="175">
        <v>85129000</v>
      </c>
      <c r="Q43" s="137" t="s">
        <v>22</v>
      </c>
      <c r="R43" s="136" t="s">
        <v>13</v>
      </c>
      <c r="S43" s="136">
        <v>972</v>
      </c>
      <c r="T43" s="136">
        <v>972</v>
      </c>
      <c r="U43" s="136">
        <f t="shared" si="0"/>
        <v>0</v>
      </c>
      <c r="V43" s="136">
        <v>972</v>
      </c>
    </row>
    <row r="44" spans="1:22" x14ac:dyDescent="0.3">
      <c r="A44" s="136" t="s">
        <v>6</v>
      </c>
      <c r="B44" s="136" t="s">
        <v>5</v>
      </c>
      <c r="C44" s="136" t="s">
        <v>504</v>
      </c>
      <c r="D44" s="143">
        <v>42950</v>
      </c>
      <c r="E44" s="136">
        <v>61153.68</v>
      </c>
      <c r="F44" s="136" t="s">
        <v>14</v>
      </c>
      <c r="G44" s="140" t="s">
        <v>11</v>
      </c>
      <c r="H44" s="136" t="s">
        <v>12</v>
      </c>
      <c r="J44" s="139">
        <v>28</v>
      </c>
      <c r="K44" s="138">
        <v>47776.32</v>
      </c>
      <c r="L44" s="136">
        <v>0</v>
      </c>
      <c r="M44" s="136">
        <f>+J44/100*K44/2</f>
        <v>6688.6848000000009</v>
      </c>
      <c r="N44" s="136">
        <f>+J44/100*K44/2</f>
        <v>6688.6848000000009</v>
      </c>
      <c r="O44" s="136">
        <v>0</v>
      </c>
      <c r="P44" s="175">
        <v>87081090</v>
      </c>
      <c r="Q44" s="137" t="s">
        <v>22</v>
      </c>
      <c r="R44" s="136" t="s">
        <v>13</v>
      </c>
      <c r="S44" s="136">
        <v>576</v>
      </c>
      <c r="T44" s="136">
        <v>576</v>
      </c>
      <c r="U44" s="136">
        <f t="shared" si="0"/>
        <v>0</v>
      </c>
      <c r="V44" s="136">
        <v>576</v>
      </c>
    </row>
    <row r="45" spans="1:22" x14ac:dyDescent="0.3">
      <c r="A45" s="136" t="s">
        <v>6</v>
      </c>
      <c r="B45" s="136" t="s">
        <v>5</v>
      </c>
      <c r="C45" s="136" t="s">
        <v>505</v>
      </c>
      <c r="D45" s="143">
        <v>42951</v>
      </c>
      <c r="E45" s="136">
        <v>48413.32</v>
      </c>
      <c r="F45" s="136" t="s">
        <v>14</v>
      </c>
      <c r="G45" s="140" t="s">
        <v>11</v>
      </c>
      <c r="H45" s="136" t="s">
        <v>12</v>
      </c>
      <c r="J45" s="139">
        <v>28</v>
      </c>
      <c r="K45" s="138">
        <v>37822.92</v>
      </c>
      <c r="L45" s="136">
        <v>0</v>
      </c>
      <c r="M45" s="136">
        <f>+J45/100*K45/2-0.01</f>
        <v>5295.1988000000001</v>
      </c>
      <c r="N45" s="136">
        <f>+J45/100*K45/2-0.01</f>
        <v>5295.1988000000001</v>
      </c>
      <c r="O45" s="136">
        <v>0</v>
      </c>
      <c r="P45" s="175">
        <v>87081090</v>
      </c>
      <c r="Q45" s="137" t="s">
        <v>22</v>
      </c>
      <c r="R45" s="136" t="s">
        <v>13</v>
      </c>
      <c r="S45" s="136">
        <v>456</v>
      </c>
      <c r="T45" s="136">
        <v>456</v>
      </c>
      <c r="U45" s="136">
        <f t="shared" si="0"/>
        <v>0</v>
      </c>
      <c r="V45" s="136">
        <v>456</v>
      </c>
    </row>
    <row r="46" spans="1:22" x14ac:dyDescent="0.3">
      <c r="A46" s="136" t="s">
        <v>6</v>
      </c>
      <c r="B46" s="136" t="s">
        <v>5</v>
      </c>
      <c r="C46" s="136" t="s">
        <v>506</v>
      </c>
      <c r="D46" s="143">
        <v>42951</v>
      </c>
      <c r="E46" s="136">
        <v>12744.96</v>
      </c>
      <c r="F46" s="136" t="s">
        <v>14</v>
      </c>
      <c r="G46" s="140" t="s">
        <v>11</v>
      </c>
      <c r="H46" s="136" t="s">
        <v>12</v>
      </c>
      <c r="J46" s="139">
        <v>28</v>
      </c>
      <c r="K46" s="138">
        <v>9957</v>
      </c>
      <c r="L46" s="136">
        <v>0</v>
      </c>
      <c r="M46" s="136">
        <f>+J46/100*K46/2</f>
        <v>1393.9800000000002</v>
      </c>
      <c r="N46" s="136">
        <f>+J46/100*K46/2</f>
        <v>1393.9800000000002</v>
      </c>
      <c r="O46" s="136">
        <v>0</v>
      </c>
      <c r="P46" s="175">
        <v>87141090</v>
      </c>
      <c r="Q46" s="137" t="s">
        <v>22</v>
      </c>
      <c r="R46" s="136" t="s">
        <v>13</v>
      </c>
      <c r="S46" s="136">
        <v>228</v>
      </c>
      <c r="T46" s="136">
        <v>228</v>
      </c>
      <c r="U46" s="136">
        <f t="shared" si="0"/>
        <v>0</v>
      </c>
      <c r="V46" s="136">
        <v>228</v>
      </c>
    </row>
    <row r="47" spans="1:22" x14ac:dyDescent="0.3">
      <c r="A47" s="136" t="s">
        <v>180</v>
      </c>
      <c r="B47" s="136" t="s">
        <v>360</v>
      </c>
      <c r="C47" s="136" t="s">
        <v>507</v>
      </c>
      <c r="D47" s="143">
        <v>42951</v>
      </c>
      <c r="E47" s="136">
        <v>59464</v>
      </c>
      <c r="F47" s="136" t="s">
        <v>14</v>
      </c>
      <c r="G47" s="140" t="s">
        <v>11</v>
      </c>
      <c r="H47" s="136" t="s">
        <v>12</v>
      </c>
      <c r="J47" s="139">
        <v>28</v>
      </c>
      <c r="K47" s="138">
        <v>46456.24</v>
      </c>
      <c r="L47" s="136">
        <v>0</v>
      </c>
      <c r="M47" s="136">
        <f>+J47/100*K47/2+0.01</f>
        <v>6503.8836000000001</v>
      </c>
      <c r="N47" s="136">
        <f>+J47/100*K47/2+0.01</f>
        <v>6503.8836000000001</v>
      </c>
      <c r="O47" s="136">
        <v>0</v>
      </c>
      <c r="P47" s="175">
        <v>87089900</v>
      </c>
      <c r="Q47" s="137" t="s">
        <v>22</v>
      </c>
      <c r="R47" s="136" t="s">
        <v>13</v>
      </c>
      <c r="S47" s="136">
        <v>136</v>
      </c>
      <c r="T47" s="136">
        <v>136</v>
      </c>
      <c r="U47" s="136">
        <f t="shared" si="0"/>
        <v>0</v>
      </c>
      <c r="V47" s="136">
        <v>136</v>
      </c>
    </row>
    <row r="48" spans="1:22" x14ac:dyDescent="0.3">
      <c r="A48" s="136" t="s">
        <v>6</v>
      </c>
      <c r="B48" s="136" t="s">
        <v>5</v>
      </c>
      <c r="C48" s="136" t="s">
        <v>508</v>
      </c>
      <c r="D48" s="143">
        <v>42951</v>
      </c>
      <c r="E48" s="136">
        <v>63701.760000000002</v>
      </c>
      <c r="F48" s="136" t="s">
        <v>14</v>
      </c>
      <c r="G48" s="140" t="s">
        <v>11</v>
      </c>
      <c r="H48" s="136" t="s">
        <v>12</v>
      </c>
      <c r="J48" s="139">
        <v>28</v>
      </c>
      <c r="K48" s="138">
        <v>49767</v>
      </c>
      <c r="L48" s="136">
        <v>0</v>
      </c>
      <c r="M48" s="136">
        <f>+J48/100*K48/2</f>
        <v>6967.380000000001</v>
      </c>
      <c r="N48" s="136">
        <f>+J48/100*K48/2</f>
        <v>6967.380000000001</v>
      </c>
      <c r="O48" s="136">
        <v>0</v>
      </c>
      <c r="P48" s="175">
        <v>87081090</v>
      </c>
      <c r="Q48" s="137" t="s">
        <v>22</v>
      </c>
      <c r="R48" s="136" t="s">
        <v>13</v>
      </c>
      <c r="S48" s="136">
        <v>600</v>
      </c>
      <c r="T48" s="136">
        <v>600</v>
      </c>
      <c r="U48" s="136">
        <f t="shared" si="0"/>
        <v>0</v>
      </c>
      <c r="V48" s="136">
        <v>600</v>
      </c>
    </row>
    <row r="49" spans="1:22" x14ac:dyDescent="0.3">
      <c r="A49" s="136" t="s">
        <v>6</v>
      </c>
      <c r="B49" s="136" t="s">
        <v>5</v>
      </c>
      <c r="C49" s="136" t="s">
        <v>509</v>
      </c>
      <c r="D49" s="143">
        <v>42951</v>
      </c>
      <c r="E49" s="136">
        <v>64975.8</v>
      </c>
      <c r="F49" s="136" t="s">
        <v>14</v>
      </c>
      <c r="G49" s="140" t="s">
        <v>11</v>
      </c>
      <c r="H49" s="136" t="s">
        <v>12</v>
      </c>
      <c r="J49" s="139">
        <v>28</v>
      </c>
      <c r="K49" s="138">
        <v>50762.34</v>
      </c>
      <c r="L49" s="136">
        <v>0</v>
      </c>
      <c r="M49" s="136">
        <f>+J49/100*K49/2</f>
        <v>7106.7276000000002</v>
      </c>
      <c r="N49" s="136">
        <f>+J49/100*K49/2</f>
        <v>7106.7276000000002</v>
      </c>
      <c r="O49" s="136">
        <v>0</v>
      </c>
      <c r="P49" s="175">
        <v>87081090</v>
      </c>
      <c r="Q49" s="137" t="s">
        <v>22</v>
      </c>
      <c r="R49" s="136" t="s">
        <v>13</v>
      </c>
      <c r="S49" s="136">
        <v>612</v>
      </c>
      <c r="T49" s="136">
        <v>612</v>
      </c>
      <c r="U49" s="136">
        <f t="shared" si="0"/>
        <v>0</v>
      </c>
      <c r="V49" s="136">
        <v>612</v>
      </c>
    </row>
    <row r="50" spans="1:22" x14ac:dyDescent="0.3">
      <c r="A50" s="136" t="s">
        <v>180</v>
      </c>
      <c r="B50" s="136" t="s">
        <v>360</v>
      </c>
      <c r="C50" s="136" t="s">
        <v>510</v>
      </c>
      <c r="D50" s="143">
        <v>42952</v>
      </c>
      <c r="E50" s="136">
        <v>48227.78</v>
      </c>
      <c r="F50" s="136" t="s">
        <v>14</v>
      </c>
      <c r="G50" s="140" t="s">
        <v>11</v>
      </c>
      <c r="H50" s="136" t="s">
        <v>12</v>
      </c>
      <c r="J50" s="139">
        <v>28</v>
      </c>
      <c r="K50" s="138">
        <v>37677.96</v>
      </c>
      <c r="L50" s="136">
        <v>0</v>
      </c>
      <c r="M50" s="136">
        <f>+J50/100*K50/2</f>
        <v>5274.9144000000006</v>
      </c>
      <c r="N50" s="136">
        <f>+J50/100*K50/2</f>
        <v>5274.9144000000006</v>
      </c>
      <c r="O50" s="136">
        <v>0</v>
      </c>
      <c r="P50" s="175">
        <v>87089900</v>
      </c>
      <c r="Q50" s="137" t="s">
        <v>22</v>
      </c>
      <c r="R50" s="136" t="s">
        <v>13</v>
      </c>
      <c r="S50" s="136">
        <v>228</v>
      </c>
      <c r="T50" s="136">
        <v>228</v>
      </c>
      <c r="U50" s="136">
        <f t="shared" si="0"/>
        <v>0</v>
      </c>
      <c r="V50" s="136">
        <v>228</v>
      </c>
    </row>
    <row r="51" spans="1:22" x14ac:dyDescent="0.3">
      <c r="A51" s="136" t="s">
        <v>180</v>
      </c>
      <c r="B51" s="136" t="s">
        <v>360</v>
      </c>
      <c r="C51" s="136" t="s">
        <v>511</v>
      </c>
      <c r="D51" s="143">
        <v>42952</v>
      </c>
      <c r="E51" s="136">
        <v>21299.200000000001</v>
      </c>
      <c r="F51" s="136" t="s">
        <v>14</v>
      </c>
      <c r="G51" s="140" t="s">
        <v>11</v>
      </c>
      <c r="H51" s="136" t="s">
        <v>12</v>
      </c>
      <c r="J51" s="139">
        <v>28</v>
      </c>
      <c r="K51" s="138">
        <v>16640</v>
      </c>
      <c r="L51" s="136">
        <v>0</v>
      </c>
      <c r="M51" s="136">
        <f>+J51/100*K51/2</f>
        <v>2329.6000000000004</v>
      </c>
      <c r="N51" s="136">
        <f>+J51/100*K51/2</f>
        <v>2329.6000000000004</v>
      </c>
      <c r="O51" s="136">
        <v>0</v>
      </c>
      <c r="P51" s="175">
        <v>87089900</v>
      </c>
      <c r="Q51" s="137" t="s">
        <v>22</v>
      </c>
      <c r="R51" s="136" t="s">
        <v>13</v>
      </c>
      <c r="S51" s="136">
        <v>32</v>
      </c>
      <c r="T51" s="136">
        <v>32</v>
      </c>
      <c r="U51" s="136">
        <f t="shared" si="0"/>
        <v>0</v>
      </c>
      <c r="V51" s="136">
        <v>32</v>
      </c>
    </row>
    <row r="52" spans="1:22" x14ac:dyDescent="0.3">
      <c r="A52" s="136" t="s">
        <v>246</v>
      </c>
      <c r="B52" s="136" t="s">
        <v>245</v>
      </c>
      <c r="C52" s="136" t="s">
        <v>512</v>
      </c>
      <c r="D52" s="143">
        <v>42952</v>
      </c>
      <c r="E52" s="136">
        <v>71390.460000000006</v>
      </c>
      <c r="F52" s="136" t="s">
        <v>14</v>
      </c>
      <c r="G52" s="140" t="s">
        <v>11</v>
      </c>
      <c r="H52" s="136" t="s">
        <v>12</v>
      </c>
      <c r="J52" s="139">
        <v>28</v>
      </c>
      <c r="K52" s="138">
        <v>55773.8</v>
      </c>
      <c r="L52" s="136">
        <v>0</v>
      </c>
      <c r="M52" s="136">
        <f t="shared" ref="M52:M54" si="20">+J52/100*K52/2</f>
        <v>7808.3320000000012</v>
      </c>
      <c r="N52" s="136">
        <f t="shared" ref="N52:N54" si="21">+J52/100*K52/2</f>
        <v>7808.3320000000012</v>
      </c>
      <c r="O52" s="136">
        <v>0</v>
      </c>
      <c r="P52" s="175">
        <v>87141090</v>
      </c>
      <c r="Q52" s="137" t="s">
        <v>22</v>
      </c>
      <c r="R52" s="136" t="s">
        <v>13</v>
      </c>
      <c r="S52" s="136">
        <v>740</v>
      </c>
      <c r="T52" s="136">
        <v>740</v>
      </c>
      <c r="U52" s="136">
        <f t="shared" si="0"/>
        <v>0</v>
      </c>
      <c r="V52" s="136">
        <v>740</v>
      </c>
    </row>
    <row r="53" spans="1:22" x14ac:dyDescent="0.3">
      <c r="A53" s="136" t="s">
        <v>40</v>
      </c>
      <c r="B53" s="136" t="s">
        <v>39</v>
      </c>
      <c r="C53" s="136" t="s">
        <v>513</v>
      </c>
      <c r="D53" s="143">
        <v>42952</v>
      </c>
      <c r="E53" s="136">
        <v>10058.56</v>
      </c>
      <c r="F53" s="136" t="s">
        <v>14</v>
      </c>
      <c r="G53" s="140" t="s">
        <v>11</v>
      </c>
      <c r="H53" s="136" t="s">
        <v>12</v>
      </c>
      <c r="J53" s="139">
        <v>18</v>
      </c>
      <c r="K53" s="138">
        <v>8524.2000000000007</v>
      </c>
      <c r="L53" s="136">
        <v>0</v>
      </c>
      <c r="M53" s="136">
        <f t="shared" si="20"/>
        <v>767.178</v>
      </c>
      <c r="N53" s="136">
        <f t="shared" si="21"/>
        <v>767.178</v>
      </c>
      <c r="O53" s="136">
        <v>0</v>
      </c>
      <c r="P53" s="175">
        <v>998898</v>
      </c>
      <c r="Q53" s="137" t="s">
        <v>22</v>
      </c>
      <c r="R53" s="136" t="s">
        <v>13</v>
      </c>
      <c r="S53" s="136">
        <v>0</v>
      </c>
      <c r="T53" s="136">
        <v>0</v>
      </c>
      <c r="U53" s="136">
        <f t="shared" si="0"/>
        <v>0</v>
      </c>
      <c r="V53" s="136">
        <v>30</v>
      </c>
    </row>
    <row r="54" spans="1:22" x14ac:dyDescent="0.3">
      <c r="A54" s="136" t="s">
        <v>186</v>
      </c>
      <c r="B54" s="136" t="s">
        <v>187</v>
      </c>
      <c r="C54" s="136" t="s">
        <v>514</v>
      </c>
      <c r="D54" s="143">
        <v>42952</v>
      </c>
      <c r="E54" s="136">
        <v>107520</v>
      </c>
      <c r="F54" s="136" t="s">
        <v>14</v>
      </c>
      <c r="G54" s="140" t="s">
        <v>11</v>
      </c>
      <c r="H54" s="136" t="s">
        <v>12</v>
      </c>
      <c r="J54" s="139">
        <v>28</v>
      </c>
      <c r="K54" s="138">
        <v>84000</v>
      </c>
      <c r="L54" s="136">
        <v>0</v>
      </c>
      <c r="M54" s="136">
        <f t="shared" si="20"/>
        <v>11760.000000000002</v>
      </c>
      <c r="N54" s="136">
        <f t="shared" si="21"/>
        <v>11760.000000000002</v>
      </c>
      <c r="O54" s="136">
        <v>0</v>
      </c>
      <c r="P54" s="175">
        <v>85129000</v>
      </c>
      <c r="Q54" s="137" t="s">
        <v>22</v>
      </c>
      <c r="R54" s="136" t="s">
        <v>13</v>
      </c>
      <c r="S54" s="136">
        <v>3360</v>
      </c>
      <c r="T54" s="136">
        <v>3360</v>
      </c>
      <c r="U54" s="136">
        <f t="shared" si="0"/>
        <v>0</v>
      </c>
      <c r="V54" s="136">
        <v>3360</v>
      </c>
    </row>
    <row r="55" spans="1:22" x14ac:dyDescent="0.3">
      <c r="A55" s="136" t="s">
        <v>6</v>
      </c>
      <c r="B55" s="136" t="s">
        <v>5</v>
      </c>
      <c r="C55" s="136" t="s">
        <v>515</v>
      </c>
      <c r="D55" s="143">
        <v>42952</v>
      </c>
      <c r="E55" s="136">
        <v>47139.32</v>
      </c>
      <c r="F55" s="136" t="s">
        <v>14</v>
      </c>
      <c r="G55" s="140" t="s">
        <v>11</v>
      </c>
      <c r="H55" s="136" t="s">
        <v>12</v>
      </c>
      <c r="J55" s="139">
        <v>28</v>
      </c>
      <c r="K55" s="138">
        <v>36827.58</v>
      </c>
      <c r="L55" s="136">
        <v>0</v>
      </c>
      <c r="M55" s="136">
        <f>+J55/100*K55/2+0.01</f>
        <v>5155.8712000000005</v>
      </c>
      <c r="N55" s="136">
        <f>+J55/100*K55/2+0.01</f>
        <v>5155.8712000000005</v>
      </c>
      <c r="O55" s="136">
        <v>0</v>
      </c>
      <c r="P55" s="175">
        <v>87081090</v>
      </c>
      <c r="Q55" s="137" t="s">
        <v>22</v>
      </c>
      <c r="R55" s="136" t="s">
        <v>13</v>
      </c>
      <c r="S55" s="136">
        <v>444</v>
      </c>
      <c r="T55" s="136">
        <v>444</v>
      </c>
      <c r="U55" s="136">
        <f t="shared" si="0"/>
        <v>0</v>
      </c>
      <c r="V55" s="136">
        <v>444</v>
      </c>
    </row>
    <row r="56" spans="1:22" x14ac:dyDescent="0.3">
      <c r="A56" s="136" t="s">
        <v>6</v>
      </c>
      <c r="B56" s="136" t="s">
        <v>5</v>
      </c>
      <c r="C56" s="136" t="s">
        <v>516</v>
      </c>
      <c r="D56" s="143">
        <v>42952</v>
      </c>
      <c r="E56" s="136">
        <v>19264</v>
      </c>
      <c r="F56" s="136" t="s">
        <v>14</v>
      </c>
      <c r="G56" s="140" t="s">
        <v>11</v>
      </c>
      <c r="H56" s="136" t="s">
        <v>12</v>
      </c>
      <c r="J56" s="139">
        <v>28</v>
      </c>
      <c r="K56" s="138">
        <v>15050</v>
      </c>
      <c r="L56" s="136">
        <v>0</v>
      </c>
      <c r="M56" s="136">
        <f>+J56/100*K56/2</f>
        <v>2107</v>
      </c>
      <c r="N56" s="136">
        <f>+J56/100*K56/2</f>
        <v>2107</v>
      </c>
      <c r="O56" s="136">
        <v>0</v>
      </c>
      <c r="P56" s="175">
        <v>87141090</v>
      </c>
      <c r="Q56" s="137" t="s">
        <v>22</v>
      </c>
      <c r="R56" s="136" t="s">
        <v>13</v>
      </c>
      <c r="S56" s="136">
        <v>200</v>
      </c>
      <c r="T56" s="136">
        <v>200</v>
      </c>
      <c r="U56" s="136">
        <f t="shared" si="0"/>
        <v>0</v>
      </c>
      <c r="V56" s="136">
        <v>200</v>
      </c>
    </row>
    <row r="57" spans="1:22" x14ac:dyDescent="0.3">
      <c r="A57" s="136" t="s">
        <v>6</v>
      </c>
      <c r="B57" s="136" t="s">
        <v>5</v>
      </c>
      <c r="C57" s="136" t="s">
        <v>517</v>
      </c>
      <c r="D57" s="143">
        <v>42952</v>
      </c>
      <c r="E57" s="136">
        <v>19264</v>
      </c>
      <c r="F57" s="136" t="s">
        <v>14</v>
      </c>
      <c r="G57" s="140" t="s">
        <v>11</v>
      </c>
      <c r="H57" s="136" t="s">
        <v>12</v>
      </c>
      <c r="J57" s="139">
        <v>28</v>
      </c>
      <c r="K57" s="138">
        <v>15050</v>
      </c>
      <c r="L57" s="136">
        <v>0</v>
      </c>
      <c r="M57" s="136">
        <f>+J57/100*K57/2</f>
        <v>2107</v>
      </c>
      <c r="N57" s="136">
        <f>+J57/100*K57/2</f>
        <v>2107</v>
      </c>
      <c r="O57" s="136">
        <v>0</v>
      </c>
      <c r="P57" s="175">
        <v>87141090</v>
      </c>
      <c r="Q57" s="137" t="s">
        <v>22</v>
      </c>
      <c r="R57" s="136" t="s">
        <v>13</v>
      </c>
      <c r="S57" s="136">
        <v>200</v>
      </c>
      <c r="T57" s="136">
        <v>200</v>
      </c>
      <c r="U57" s="136">
        <f t="shared" si="0"/>
        <v>0</v>
      </c>
      <c r="V57" s="136">
        <v>200</v>
      </c>
    </row>
    <row r="58" spans="1:22" x14ac:dyDescent="0.3">
      <c r="A58" s="136" t="s">
        <v>6</v>
      </c>
      <c r="B58" s="136" t="s">
        <v>5</v>
      </c>
      <c r="C58" s="136" t="s">
        <v>518</v>
      </c>
      <c r="D58" s="143">
        <v>42952</v>
      </c>
      <c r="E58" s="136">
        <v>9745.92</v>
      </c>
      <c r="F58" s="136" t="s">
        <v>14</v>
      </c>
      <c r="G58" s="140" t="s">
        <v>11</v>
      </c>
      <c r="H58" s="136" t="s">
        <v>12</v>
      </c>
      <c r="J58" s="139">
        <v>28</v>
      </c>
      <c r="K58" s="138">
        <v>7614</v>
      </c>
      <c r="L58" s="136">
        <v>0</v>
      </c>
      <c r="M58" s="136">
        <f>+J58/100*K58/2</f>
        <v>1065.96</v>
      </c>
      <c r="N58" s="136">
        <f>+J58/100*K58/2</f>
        <v>1065.96</v>
      </c>
      <c r="O58" s="136">
        <v>0</v>
      </c>
      <c r="P58" s="175">
        <v>87141090</v>
      </c>
      <c r="Q58" s="137" t="s">
        <v>22</v>
      </c>
      <c r="R58" s="136" t="s">
        <v>13</v>
      </c>
      <c r="S58" s="136">
        <v>216</v>
      </c>
      <c r="T58" s="136">
        <v>216</v>
      </c>
      <c r="U58" s="136">
        <f t="shared" si="0"/>
        <v>0</v>
      </c>
      <c r="V58" s="136">
        <v>216</v>
      </c>
    </row>
    <row r="59" spans="1:22" x14ac:dyDescent="0.3">
      <c r="A59" s="136" t="s">
        <v>6</v>
      </c>
      <c r="B59" s="136" t="s">
        <v>5</v>
      </c>
      <c r="C59" s="136" t="s">
        <v>519</v>
      </c>
      <c r="D59" s="143">
        <v>42952</v>
      </c>
      <c r="E59" s="136">
        <v>61153.68</v>
      </c>
      <c r="F59" s="136" t="s">
        <v>14</v>
      </c>
      <c r="G59" s="140" t="s">
        <v>11</v>
      </c>
      <c r="H59" s="136" t="s">
        <v>12</v>
      </c>
      <c r="J59" s="139">
        <v>28</v>
      </c>
      <c r="K59" s="138">
        <v>47776.32</v>
      </c>
      <c r="L59" s="136">
        <v>0</v>
      </c>
      <c r="M59" s="136">
        <f>+J59/100*K59/2</f>
        <v>6688.6848000000009</v>
      </c>
      <c r="N59" s="136">
        <f>+J59/100*K59/2</f>
        <v>6688.6848000000009</v>
      </c>
      <c r="O59" s="136">
        <v>0</v>
      </c>
      <c r="P59" s="175">
        <v>87081090</v>
      </c>
      <c r="Q59" s="137" t="s">
        <v>22</v>
      </c>
      <c r="R59" s="136" t="s">
        <v>13</v>
      </c>
      <c r="S59" s="136">
        <v>576</v>
      </c>
      <c r="T59" s="136">
        <v>576</v>
      </c>
      <c r="U59" s="136">
        <f t="shared" si="0"/>
        <v>0</v>
      </c>
      <c r="V59" s="136">
        <v>576</v>
      </c>
    </row>
    <row r="60" spans="1:22" x14ac:dyDescent="0.3">
      <c r="A60" s="136" t="s">
        <v>179</v>
      </c>
      <c r="B60" s="136" t="s">
        <v>178</v>
      </c>
      <c r="C60" s="136" t="s">
        <v>520</v>
      </c>
      <c r="D60" s="143">
        <v>42952</v>
      </c>
      <c r="E60" s="136">
        <v>59423.38</v>
      </c>
      <c r="F60" s="136" t="s">
        <v>14</v>
      </c>
      <c r="G60" s="140" t="s">
        <v>11</v>
      </c>
      <c r="H60" s="136" t="s">
        <v>12</v>
      </c>
      <c r="J60" s="139">
        <v>28</v>
      </c>
      <c r="K60" s="138">
        <v>46424.52</v>
      </c>
      <c r="L60" s="136">
        <v>0</v>
      </c>
      <c r="M60" s="136">
        <f t="shared" ref="M60" si="22">+J60/100*K60/2</f>
        <v>6499.4328000000005</v>
      </c>
      <c r="N60" s="136">
        <f t="shared" ref="N60" si="23">+J60/100*K60/2</f>
        <v>6499.4328000000005</v>
      </c>
      <c r="O60" s="136">
        <v>0</v>
      </c>
      <c r="P60" s="175">
        <v>85129000</v>
      </c>
      <c r="Q60" s="137" t="s">
        <v>22</v>
      </c>
      <c r="R60" s="136" t="s">
        <v>13</v>
      </c>
      <c r="S60" s="136">
        <v>774</v>
      </c>
      <c r="T60" s="136">
        <v>774</v>
      </c>
      <c r="U60" s="136">
        <f t="shared" si="0"/>
        <v>0</v>
      </c>
      <c r="V60" s="136">
        <v>774</v>
      </c>
    </row>
    <row r="61" spans="1:22" x14ac:dyDescent="0.3">
      <c r="A61" s="136" t="s">
        <v>6</v>
      </c>
      <c r="B61" s="136" t="s">
        <v>5</v>
      </c>
      <c r="C61" s="136" t="s">
        <v>521</v>
      </c>
      <c r="D61" s="143">
        <v>42952</v>
      </c>
      <c r="E61" s="136">
        <v>41779.58</v>
      </c>
      <c r="F61" s="136" t="s">
        <v>14</v>
      </c>
      <c r="G61" s="140" t="s">
        <v>11</v>
      </c>
      <c r="H61" s="136" t="s">
        <v>12</v>
      </c>
      <c r="J61" s="139">
        <v>28</v>
      </c>
      <c r="K61" s="138">
        <v>32640.3</v>
      </c>
      <c r="L61" s="136">
        <v>0</v>
      </c>
      <c r="M61" s="136">
        <f>+J61/100*K61/2</f>
        <v>4569.6420000000007</v>
      </c>
      <c r="N61" s="136">
        <f>+J61/100*K61/2</f>
        <v>4569.6420000000007</v>
      </c>
      <c r="O61" s="136">
        <v>0</v>
      </c>
      <c r="P61" s="175">
        <v>87081090</v>
      </c>
      <c r="Q61" s="137" t="s">
        <v>22</v>
      </c>
      <c r="R61" s="136" t="s">
        <v>13</v>
      </c>
      <c r="S61" s="136">
        <v>396</v>
      </c>
      <c r="T61" s="136">
        <v>396</v>
      </c>
      <c r="U61" s="136">
        <f t="shared" si="0"/>
        <v>0</v>
      </c>
      <c r="V61" s="136">
        <v>396</v>
      </c>
    </row>
    <row r="62" spans="1:22" x14ac:dyDescent="0.3">
      <c r="A62" s="136" t="s">
        <v>6</v>
      </c>
      <c r="B62" s="136" t="s">
        <v>5</v>
      </c>
      <c r="C62" s="136" t="s">
        <v>522</v>
      </c>
      <c r="D62" s="143">
        <v>42952</v>
      </c>
      <c r="E62" s="136">
        <v>9204.48</v>
      </c>
      <c r="F62" s="136" t="s">
        <v>14</v>
      </c>
      <c r="G62" s="140" t="s">
        <v>11</v>
      </c>
      <c r="H62" s="136" t="s">
        <v>12</v>
      </c>
      <c r="J62" s="139">
        <v>28</v>
      </c>
      <c r="K62" s="138">
        <v>7191</v>
      </c>
      <c r="L62" s="136">
        <v>0</v>
      </c>
      <c r="M62" s="136">
        <f>+J62/100*K62/2</f>
        <v>1006.7400000000001</v>
      </c>
      <c r="N62" s="136">
        <f>+J62/100*K62/2</f>
        <v>1006.7400000000001</v>
      </c>
      <c r="O62" s="136">
        <v>0</v>
      </c>
      <c r="P62" s="175">
        <v>87141090</v>
      </c>
      <c r="Q62" s="137" t="s">
        <v>22</v>
      </c>
      <c r="R62" s="136" t="s">
        <v>13</v>
      </c>
      <c r="S62" s="136">
        <v>204</v>
      </c>
      <c r="T62" s="136">
        <v>204</v>
      </c>
      <c r="U62" s="136">
        <f t="shared" si="0"/>
        <v>0</v>
      </c>
      <c r="V62" s="136">
        <v>204</v>
      </c>
    </row>
    <row r="63" spans="1:22" x14ac:dyDescent="0.3">
      <c r="A63" s="136" t="s">
        <v>6</v>
      </c>
      <c r="B63" s="136" t="s">
        <v>5</v>
      </c>
      <c r="C63" s="136" t="s">
        <v>523</v>
      </c>
      <c r="D63" s="143">
        <v>42952</v>
      </c>
      <c r="E63" s="136">
        <v>54783.519999999997</v>
      </c>
      <c r="F63" s="136" t="s">
        <v>14</v>
      </c>
      <c r="G63" s="140" t="s">
        <v>11</v>
      </c>
      <c r="H63" s="136" t="s">
        <v>12</v>
      </c>
      <c r="J63" s="139">
        <v>28</v>
      </c>
      <c r="K63" s="138">
        <v>42799.62</v>
      </c>
      <c r="L63" s="136">
        <v>0</v>
      </c>
      <c r="M63" s="136">
        <f>+J63/100*K63/2</f>
        <v>5991.9468000000006</v>
      </c>
      <c r="N63" s="136">
        <f>+J63/100*K63/2</f>
        <v>5991.9468000000006</v>
      </c>
      <c r="O63" s="136">
        <v>0</v>
      </c>
      <c r="P63" s="175">
        <v>87081090</v>
      </c>
      <c r="Q63" s="137" t="s">
        <v>22</v>
      </c>
      <c r="R63" s="136" t="s">
        <v>13</v>
      </c>
      <c r="S63" s="136">
        <v>516</v>
      </c>
      <c r="T63" s="136">
        <v>516</v>
      </c>
      <c r="U63" s="136">
        <f t="shared" si="0"/>
        <v>0</v>
      </c>
      <c r="V63" s="136">
        <v>516</v>
      </c>
    </row>
    <row r="64" spans="1:22" x14ac:dyDescent="0.3">
      <c r="A64" s="136" t="s">
        <v>6</v>
      </c>
      <c r="B64" s="136" t="s">
        <v>5</v>
      </c>
      <c r="C64" s="136" t="s">
        <v>524</v>
      </c>
      <c r="D64" s="143">
        <v>42952</v>
      </c>
      <c r="E64" s="136">
        <v>9204.48</v>
      </c>
      <c r="F64" s="136" t="s">
        <v>14</v>
      </c>
      <c r="G64" s="140" t="s">
        <v>11</v>
      </c>
      <c r="H64" s="136" t="s">
        <v>12</v>
      </c>
      <c r="J64" s="139">
        <v>28</v>
      </c>
      <c r="K64" s="138">
        <v>7191</v>
      </c>
      <c r="L64" s="136">
        <v>0</v>
      </c>
      <c r="M64" s="136">
        <f>+J64/100*K64/2</f>
        <v>1006.7400000000001</v>
      </c>
      <c r="N64" s="136">
        <f>+J64/100*K64/2</f>
        <v>1006.7400000000001</v>
      </c>
      <c r="O64" s="136">
        <v>0</v>
      </c>
      <c r="P64" s="175">
        <v>87141090</v>
      </c>
      <c r="Q64" s="137" t="s">
        <v>22</v>
      </c>
      <c r="R64" s="136" t="s">
        <v>13</v>
      </c>
      <c r="S64" s="136">
        <v>204</v>
      </c>
      <c r="T64" s="136">
        <v>204</v>
      </c>
      <c r="U64" s="136">
        <f t="shared" si="0"/>
        <v>0</v>
      </c>
      <c r="V64" s="136">
        <v>204</v>
      </c>
    </row>
    <row r="65" spans="1:22" x14ac:dyDescent="0.3">
      <c r="A65" s="136" t="s">
        <v>6</v>
      </c>
      <c r="B65" s="136" t="s">
        <v>5</v>
      </c>
      <c r="C65" s="136" t="s">
        <v>525</v>
      </c>
      <c r="D65" s="143">
        <v>42953</v>
      </c>
      <c r="E65" s="136">
        <v>44591.24</v>
      </c>
      <c r="F65" s="136" t="s">
        <v>14</v>
      </c>
      <c r="G65" s="140" t="s">
        <v>11</v>
      </c>
      <c r="H65" s="136" t="s">
        <v>12</v>
      </c>
      <c r="J65" s="139">
        <v>28</v>
      </c>
      <c r="K65" s="138">
        <v>34836.9</v>
      </c>
      <c r="L65" s="136">
        <v>0</v>
      </c>
      <c r="M65" s="136">
        <f>+J65/100*K65/2</f>
        <v>4877.1660000000011</v>
      </c>
      <c r="N65" s="136">
        <f>+J65/100*K65/2</f>
        <v>4877.1660000000011</v>
      </c>
      <c r="O65" s="136">
        <v>0</v>
      </c>
      <c r="P65" s="175">
        <v>87081090</v>
      </c>
      <c r="Q65" s="137" t="s">
        <v>22</v>
      </c>
      <c r="R65" s="136" t="s">
        <v>13</v>
      </c>
      <c r="S65" s="136">
        <v>420</v>
      </c>
      <c r="T65" s="136">
        <v>420</v>
      </c>
      <c r="U65" s="136">
        <f t="shared" si="0"/>
        <v>0</v>
      </c>
      <c r="V65" s="136">
        <v>420</v>
      </c>
    </row>
    <row r="66" spans="1:22" x14ac:dyDescent="0.3">
      <c r="A66" s="136" t="s">
        <v>40</v>
      </c>
      <c r="B66" s="136" t="s">
        <v>39</v>
      </c>
      <c r="C66" s="136" t="s">
        <v>526</v>
      </c>
      <c r="D66" s="143">
        <v>42953</v>
      </c>
      <c r="E66" s="136">
        <v>10058.56</v>
      </c>
      <c r="F66" s="136" t="s">
        <v>14</v>
      </c>
      <c r="G66" s="140" t="s">
        <v>11</v>
      </c>
      <c r="H66" s="136" t="s">
        <v>12</v>
      </c>
      <c r="J66" s="139">
        <v>18</v>
      </c>
      <c r="K66" s="138">
        <v>8524.2000000000007</v>
      </c>
      <c r="L66" s="136">
        <v>0</v>
      </c>
      <c r="M66" s="136">
        <f t="shared" ref="M66" si="24">+J66/100*K66/2</f>
        <v>767.178</v>
      </c>
      <c r="N66" s="136">
        <f t="shared" ref="N66" si="25">+J66/100*K66/2</f>
        <v>767.178</v>
      </c>
      <c r="O66" s="136">
        <v>0</v>
      </c>
      <c r="P66" s="175">
        <v>998898</v>
      </c>
      <c r="Q66" s="137" t="s">
        <v>22</v>
      </c>
      <c r="R66" s="136" t="s">
        <v>13</v>
      </c>
      <c r="S66" s="136">
        <v>0</v>
      </c>
      <c r="T66" s="136">
        <v>0</v>
      </c>
      <c r="U66" s="136">
        <f t="shared" si="0"/>
        <v>0</v>
      </c>
      <c r="V66" s="136">
        <v>30</v>
      </c>
    </row>
    <row r="67" spans="1:22" x14ac:dyDescent="0.3">
      <c r="A67" s="136" t="s">
        <v>180</v>
      </c>
      <c r="B67" s="136" t="s">
        <v>360</v>
      </c>
      <c r="C67" s="136" t="s">
        <v>527</v>
      </c>
      <c r="D67" s="143">
        <v>42954</v>
      </c>
      <c r="E67" s="136">
        <v>36585.440000000002</v>
      </c>
      <c r="F67" s="136" t="s">
        <v>14</v>
      </c>
      <c r="G67" s="140" t="s">
        <v>11</v>
      </c>
      <c r="H67" s="136" t="s">
        <v>12</v>
      </c>
      <c r="J67" s="139">
        <v>28</v>
      </c>
      <c r="K67" s="138">
        <v>28582.38</v>
      </c>
      <c r="L67" s="136">
        <v>0</v>
      </c>
      <c r="M67" s="136">
        <f>+J67/100*K67/2</f>
        <v>4001.5332000000003</v>
      </c>
      <c r="N67" s="136">
        <f>+J67/100*K67/2</f>
        <v>4001.5332000000003</v>
      </c>
      <c r="O67" s="136">
        <v>0</v>
      </c>
      <c r="P67" s="175">
        <v>87089900</v>
      </c>
      <c r="Q67" s="137" t="s">
        <v>22</v>
      </c>
      <c r="R67" s="136" t="s">
        <v>13</v>
      </c>
      <c r="S67" s="136">
        <v>65</v>
      </c>
      <c r="T67" s="136">
        <v>65</v>
      </c>
      <c r="U67" s="136">
        <f t="shared" si="0"/>
        <v>0</v>
      </c>
      <c r="V67" s="136">
        <v>65</v>
      </c>
    </row>
    <row r="68" spans="1:22" x14ac:dyDescent="0.3">
      <c r="A68" s="136" t="s">
        <v>6</v>
      </c>
      <c r="B68" s="136" t="s">
        <v>5</v>
      </c>
      <c r="C68" s="136" t="s">
        <v>528</v>
      </c>
      <c r="D68" s="143">
        <v>42954</v>
      </c>
      <c r="E68" s="136">
        <v>50961.4</v>
      </c>
      <c r="F68" s="136" t="s">
        <v>14</v>
      </c>
      <c r="G68" s="140" t="s">
        <v>11</v>
      </c>
      <c r="H68" s="136" t="s">
        <v>12</v>
      </c>
      <c r="J68" s="139">
        <v>28</v>
      </c>
      <c r="K68" s="138">
        <v>39813.599999999999</v>
      </c>
      <c r="L68" s="136">
        <v>0</v>
      </c>
      <c r="M68" s="136">
        <f>+J68/100*K68/2</f>
        <v>5573.9040000000005</v>
      </c>
      <c r="N68" s="136">
        <f>+J68/100*K68/2</f>
        <v>5573.9040000000005</v>
      </c>
      <c r="O68" s="136">
        <v>0</v>
      </c>
      <c r="P68" s="175">
        <v>87081090</v>
      </c>
      <c r="Q68" s="137" t="s">
        <v>22</v>
      </c>
      <c r="R68" s="136" t="s">
        <v>13</v>
      </c>
      <c r="S68" s="136">
        <v>480</v>
      </c>
      <c r="T68" s="136">
        <v>480</v>
      </c>
      <c r="U68" s="136">
        <f t="shared" si="0"/>
        <v>0</v>
      </c>
      <c r="V68" s="136">
        <v>480</v>
      </c>
    </row>
    <row r="69" spans="1:22" x14ac:dyDescent="0.3">
      <c r="A69" s="136" t="s">
        <v>186</v>
      </c>
      <c r="B69" s="136" t="s">
        <v>187</v>
      </c>
      <c r="C69" s="136" t="s">
        <v>529</v>
      </c>
      <c r="D69" s="143">
        <v>42954</v>
      </c>
      <c r="E69" s="136">
        <v>92160</v>
      </c>
      <c r="F69" s="136" t="s">
        <v>14</v>
      </c>
      <c r="G69" s="140" t="s">
        <v>11</v>
      </c>
      <c r="H69" s="136" t="s">
        <v>12</v>
      </c>
      <c r="J69" s="139">
        <v>28</v>
      </c>
      <c r="K69" s="138">
        <v>72000</v>
      </c>
      <c r="L69" s="136">
        <v>0</v>
      </c>
      <c r="M69" s="136">
        <f t="shared" ref="M69:M72" si="26">+J69/100*K69/2</f>
        <v>10080.000000000002</v>
      </c>
      <c r="N69" s="136">
        <f t="shared" ref="N69:N72" si="27">+J69/100*K69/2</f>
        <v>10080.000000000002</v>
      </c>
      <c r="O69" s="136">
        <v>0</v>
      </c>
      <c r="P69" s="175">
        <v>85129000</v>
      </c>
      <c r="Q69" s="137" t="s">
        <v>22</v>
      </c>
      <c r="R69" s="136" t="s">
        <v>13</v>
      </c>
      <c r="S69" s="136">
        <v>2880</v>
      </c>
      <c r="T69" s="136">
        <v>2880</v>
      </c>
      <c r="U69" s="136">
        <f t="shared" si="0"/>
        <v>0</v>
      </c>
      <c r="V69" s="136">
        <v>2880</v>
      </c>
    </row>
    <row r="70" spans="1:22" x14ac:dyDescent="0.3">
      <c r="A70" s="136" t="s">
        <v>246</v>
      </c>
      <c r="B70" s="136" t="s">
        <v>245</v>
      </c>
      <c r="C70" s="136" t="s">
        <v>530</v>
      </c>
      <c r="D70" s="143">
        <v>42954</v>
      </c>
      <c r="E70" s="136">
        <v>55954.68</v>
      </c>
      <c r="F70" s="136" t="s">
        <v>14</v>
      </c>
      <c r="G70" s="140" t="s">
        <v>11</v>
      </c>
      <c r="H70" s="136" t="s">
        <v>12</v>
      </c>
      <c r="J70" s="139">
        <v>28</v>
      </c>
      <c r="K70" s="138">
        <v>43714.6</v>
      </c>
      <c r="L70" s="136">
        <v>0</v>
      </c>
      <c r="M70" s="136">
        <f t="shared" si="26"/>
        <v>6120.0440000000008</v>
      </c>
      <c r="N70" s="136">
        <f t="shared" si="27"/>
        <v>6120.0440000000008</v>
      </c>
      <c r="O70" s="136">
        <v>0</v>
      </c>
      <c r="P70" s="175">
        <v>87141090</v>
      </c>
      <c r="Q70" s="137" t="s">
        <v>22</v>
      </c>
      <c r="R70" s="136" t="s">
        <v>13</v>
      </c>
      <c r="S70" s="136">
        <v>580</v>
      </c>
      <c r="T70" s="136">
        <v>580</v>
      </c>
      <c r="U70" s="136">
        <f t="shared" si="0"/>
        <v>0</v>
      </c>
      <c r="V70" s="136">
        <v>580</v>
      </c>
    </row>
    <row r="71" spans="1:22" x14ac:dyDescent="0.3">
      <c r="A71" s="136" t="s">
        <v>253</v>
      </c>
      <c r="B71" s="136" t="s">
        <v>252</v>
      </c>
      <c r="C71" s="136" t="s">
        <v>531</v>
      </c>
      <c r="D71" s="143">
        <v>42954</v>
      </c>
      <c r="E71" s="136">
        <v>4531.2</v>
      </c>
      <c r="F71" s="136" t="s">
        <v>14</v>
      </c>
      <c r="G71" s="140" t="s">
        <v>11</v>
      </c>
      <c r="H71" s="136" t="s">
        <v>12</v>
      </c>
      <c r="J71" s="139">
        <v>18</v>
      </c>
      <c r="K71" s="138">
        <v>3840</v>
      </c>
      <c r="L71" s="136">
        <v>0</v>
      </c>
      <c r="M71" s="136">
        <f t="shared" si="26"/>
        <v>345.59999999999997</v>
      </c>
      <c r="N71" s="136">
        <f t="shared" si="27"/>
        <v>345.59999999999997</v>
      </c>
      <c r="O71" s="136">
        <v>0</v>
      </c>
      <c r="P71" s="175">
        <v>998898</v>
      </c>
      <c r="Q71" s="137" t="s">
        <v>22</v>
      </c>
      <c r="R71" s="136" t="s">
        <v>13</v>
      </c>
      <c r="S71" s="136">
        <v>0</v>
      </c>
      <c r="T71" s="136">
        <v>0</v>
      </c>
      <c r="U71" s="136">
        <f t="shared" ref="U71:U135" si="28">+S71-T71</f>
        <v>0</v>
      </c>
      <c r="V71" s="136">
        <v>12</v>
      </c>
    </row>
    <row r="72" spans="1:22" x14ac:dyDescent="0.3">
      <c r="A72" s="136" t="s">
        <v>253</v>
      </c>
      <c r="B72" s="136" t="s">
        <v>252</v>
      </c>
      <c r="C72" s="136" t="s">
        <v>532</v>
      </c>
      <c r="D72" s="143">
        <v>42954</v>
      </c>
      <c r="E72" s="136">
        <v>4531.2</v>
      </c>
      <c r="F72" s="136" t="s">
        <v>14</v>
      </c>
      <c r="G72" s="140" t="s">
        <v>11</v>
      </c>
      <c r="H72" s="136" t="s">
        <v>12</v>
      </c>
      <c r="J72" s="139">
        <v>18</v>
      </c>
      <c r="K72" s="138">
        <v>3840</v>
      </c>
      <c r="L72" s="136">
        <v>0</v>
      </c>
      <c r="M72" s="136">
        <f t="shared" si="26"/>
        <v>345.59999999999997</v>
      </c>
      <c r="N72" s="136">
        <f t="shared" si="27"/>
        <v>345.59999999999997</v>
      </c>
      <c r="O72" s="136">
        <v>0</v>
      </c>
      <c r="P72" s="175">
        <v>998898</v>
      </c>
      <c r="Q72" s="137" t="s">
        <v>22</v>
      </c>
      <c r="R72" s="136" t="s">
        <v>13</v>
      </c>
      <c r="S72" s="136">
        <v>0</v>
      </c>
      <c r="T72" s="136">
        <v>0</v>
      </c>
      <c r="U72" s="136">
        <f t="shared" si="28"/>
        <v>0</v>
      </c>
      <c r="V72" s="136">
        <v>12</v>
      </c>
    </row>
    <row r="73" spans="1:22" x14ac:dyDescent="0.3">
      <c r="A73" s="136" t="s">
        <v>6</v>
      </c>
      <c r="B73" s="136" t="s">
        <v>5</v>
      </c>
      <c r="C73" s="136" t="s">
        <v>533</v>
      </c>
      <c r="D73" s="143">
        <v>42954</v>
      </c>
      <c r="E73" s="136">
        <v>35449.339999999997</v>
      </c>
      <c r="F73" s="136" t="s">
        <v>14</v>
      </c>
      <c r="G73" s="140" t="s">
        <v>11</v>
      </c>
      <c r="H73" s="136" t="s">
        <v>12</v>
      </c>
      <c r="J73" s="139">
        <v>28</v>
      </c>
      <c r="K73" s="138">
        <v>27694.799999999999</v>
      </c>
      <c r="L73" s="136">
        <v>0</v>
      </c>
      <c r="M73" s="136">
        <f>+J73/100*K73/2</f>
        <v>3877.2720000000004</v>
      </c>
      <c r="N73" s="136">
        <f>+J73/100*K73/2</f>
        <v>3877.2720000000004</v>
      </c>
      <c r="O73" s="136">
        <v>0</v>
      </c>
      <c r="P73" s="175">
        <v>87081090</v>
      </c>
      <c r="Q73" s="137" t="s">
        <v>22</v>
      </c>
      <c r="R73" s="136" t="s">
        <v>13</v>
      </c>
      <c r="S73" s="136">
        <v>336</v>
      </c>
      <c r="T73" s="136">
        <v>336</v>
      </c>
      <c r="U73" s="136">
        <f t="shared" si="28"/>
        <v>0</v>
      </c>
      <c r="V73" s="136">
        <v>336</v>
      </c>
    </row>
    <row r="74" spans="1:22" x14ac:dyDescent="0.3">
      <c r="A74" s="136" t="s">
        <v>6</v>
      </c>
      <c r="B74" s="136" t="s">
        <v>5</v>
      </c>
      <c r="C74" s="136" t="s">
        <v>534</v>
      </c>
      <c r="D74" s="143">
        <v>42954</v>
      </c>
      <c r="E74" s="136">
        <v>13958.36</v>
      </c>
      <c r="F74" s="136" t="s">
        <v>14</v>
      </c>
      <c r="G74" s="140" t="s">
        <v>11</v>
      </c>
      <c r="H74" s="136" t="s">
        <v>12</v>
      </c>
      <c r="J74" s="139">
        <v>28</v>
      </c>
      <c r="K74" s="138">
        <v>10904.96</v>
      </c>
      <c r="L74" s="136">
        <v>0</v>
      </c>
      <c r="M74" s="136">
        <f>+J74/100*K74/2+0.01</f>
        <v>1526.7044000000001</v>
      </c>
      <c r="N74" s="136">
        <f>+J74/100*K74/2+0.01</f>
        <v>1526.7044000000001</v>
      </c>
      <c r="O74" s="136">
        <v>0</v>
      </c>
      <c r="P74" s="175">
        <v>87081090</v>
      </c>
      <c r="Q74" s="137" t="s">
        <v>22</v>
      </c>
      <c r="R74" s="136" t="s">
        <v>13</v>
      </c>
      <c r="S74" s="136">
        <v>128</v>
      </c>
      <c r="T74" s="136">
        <v>128</v>
      </c>
      <c r="U74" s="136">
        <f t="shared" si="28"/>
        <v>0</v>
      </c>
      <c r="V74" s="136">
        <v>128</v>
      </c>
    </row>
    <row r="75" spans="1:22" x14ac:dyDescent="0.3">
      <c r="A75" s="136" t="s">
        <v>6</v>
      </c>
      <c r="B75" s="136" t="s">
        <v>5</v>
      </c>
      <c r="C75" s="136" t="s">
        <v>535</v>
      </c>
      <c r="D75" s="143">
        <v>42954</v>
      </c>
      <c r="E75" s="136">
        <v>33653.760000000002</v>
      </c>
      <c r="F75" s="136" t="s">
        <v>14</v>
      </c>
      <c r="G75" s="140" t="s">
        <v>11</v>
      </c>
      <c r="H75" s="136" t="s">
        <v>12</v>
      </c>
      <c r="J75" s="139">
        <v>28</v>
      </c>
      <c r="K75" s="138">
        <v>26292</v>
      </c>
      <c r="L75" s="136">
        <v>0</v>
      </c>
      <c r="M75" s="136">
        <f>+J75/100*K75/2</f>
        <v>3680.8800000000006</v>
      </c>
      <c r="N75" s="136">
        <f>+J75/100*K75/2</f>
        <v>3680.8800000000006</v>
      </c>
      <c r="O75" s="136">
        <v>0</v>
      </c>
      <c r="P75" s="175">
        <v>87141090</v>
      </c>
      <c r="Q75" s="137" t="s">
        <v>22</v>
      </c>
      <c r="R75" s="136" t="s">
        <v>13</v>
      </c>
      <c r="S75" s="136">
        <v>528</v>
      </c>
      <c r="T75" s="136">
        <v>528</v>
      </c>
      <c r="U75" s="136">
        <f t="shared" si="28"/>
        <v>0</v>
      </c>
      <c r="V75" s="136">
        <v>528</v>
      </c>
    </row>
    <row r="76" spans="1:22" x14ac:dyDescent="0.3">
      <c r="A76" s="136" t="s">
        <v>6</v>
      </c>
      <c r="B76" s="136" t="s">
        <v>5</v>
      </c>
      <c r="C76" s="136" t="s">
        <v>536</v>
      </c>
      <c r="D76" s="143">
        <v>42954</v>
      </c>
      <c r="E76" s="136">
        <v>5064.2</v>
      </c>
      <c r="F76" s="136" t="s">
        <v>14</v>
      </c>
      <c r="G76" s="140" t="s">
        <v>11</v>
      </c>
      <c r="H76" s="136" t="s">
        <v>12</v>
      </c>
      <c r="J76" s="139">
        <v>28</v>
      </c>
      <c r="K76" s="138">
        <v>3956.4</v>
      </c>
      <c r="L76" s="136">
        <v>0</v>
      </c>
      <c r="M76" s="136">
        <f>+J76/100*K76/2</f>
        <v>553.89600000000007</v>
      </c>
      <c r="N76" s="136">
        <f>+J76/100*K76/2</f>
        <v>553.89600000000007</v>
      </c>
      <c r="O76" s="136">
        <v>0</v>
      </c>
      <c r="P76" s="175">
        <v>87081090</v>
      </c>
      <c r="Q76" s="137" t="s">
        <v>22</v>
      </c>
      <c r="R76" s="136" t="s">
        <v>13</v>
      </c>
      <c r="S76" s="136">
        <v>48</v>
      </c>
      <c r="T76" s="136">
        <v>48</v>
      </c>
      <c r="U76" s="136">
        <f t="shared" si="28"/>
        <v>0</v>
      </c>
      <c r="V76" s="136">
        <v>48</v>
      </c>
    </row>
    <row r="77" spans="1:22" x14ac:dyDescent="0.3">
      <c r="A77" s="136" t="s">
        <v>6</v>
      </c>
      <c r="B77" s="136" t="s">
        <v>5</v>
      </c>
      <c r="C77" s="136" t="s">
        <v>537</v>
      </c>
      <c r="D77" s="143">
        <v>42954</v>
      </c>
      <c r="E77" s="136">
        <v>38221.040000000001</v>
      </c>
      <c r="F77" s="136" t="s">
        <v>14</v>
      </c>
      <c r="G77" s="140" t="s">
        <v>11</v>
      </c>
      <c r="H77" s="136" t="s">
        <v>12</v>
      </c>
      <c r="J77" s="139">
        <v>28</v>
      </c>
      <c r="K77" s="138">
        <v>29860.2</v>
      </c>
      <c r="L77" s="136">
        <v>0</v>
      </c>
      <c r="M77" s="136">
        <f>+J77/100*K77/2-0.01</f>
        <v>4180.4180000000006</v>
      </c>
      <c r="N77" s="136">
        <f>+J77/100*K77/2-0.01</f>
        <v>4180.4180000000006</v>
      </c>
      <c r="O77" s="136">
        <v>0</v>
      </c>
      <c r="P77" s="175">
        <v>87081090</v>
      </c>
      <c r="Q77" s="137" t="s">
        <v>22</v>
      </c>
      <c r="R77" s="136" t="s">
        <v>13</v>
      </c>
      <c r="S77" s="136">
        <v>360</v>
      </c>
      <c r="T77" s="136">
        <v>360</v>
      </c>
      <c r="U77" s="136">
        <f t="shared" si="28"/>
        <v>0</v>
      </c>
      <c r="V77" s="136">
        <v>360</v>
      </c>
    </row>
    <row r="78" spans="1:22" x14ac:dyDescent="0.3">
      <c r="A78" s="136" t="s">
        <v>6</v>
      </c>
      <c r="B78" s="136" t="s">
        <v>5</v>
      </c>
      <c r="C78" s="136" t="s">
        <v>538</v>
      </c>
      <c r="D78" s="143">
        <v>42955</v>
      </c>
      <c r="E78" s="136">
        <v>19264</v>
      </c>
      <c r="F78" s="136" t="s">
        <v>14</v>
      </c>
      <c r="G78" s="140" t="s">
        <v>11</v>
      </c>
      <c r="H78" s="136" t="s">
        <v>12</v>
      </c>
      <c r="J78" s="139">
        <v>28</v>
      </c>
      <c r="K78" s="138">
        <v>15050</v>
      </c>
      <c r="L78" s="136">
        <v>0</v>
      </c>
      <c r="M78" s="136">
        <f>+J78/100*K78/2</f>
        <v>2107</v>
      </c>
      <c r="N78" s="136">
        <f>+J78/100*K78/2</f>
        <v>2107</v>
      </c>
      <c r="O78" s="136">
        <v>0</v>
      </c>
      <c r="P78" s="175">
        <v>87141090</v>
      </c>
      <c r="Q78" s="137" t="s">
        <v>22</v>
      </c>
      <c r="R78" s="136" t="s">
        <v>13</v>
      </c>
      <c r="S78" s="136">
        <v>200</v>
      </c>
      <c r="T78" s="136">
        <v>200</v>
      </c>
      <c r="U78" s="136">
        <f t="shared" si="28"/>
        <v>0</v>
      </c>
      <c r="V78" s="136">
        <v>200</v>
      </c>
    </row>
    <row r="79" spans="1:22" x14ac:dyDescent="0.3">
      <c r="A79" s="136" t="s">
        <v>6</v>
      </c>
      <c r="B79" s="136" t="s">
        <v>5</v>
      </c>
      <c r="C79" s="136" t="s">
        <v>539</v>
      </c>
      <c r="D79" s="143">
        <v>42955</v>
      </c>
      <c r="E79" s="136">
        <v>42043.16</v>
      </c>
      <c r="F79" s="136" t="s">
        <v>14</v>
      </c>
      <c r="G79" s="140" t="s">
        <v>11</v>
      </c>
      <c r="H79" s="136" t="s">
        <v>12</v>
      </c>
      <c r="J79" s="139">
        <v>28</v>
      </c>
      <c r="K79" s="138">
        <v>32846.22</v>
      </c>
      <c r="L79" s="136">
        <v>0</v>
      </c>
      <c r="M79" s="136">
        <f>+J79/100*K79/2</f>
        <v>4598.470800000001</v>
      </c>
      <c r="N79" s="136">
        <f>+J79/100*K79/2</f>
        <v>4598.470800000001</v>
      </c>
      <c r="O79" s="136">
        <v>0</v>
      </c>
      <c r="P79" s="175">
        <v>87081090</v>
      </c>
      <c r="Q79" s="137" t="s">
        <v>22</v>
      </c>
      <c r="R79" s="136" t="s">
        <v>13</v>
      </c>
      <c r="S79" s="136">
        <v>396</v>
      </c>
      <c r="T79" s="136">
        <v>396</v>
      </c>
      <c r="U79" s="136">
        <f t="shared" si="28"/>
        <v>0</v>
      </c>
      <c r="V79" s="136">
        <v>396</v>
      </c>
    </row>
    <row r="80" spans="1:22" x14ac:dyDescent="0.3">
      <c r="A80" s="136" t="s">
        <v>246</v>
      </c>
      <c r="B80" s="136" t="s">
        <v>245</v>
      </c>
      <c r="C80" s="136" t="s">
        <v>540</v>
      </c>
      <c r="D80" s="143">
        <v>42955</v>
      </c>
      <c r="E80" s="136">
        <v>54025.22</v>
      </c>
      <c r="F80" s="136" t="s">
        <v>14</v>
      </c>
      <c r="G80" s="140" t="s">
        <v>11</v>
      </c>
      <c r="H80" s="136" t="s">
        <v>12</v>
      </c>
      <c r="J80" s="139">
        <v>28</v>
      </c>
      <c r="K80" s="138">
        <v>42207.199999999997</v>
      </c>
      <c r="L80" s="136">
        <v>0</v>
      </c>
      <c r="M80" s="136">
        <f t="shared" ref="M80" si="29">+J80/100*K80/2</f>
        <v>5909.0079999999998</v>
      </c>
      <c r="N80" s="136">
        <f t="shared" ref="N80" si="30">+J80/100*K80/2</f>
        <v>5909.0079999999998</v>
      </c>
      <c r="O80" s="136">
        <v>0</v>
      </c>
      <c r="P80" s="175">
        <v>87141090</v>
      </c>
      <c r="Q80" s="137" t="s">
        <v>22</v>
      </c>
      <c r="R80" s="136" t="s">
        <v>13</v>
      </c>
      <c r="S80" s="136">
        <v>560</v>
      </c>
      <c r="T80" s="136">
        <v>560</v>
      </c>
      <c r="U80" s="136">
        <f t="shared" si="28"/>
        <v>0</v>
      </c>
      <c r="V80" s="136">
        <v>560</v>
      </c>
    </row>
    <row r="81" spans="1:22" x14ac:dyDescent="0.3">
      <c r="A81" s="136" t="s">
        <v>180</v>
      </c>
      <c r="B81" s="136" t="s">
        <v>360</v>
      </c>
      <c r="C81" s="136" t="s">
        <v>541</v>
      </c>
      <c r="D81" s="143">
        <v>42955</v>
      </c>
      <c r="E81" s="136">
        <v>19611.64</v>
      </c>
      <c r="F81" s="136" t="s">
        <v>14</v>
      </c>
      <c r="G81" s="140" t="s">
        <v>11</v>
      </c>
      <c r="H81" s="136" t="s">
        <v>12</v>
      </c>
      <c r="J81" s="139">
        <v>28</v>
      </c>
      <c r="K81" s="138">
        <v>15321.6</v>
      </c>
      <c r="L81" s="136">
        <v>0</v>
      </c>
      <c r="M81" s="136">
        <f>+J81/100*K81/2</f>
        <v>2145.0240000000003</v>
      </c>
      <c r="N81" s="136">
        <f>+J81/100*K81/2</f>
        <v>2145.0240000000003</v>
      </c>
      <c r="O81" s="136">
        <v>0</v>
      </c>
      <c r="P81" s="175">
        <v>87089900</v>
      </c>
      <c r="Q81" s="137" t="s">
        <v>22</v>
      </c>
      <c r="R81" s="136" t="s">
        <v>13</v>
      </c>
      <c r="S81" s="136">
        <v>32</v>
      </c>
      <c r="T81" s="136">
        <v>32</v>
      </c>
      <c r="U81" s="136">
        <f t="shared" si="28"/>
        <v>0</v>
      </c>
      <c r="V81" s="136">
        <v>32</v>
      </c>
    </row>
    <row r="82" spans="1:22" x14ac:dyDescent="0.3">
      <c r="A82" s="136" t="s">
        <v>180</v>
      </c>
      <c r="B82" s="136" t="s">
        <v>360</v>
      </c>
      <c r="C82" s="136" t="s">
        <v>542</v>
      </c>
      <c r="D82" s="143">
        <v>42955</v>
      </c>
      <c r="E82" s="136">
        <v>23040</v>
      </c>
      <c r="F82" s="136" t="s">
        <v>14</v>
      </c>
      <c r="G82" s="140" t="s">
        <v>11</v>
      </c>
      <c r="H82" s="136" t="s">
        <v>12</v>
      </c>
      <c r="J82" s="139">
        <v>28</v>
      </c>
      <c r="K82" s="138">
        <v>18000</v>
      </c>
      <c r="L82" s="136">
        <v>0</v>
      </c>
      <c r="M82" s="136">
        <f>+J82/100*K82/2</f>
        <v>2520.0000000000005</v>
      </c>
      <c r="N82" s="136">
        <f>+J82/100*K82/2</f>
        <v>2520.0000000000005</v>
      </c>
      <c r="O82" s="136">
        <v>0</v>
      </c>
      <c r="P82" s="175">
        <v>87089900</v>
      </c>
      <c r="Q82" s="137" t="s">
        <v>22</v>
      </c>
      <c r="R82" s="136" t="s">
        <v>13</v>
      </c>
      <c r="S82" s="136">
        <v>40</v>
      </c>
      <c r="T82" s="136">
        <v>40</v>
      </c>
      <c r="U82" s="136">
        <f t="shared" si="28"/>
        <v>0</v>
      </c>
      <c r="V82" s="136">
        <v>40</v>
      </c>
    </row>
    <row r="83" spans="1:22" x14ac:dyDescent="0.3">
      <c r="A83" s="136" t="s">
        <v>253</v>
      </c>
      <c r="B83" s="136" t="s">
        <v>252</v>
      </c>
      <c r="C83" s="136" t="s">
        <v>543</v>
      </c>
      <c r="D83" s="143">
        <v>42955</v>
      </c>
      <c r="E83" s="136">
        <v>7066.12</v>
      </c>
      <c r="F83" s="136" t="s">
        <v>14</v>
      </c>
      <c r="G83" s="140" t="s">
        <v>11</v>
      </c>
      <c r="H83" s="136" t="s">
        <v>12</v>
      </c>
      <c r="J83" s="139">
        <v>18</v>
      </c>
      <c r="K83" s="138">
        <v>5988.24</v>
      </c>
      <c r="L83" s="136">
        <v>0</v>
      </c>
      <c r="M83" s="136">
        <f t="shared" ref="M83:M85" si="31">+J83/100*K83/2</f>
        <v>538.94159999999999</v>
      </c>
      <c r="N83" s="136">
        <f t="shared" ref="N83:N85" si="32">+J83/100*K83/2</f>
        <v>538.94159999999999</v>
      </c>
      <c r="O83" s="136">
        <v>0</v>
      </c>
      <c r="P83" s="175">
        <v>998898</v>
      </c>
      <c r="Q83" s="137" t="s">
        <v>22</v>
      </c>
      <c r="R83" s="136" t="s">
        <v>13</v>
      </c>
      <c r="S83" s="136">
        <v>0</v>
      </c>
      <c r="T83" s="136">
        <v>0</v>
      </c>
      <c r="U83" s="136">
        <f t="shared" si="28"/>
        <v>0</v>
      </c>
      <c r="V83" s="136">
        <v>12</v>
      </c>
    </row>
    <row r="84" spans="1:22" x14ac:dyDescent="0.3">
      <c r="A84" s="136" t="s">
        <v>251</v>
      </c>
      <c r="B84" s="136" t="s">
        <v>250</v>
      </c>
      <c r="C84" s="136" t="s">
        <v>544</v>
      </c>
      <c r="D84" s="143">
        <v>42955</v>
      </c>
      <c r="E84" s="136">
        <v>1218.3599999999999</v>
      </c>
      <c r="F84" s="136" t="s">
        <v>14</v>
      </c>
      <c r="G84" s="140" t="s">
        <v>11</v>
      </c>
      <c r="H84" s="136" t="s">
        <v>12</v>
      </c>
      <c r="J84" s="139">
        <v>18</v>
      </c>
      <c r="K84" s="138">
        <v>1032.5</v>
      </c>
      <c r="L84" s="136">
        <v>0</v>
      </c>
      <c r="M84" s="136">
        <f t="shared" si="31"/>
        <v>92.924999999999997</v>
      </c>
      <c r="N84" s="136">
        <f t="shared" si="32"/>
        <v>92.924999999999997</v>
      </c>
      <c r="O84" s="136">
        <v>0</v>
      </c>
      <c r="P84" s="175">
        <v>998873</v>
      </c>
      <c r="Q84" s="137" t="s">
        <v>22</v>
      </c>
      <c r="R84" s="136" t="s">
        <v>13</v>
      </c>
      <c r="S84" s="136">
        <v>0</v>
      </c>
      <c r="T84" s="136">
        <v>0</v>
      </c>
      <c r="U84" s="136">
        <f t="shared" si="28"/>
        <v>0</v>
      </c>
      <c r="V84" s="136">
        <v>5</v>
      </c>
    </row>
    <row r="85" spans="1:22" x14ac:dyDescent="0.3">
      <c r="A85" s="136" t="s">
        <v>251</v>
      </c>
      <c r="B85" s="136" t="s">
        <v>250</v>
      </c>
      <c r="C85" s="136" t="s">
        <v>545</v>
      </c>
      <c r="D85" s="143">
        <v>42955</v>
      </c>
      <c r="E85" s="136">
        <v>10303.76</v>
      </c>
      <c r="F85" s="136" t="s">
        <v>14</v>
      </c>
      <c r="G85" s="140" t="s">
        <v>11</v>
      </c>
      <c r="H85" s="136" t="s">
        <v>12</v>
      </c>
      <c r="J85" s="139">
        <v>18</v>
      </c>
      <c r="K85" s="138">
        <v>8732</v>
      </c>
      <c r="L85" s="136">
        <v>0</v>
      </c>
      <c r="M85" s="136">
        <f t="shared" si="31"/>
        <v>785.88</v>
      </c>
      <c r="N85" s="136">
        <f t="shared" si="32"/>
        <v>785.88</v>
      </c>
      <c r="O85" s="136">
        <v>0</v>
      </c>
      <c r="P85" s="175">
        <v>998873</v>
      </c>
      <c r="Q85" s="137" t="s">
        <v>22</v>
      </c>
      <c r="R85" s="136" t="s">
        <v>13</v>
      </c>
      <c r="S85" s="136">
        <v>0</v>
      </c>
      <c r="T85" s="136">
        <v>0</v>
      </c>
      <c r="U85" s="136">
        <f t="shared" si="28"/>
        <v>0</v>
      </c>
      <c r="V85" s="136">
        <v>296</v>
      </c>
    </row>
    <row r="86" spans="1:22" x14ac:dyDescent="0.3">
      <c r="A86" s="136" t="s">
        <v>6</v>
      </c>
      <c r="B86" s="136" t="s">
        <v>5</v>
      </c>
      <c r="C86" s="136" t="s">
        <v>546</v>
      </c>
      <c r="D86" s="143">
        <v>42955</v>
      </c>
      <c r="E86" s="136">
        <v>48413.32</v>
      </c>
      <c r="F86" s="136" t="s">
        <v>14</v>
      </c>
      <c r="G86" s="140" t="s">
        <v>11</v>
      </c>
      <c r="H86" s="136" t="s">
        <v>12</v>
      </c>
      <c r="J86" s="139">
        <v>28</v>
      </c>
      <c r="K86" s="138">
        <v>37822.92</v>
      </c>
      <c r="L86" s="136">
        <v>0</v>
      </c>
      <c r="M86" s="136">
        <f>+J86/100*K86/2-0.01</f>
        <v>5295.1988000000001</v>
      </c>
      <c r="N86" s="136">
        <f>+J86/100*K86/2-0.01</f>
        <v>5295.1988000000001</v>
      </c>
      <c r="O86" s="136">
        <v>0</v>
      </c>
      <c r="P86" s="175">
        <v>87081090</v>
      </c>
      <c r="Q86" s="137" t="s">
        <v>22</v>
      </c>
      <c r="R86" s="136" t="s">
        <v>13</v>
      </c>
      <c r="S86" s="136">
        <v>456</v>
      </c>
      <c r="T86" s="136">
        <v>456</v>
      </c>
      <c r="U86" s="136">
        <f t="shared" si="28"/>
        <v>0</v>
      </c>
      <c r="V86" s="136">
        <v>456</v>
      </c>
    </row>
    <row r="87" spans="1:22" x14ac:dyDescent="0.3">
      <c r="A87" s="136" t="s">
        <v>6</v>
      </c>
      <c r="B87" s="136" t="s">
        <v>5</v>
      </c>
      <c r="C87" s="136" t="s">
        <v>547</v>
      </c>
      <c r="D87" s="143">
        <v>42955</v>
      </c>
      <c r="E87" s="136">
        <v>15701.76</v>
      </c>
      <c r="F87" s="136" t="s">
        <v>14</v>
      </c>
      <c r="G87" s="140" t="s">
        <v>11</v>
      </c>
      <c r="H87" s="136" t="s">
        <v>12</v>
      </c>
      <c r="J87" s="139">
        <v>28</v>
      </c>
      <c r="K87" s="138">
        <v>12267</v>
      </c>
      <c r="L87" s="136">
        <v>0</v>
      </c>
      <c r="M87" s="136">
        <f>+J87/100*K87/2</f>
        <v>1717.38</v>
      </c>
      <c r="N87" s="136">
        <f>+J87/100*K87/2</f>
        <v>1717.38</v>
      </c>
      <c r="O87" s="136">
        <v>0</v>
      </c>
      <c r="P87" s="175">
        <v>87141090</v>
      </c>
      <c r="Q87" s="137" t="s">
        <v>22</v>
      </c>
      <c r="R87" s="136" t="s">
        <v>13</v>
      </c>
      <c r="S87" s="136">
        <v>348</v>
      </c>
      <c r="T87" s="136">
        <v>348</v>
      </c>
      <c r="U87" s="136">
        <f t="shared" si="28"/>
        <v>0</v>
      </c>
      <c r="V87" s="136">
        <v>348</v>
      </c>
    </row>
    <row r="88" spans="1:22" x14ac:dyDescent="0.3">
      <c r="A88" s="136" t="s">
        <v>253</v>
      </c>
      <c r="B88" s="136" t="s">
        <v>252</v>
      </c>
      <c r="C88" s="136" t="s">
        <v>548</v>
      </c>
      <c r="D88" s="143">
        <v>42955</v>
      </c>
      <c r="E88" s="136">
        <v>7066.12</v>
      </c>
      <c r="F88" s="136" t="s">
        <v>14</v>
      </c>
      <c r="G88" s="140" t="s">
        <v>11</v>
      </c>
      <c r="H88" s="136" t="s">
        <v>12</v>
      </c>
      <c r="J88" s="139">
        <v>18</v>
      </c>
      <c r="K88" s="138">
        <v>5988.24</v>
      </c>
      <c r="L88" s="136">
        <v>0</v>
      </c>
      <c r="M88" s="136">
        <f t="shared" ref="M88" si="33">+J88/100*K88/2</f>
        <v>538.94159999999999</v>
      </c>
      <c r="N88" s="136">
        <f t="shared" ref="N88" si="34">+J88/100*K88/2</f>
        <v>538.94159999999999</v>
      </c>
      <c r="O88" s="136">
        <v>0</v>
      </c>
      <c r="P88" s="175">
        <v>998898</v>
      </c>
      <c r="Q88" s="137" t="s">
        <v>22</v>
      </c>
      <c r="R88" s="136" t="s">
        <v>13</v>
      </c>
      <c r="S88" s="136">
        <v>0</v>
      </c>
      <c r="T88" s="136">
        <v>0</v>
      </c>
      <c r="U88" s="136">
        <f t="shared" si="28"/>
        <v>0</v>
      </c>
      <c r="V88" s="136">
        <v>12</v>
      </c>
    </row>
    <row r="89" spans="1:22" x14ac:dyDescent="0.3">
      <c r="A89" s="136" t="s">
        <v>6</v>
      </c>
      <c r="B89" s="136" t="s">
        <v>5</v>
      </c>
      <c r="C89" s="136" t="s">
        <v>549</v>
      </c>
      <c r="D89" s="143">
        <v>42955</v>
      </c>
      <c r="E89" s="136">
        <v>45865.279999999999</v>
      </c>
      <c r="F89" s="136" t="s">
        <v>14</v>
      </c>
      <c r="G89" s="140" t="s">
        <v>11</v>
      </c>
      <c r="H89" s="136" t="s">
        <v>12</v>
      </c>
      <c r="J89" s="139">
        <v>28</v>
      </c>
      <c r="K89" s="138">
        <v>35832.239999999998</v>
      </c>
      <c r="L89" s="136">
        <v>0</v>
      </c>
      <c r="M89" s="136">
        <f>+J89/100*K89/2+0.01</f>
        <v>5016.5236000000004</v>
      </c>
      <c r="N89" s="136">
        <f>+J89/100*K89/2+0.01</f>
        <v>5016.5236000000004</v>
      </c>
      <c r="O89" s="136">
        <v>0</v>
      </c>
      <c r="P89" s="175">
        <v>87081090</v>
      </c>
      <c r="Q89" s="137" t="s">
        <v>22</v>
      </c>
      <c r="R89" s="136" t="s">
        <v>13</v>
      </c>
      <c r="S89" s="136">
        <v>432</v>
      </c>
      <c r="T89" s="136">
        <v>432</v>
      </c>
      <c r="U89" s="136">
        <f t="shared" si="28"/>
        <v>0</v>
      </c>
      <c r="V89" s="136">
        <v>432</v>
      </c>
    </row>
    <row r="90" spans="1:22" x14ac:dyDescent="0.3">
      <c r="A90" s="136" t="s">
        <v>6</v>
      </c>
      <c r="B90" s="136" t="s">
        <v>5</v>
      </c>
      <c r="C90" s="136" t="s">
        <v>550</v>
      </c>
      <c r="D90" s="143">
        <v>42955</v>
      </c>
      <c r="E90" s="136">
        <v>42078.720000000001</v>
      </c>
      <c r="F90" s="136" t="s">
        <v>14</v>
      </c>
      <c r="G90" s="140" t="s">
        <v>11</v>
      </c>
      <c r="H90" s="136" t="s">
        <v>12</v>
      </c>
      <c r="J90" s="139">
        <v>28</v>
      </c>
      <c r="K90" s="138">
        <v>32874</v>
      </c>
      <c r="L90" s="136">
        <v>0</v>
      </c>
      <c r="M90" s="136">
        <f>+J90/100*K90/2</f>
        <v>4602.3600000000006</v>
      </c>
      <c r="N90" s="136">
        <f>+J90/100*K90/2</f>
        <v>4602.3600000000006</v>
      </c>
      <c r="O90" s="136">
        <v>0</v>
      </c>
      <c r="P90" s="175">
        <v>87141090</v>
      </c>
      <c r="Q90" s="137" t="s">
        <v>22</v>
      </c>
      <c r="R90" s="136" t="s">
        <v>13</v>
      </c>
      <c r="S90" s="136">
        <v>456</v>
      </c>
      <c r="T90" s="136">
        <v>456</v>
      </c>
      <c r="U90" s="136">
        <f t="shared" si="28"/>
        <v>0</v>
      </c>
      <c r="V90" s="136">
        <v>456</v>
      </c>
    </row>
    <row r="91" spans="1:22" x14ac:dyDescent="0.3">
      <c r="A91" s="136" t="s">
        <v>551</v>
      </c>
      <c r="B91" s="136" t="s">
        <v>552</v>
      </c>
      <c r="C91" s="136" t="s">
        <v>827</v>
      </c>
      <c r="D91" s="143">
        <v>42956</v>
      </c>
      <c r="E91" s="136">
        <v>45641.68</v>
      </c>
      <c r="F91" s="136" t="s">
        <v>14</v>
      </c>
      <c r="G91" s="140" t="s">
        <v>11</v>
      </c>
      <c r="H91" s="136" t="s">
        <v>12</v>
      </c>
      <c r="J91" s="139">
        <v>28</v>
      </c>
      <c r="K91" s="138">
        <v>35657.56</v>
      </c>
      <c r="L91" s="136">
        <v>0</v>
      </c>
      <c r="M91" s="136">
        <f t="shared" ref="M91" si="35">+J91/100*K91/2</f>
        <v>4992.0583999999999</v>
      </c>
      <c r="N91" s="136">
        <f t="shared" ref="N91" si="36">+J91/100*K91/2</f>
        <v>4992.0583999999999</v>
      </c>
      <c r="O91" s="136">
        <v>0</v>
      </c>
      <c r="P91" s="175">
        <v>32082090</v>
      </c>
      <c r="Q91" s="17" t="s">
        <v>198</v>
      </c>
      <c r="R91" s="136" t="s">
        <v>13</v>
      </c>
      <c r="S91" s="136">
        <v>84</v>
      </c>
      <c r="T91" s="136">
        <v>84</v>
      </c>
      <c r="U91" s="136">
        <f t="shared" ref="U91" si="37">+S91-T91</f>
        <v>0</v>
      </c>
      <c r="V91" s="136">
        <v>84</v>
      </c>
    </row>
    <row r="92" spans="1:22" x14ac:dyDescent="0.3">
      <c r="A92" s="136" t="s">
        <v>551</v>
      </c>
      <c r="B92" s="136" t="s">
        <v>552</v>
      </c>
      <c r="C92" s="136" t="s">
        <v>827</v>
      </c>
      <c r="D92" s="143">
        <v>42956</v>
      </c>
      <c r="E92" s="136">
        <v>10086.4</v>
      </c>
      <c r="F92" s="136" t="s">
        <v>14</v>
      </c>
      <c r="G92" s="140" t="s">
        <v>11</v>
      </c>
      <c r="H92" s="136" t="s">
        <v>12</v>
      </c>
      <c r="J92" s="139">
        <v>28</v>
      </c>
      <c r="K92" s="138">
        <v>7880</v>
      </c>
      <c r="L92" s="136">
        <v>0</v>
      </c>
      <c r="M92" s="136">
        <f t="shared" ref="M92" si="38">+J92/100*K92/2</f>
        <v>1103.2</v>
      </c>
      <c r="N92" s="136">
        <f t="shared" ref="N92" si="39">+J92/100*K92/2</f>
        <v>1103.2</v>
      </c>
      <c r="O92" s="136">
        <v>0</v>
      </c>
      <c r="P92" s="175">
        <v>38140010</v>
      </c>
      <c r="Q92" s="17" t="s">
        <v>835</v>
      </c>
      <c r="R92" s="136" t="s">
        <v>13</v>
      </c>
      <c r="S92" s="136">
        <v>40</v>
      </c>
      <c r="T92" s="136">
        <v>40</v>
      </c>
      <c r="U92" s="136">
        <f t="shared" ref="U92" si="40">+S92-T92</f>
        <v>0</v>
      </c>
      <c r="V92" s="136">
        <v>40</v>
      </c>
    </row>
    <row r="93" spans="1:22" x14ac:dyDescent="0.3">
      <c r="A93" s="136" t="s">
        <v>551</v>
      </c>
      <c r="B93" s="136" t="s">
        <v>552</v>
      </c>
      <c r="C93" s="136" t="s">
        <v>553</v>
      </c>
      <c r="D93" s="143">
        <v>42956</v>
      </c>
      <c r="E93" s="136">
        <v>25108.04</v>
      </c>
      <c r="F93" s="136" t="s">
        <v>14</v>
      </c>
      <c r="G93" s="140" t="s">
        <v>11</v>
      </c>
      <c r="H93" s="136" t="s">
        <v>12</v>
      </c>
      <c r="J93" s="139">
        <v>18</v>
      </c>
      <c r="K93" s="138">
        <v>21278</v>
      </c>
      <c r="L93" s="136">
        <v>0</v>
      </c>
      <c r="M93" s="136">
        <f t="shared" ref="M93:M101" si="41">+J93/100*K93/2</f>
        <v>1915.02</v>
      </c>
      <c r="N93" s="136">
        <f t="shared" ref="N93:N101" si="42">+J93/100*K93/2</f>
        <v>1915.02</v>
      </c>
      <c r="O93" s="136">
        <v>0</v>
      </c>
      <c r="P93" s="175">
        <v>38249990</v>
      </c>
      <c r="Q93" s="17" t="s">
        <v>833</v>
      </c>
      <c r="R93" s="136" t="s">
        <v>13</v>
      </c>
      <c r="S93" s="136">
        <v>43</v>
      </c>
      <c r="T93" s="136">
        <v>43</v>
      </c>
      <c r="U93" s="136">
        <f t="shared" si="28"/>
        <v>0</v>
      </c>
      <c r="V93" s="136">
        <v>43</v>
      </c>
    </row>
    <row r="94" spans="1:22" x14ac:dyDescent="0.3">
      <c r="A94" s="136" t="s">
        <v>6</v>
      </c>
      <c r="B94" s="136" t="s">
        <v>5</v>
      </c>
      <c r="C94" s="136" t="s">
        <v>554</v>
      </c>
      <c r="D94" s="143">
        <v>42956</v>
      </c>
      <c r="E94" s="136">
        <v>49687.360000000001</v>
      </c>
      <c r="F94" s="136" t="s">
        <v>14</v>
      </c>
      <c r="G94" s="140" t="s">
        <v>11</v>
      </c>
      <c r="H94" s="136" t="s">
        <v>12</v>
      </c>
      <c r="J94" s="139">
        <v>28</v>
      </c>
      <c r="K94" s="138">
        <v>38818.26</v>
      </c>
      <c r="L94" s="136">
        <v>0</v>
      </c>
      <c r="M94" s="136">
        <f>+J94/100*K94/2-0.01</f>
        <v>5434.5464000000002</v>
      </c>
      <c r="N94" s="136">
        <f>+J94/100*K94/2-0.01</f>
        <v>5434.5464000000002</v>
      </c>
      <c r="O94" s="136">
        <v>0</v>
      </c>
      <c r="P94" s="175">
        <v>87081090</v>
      </c>
      <c r="Q94" s="137" t="s">
        <v>22</v>
      </c>
      <c r="R94" s="136" t="s">
        <v>13</v>
      </c>
      <c r="S94" s="136">
        <v>468</v>
      </c>
      <c r="T94" s="136">
        <v>468</v>
      </c>
      <c r="U94" s="136">
        <f t="shared" si="28"/>
        <v>0</v>
      </c>
      <c r="V94" s="136">
        <v>468</v>
      </c>
    </row>
    <row r="95" spans="1:22" x14ac:dyDescent="0.3">
      <c r="A95" s="136" t="s">
        <v>255</v>
      </c>
      <c r="B95" s="136" t="s">
        <v>254</v>
      </c>
      <c r="C95" s="136" t="s">
        <v>555</v>
      </c>
      <c r="D95" s="143">
        <v>42956</v>
      </c>
      <c r="E95" s="136">
        <v>3879.84</v>
      </c>
      <c r="F95" s="136" t="s">
        <v>14</v>
      </c>
      <c r="G95" s="140" t="s">
        <v>11</v>
      </c>
      <c r="H95" s="136" t="s">
        <v>12</v>
      </c>
      <c r="J95" s="139">
        <v>18</v>
      </c>
      <c r="K95" s="138">
        <v>3288</v>
      </c>
      <c r="L95" s="136">
        <v>0</v>
      </c>
      <c r="M95" s="136">
        <f t="shared" ref="M95:M97" si="43">+J95/100*K95/2</f>
        <v>295.92</v>
      </c>
      <c r="N95" s="136">
        <f t="shared" ref="N95:N97" si="44">+J95/100*K95/2</f>
        <v>295.92</v>
      </c>
      <c r="O95" s="136">
        <v>0</v>
      </c>
      <c r="P95" s="175">
        <v>998898</v>
      </c>
      <c r="Q95" s="137" t="s">
        <v>22</v>
      </c>
      <c r="R95" s="136" t="s">
        <v>13</v>
      </c>
      <c r="S95" s="136">
        <v>0</v>
      </c>
      <c r="T95" s="136">
        <v>0</v>
      </c>
      <c r="U95" s="136">
        <f t="shared" si="28"/>
        <v>0</v>
      </c>
      <c r="V95" s="136">
        <v>400</v>
      </c>
    </row>
    <row r="96" spans="1:22" x14ac:dyDescent="0.3">
      <c r="A96" s="136" t="s">
        <v>253</v>
      </c>
      <c r="B96" s="136" t="s">
        <v>252</v>
      </c>
      <c r="C96" s="136" t="s">
        <v>556</v>
      </c>
      <c r="D96" s="143">
        <v>42956</v>
      </c>
      <c r="E96" s="136">
        <v>7066.12</v>
      </c>
      <c r="F96" s="136" t="s">
        <v>14</v>
      </c>
      <c r="G96" s="140" t="s">
        <v>11</v>
      </c>
      <c r="H96" s="136" t="s">
        <v>12</v>
      </c>
      <c r="J96" s="139">
        <v>18</v>
      </c>
      <c r="K96" s="138">
        <v>5988.24</v>
      </c>
      <c r="L96" s="136">
        <v>0</v>
      </c>
      <c r="M96" s="136">
        <f t="shared" si="43"/>
        <v>538.94159999999999</v>
      </c>
      <c r="N96" s="136">
        <f t="shared" si="44"/>
        <v>538.94159999999999</v>
      </c>
      <c r="O96" s="136">
        <v>0</v>
      </c>
      <c r="P96" s="175">
        <v>998898</v>
      </c>
      <c r="Q96" s="137" t="s">
        <v>22</v>
      </c>
      <c r="R96" s="136" t="s">
        <v>13</v>
      </c>
      <c r="S96" s="136">
        <v>0</v>
      </c>
      <c r="T96" s="136">
        <v>0</v>
      </c>
      <c r="U96" s="136">
        <f t="shared" si="28"/>
        <v>0</v>
      </c>
      <c r="V96" s="136">
        <v>12</v>
      </c>
    </row>
    <row r="97" spans="1:22" x14ac:dyDescent="0.3">
      <c r="A97" s="136" t="s">
        <v>186</v>
      </c>
      <c r="B97" s="136" t="s">
        <v>187</v>
      </c>
      <c r="C97" s="136" t="s">
        <v>557</v>
      </c>
      <c r="D97" s="143">
        <v>42956</v>
      </c>
      <c r="E97" s="136">
        <v>76800</v>
      </c>
      <c r="F97" s="136" t="s">
        <v>14</v>
      </c>
      <c r="G97" s="140" t="s">
        <v>11</v>
      </c>
      <c r="H97" s="136" t="s">
        <v>12</v>
      </c>
      <c r="J97" s="139">
        <v>28</v>
      </c>
      <c r="K97" s="138">
        <v>60000</v>
      </c>
      <c r="L97" s="136">
        <v>0</v>
      </c>
      <c r="M97" s="136">
        <f t="shared" si="43"/>
        <v>8400</v>
      </c>
      <c r="N97" s="136">
        <f t="shared" si="44"/>
        <v>8400</v>
      </c>
      <c r="O97" s="136">
        <v>0</v>
      </c>
      <c r="P97" s="175">
        <v>85129000</v>
      </c>
      <c r="Q97" s="137" t="s">
        <v>22</v>
      </c>
      <c r="R97" s="136" t="s">
        <v>13</v>
      </c>
      <c r="S97" s="136">
        <v>2400</v>
      </c>
      <c r="T97" s="136">
        <v>2400</v>
      </c>
      <c r="U97" s="136">
        <f t="shared" si="28"/>
        <v>0</v>
      </c>
      <c r="V97" s="136">
        <v>2400</v>
      </c>
    </row>
    <row r="98" spans="1:22" x14ac:dyDescent="0.3">
      <c r="A98" s="136" t="s">
        <v>180</v>
      </c>
      <c r="B98" s="136" t="s">
        <v>360</v>
      </c>
      <c r="C98" s="136" t="s">
        <v>558</v>
      </c>
      <c r="D98" s="143">
        <v>42956</v>
      </c>
      <c r="E98" s="136">
        <v>19493.68</v>
      </c>
      <c r="F98" s="136" t="s">
        <v>14</v>
      </c>
      <c r="G98" s="140" t="s">
        <v>11</v>
      </c>
      <c r="H98" s="136" t="s">
        <v>12</v>
      </c>
      <c r="J98" s="139">
        <v>28</v>
      </c>
      <c r="K98" s="138">
        <v>15229.44</v>
      </c>
      <c r="L98" s="136">
        <v>0</v>
      </c>
      <c r="M98" s="136">
        <f>+J98/100*K98/2</f>
        <v>2132.1216000000004</v>
      </c>
      <c r="N98" s="136">
        <f>+J98/100*K98/2</f>
        <v>2132.1216000000004</v>
      </c>
      <c r="O98" s="136">
        <v>0</v>
      </c>
      <c r="P98" s="175">
        <v>87089900</v>
      </c>
      <c r="Q98" s="137" t="s">
        <v>22</v>
      </c>
      <c r="R98" s="136" t="s">
        <v>13</v>
      </c>
      <c r="S98" s="136">
        <v>32</v>
      </c>
      <c r="T98" s="136">
        <v>32</v>
      </c>
      <c r="U98" s="136">
        <f t="shared" si="28"/>
        <v>0</v>
      </c>
      <c r="V98" s="136">
        <v>32</v>
      </c>
    </row>
    <row r="99" spans="1:22" x14ac:dyDescent="0.3">
      <c r="A99" s="136" t="s">
        <v>253</v>
      </c>
      <c r="B99" s="136" t="s">
        <v>252</v>
      </c>
      <c r="C99" s="136" t="s">
        <v>559</v>
      </c>
      <c r="D99" s="143">
        <v>42956</v>
      </c>
      <c r="E99" s="136">
        <v>6477.28</v>
      </c>
      <c r="F99" s="136" t="s">
        <v>14</v>
      </c>
      <c r="G99" s="140" t="s">
        <v>11</v>
      </c>
      <c r="H99" s="136" t="s">
        <v>12</v>
      </c>
      <c r="J99" s="139">
        <v>18</v>
      </c>
      <c r="K99" s="138">
        <v>5489.22</v>
      </c>
      <c r="L99" s="136">
        <v>0</v>
      </c>
      <c r="M99" s="136">
        <f t="shared" ref="M99:M100" si="45">+J99/100*K99/2</f>
        <v>494.02980000000002</v>
      </c>
      <c r="N99" s="136">
        <f t="shared" ref="N99:N100" si="46">+J99/100*K99/2</f>
        <v>494.02980000000002</v>
      </c>
      <c r="O99" s="136">
        <v>0</v>
      </c>
      <c r="P99" s="175">
        <v>998898</v>
      </c>
      <c r="Q99" s="137" t="s">
        <v>22</v>
      </c>
      <c r="R99" s="136" t="s">
        <v>13</v>
      </c>
      <c r="S99" s="136">
        <v>0</v>
      </c>
      <c r="T99" s="136">
        <v>0</v>
      </c>
      <c r="U99" s="136">
        <f t="shared" si="28"/>
        <v>0</v>
      </c>
      <c r="V99" s="136">
        <v>11</v>
      </c>
    </row>
    <row r="100" spans="1:22" x14ac:dyDescent="0.3">
      <c r="A100" s="136" t="s">
        <v>251</v>
      </c>
      <c r="B100" s="136" t="s">
        <v>250</v>
      </c>
      <c r="C100" s="136" t="s">
        <v>560</v>
      </c>
      <c r="D100" s="143">
        <v>42956</v>
      </c>
      <c r="E100" s="136">
        <v>6962</v>
      </c>
      <c r="F100" s="136" t="s">
        <v>14</v>
      </c>
      <c r="G100" s="140" t="s">
        <v>11</v>
      </c>
      <c r="H100" s="136" t="s">
        <v>12</v>
      </c>
      <c r="J100" s="139">
        <v>18</v>
      </c>
      <c r="K100" s="138">
        <v>5900</v>
      </c>
      <c r="L100" s="136">
        <v>0</v>
      </c>
      <c r="M100" s="136">
        <f t="shared" si="45"/>
        <v>531</v>
      </c>
      <c r="N100" s="136">
        <f t="shared" si="46"/>
        <v>531</v>
      </c>
      <c r="O100" s="136">
        <v>0</v>
      </c>
      <c r="P100" s="175">
        <v>998873</v>
      </c>
      <c r="Q100" s="137" t="s">
        <v>22</v>
      </c>
      <c r="R100" s="136" t="s">
        <v>13</v>
      </c>
      <c r="S100" s="136">
        <v>0</v>
      </c>
      <c r="T100" s="136">
        <v>0</v>
      </c>
      <c r="U100" s="136">
        <f t="shared" si="28"/>
        <v>0</v>
      </c>
      <c r="V100" s="136">
        <v>200</v>
      </c>
    </row>
    <row r="101" spans="1:22" x14ac:dyDescent="0.3">
      <c r="A101" s="136" t="s">
        <v>251</v>
      </c>
      <c r="B101" s="136" t="s">
        <v>250</v>
      </c>
      <c r="C101" s="136" t="s">
        <v>561</v>
      </c>
      <c r="D101" s="143">
        <v>42956</v>
      </c>
      <c r="E101" s="136">
        <v>6962</v>
      </c>
      <c r="F101" s="136" t="s">
        <v>14</v>
      </c>
      <c r="G101" s="140" t="s">
        <v>11</v>
      </c>
      <c r="H101" s="136" t="s">
        <v>12</v>
      </c>
      <c r="J101" s="139">
        <v>18</v>
      </c>
      <c r="K101" s="138">
        <v>5900</v>
      </c>
      <c r="L101" s="136">
        <v>0</v>
      </c>
      <c r="M101" s="136">
        <f t="shared" si="41"/>
        <v>531</v>
      </c>
      <c r="N101" s="136">
        <f t="shared" si="42"/>
        <v>531</v>
      </c>
      <c r="O101" s="136">
        <v>0</v>
      </c>
      <c r="P101" s="175">
        <v>998873</v>
      </c>
      <c r="Q101" s="137" t="s">
        <v>22</v>
      </c>
      <c r="R101" s="136" t="s">
        <v>13</v>
      </c>
      <c r="S101" s="136">
        <v>0</v>
      </c>
      <c r="T101" s="136">
        <v>0</v>
      </c>
      <c r="U101" s="136">
        <f t="shared" si="28"/>
        <v>0</v>
      </c>
      <c r="V101" s="136">
        <v>200</v>
      </c>
    </row>
    <row r="102" spans="1:22" x14ac:dyDescent="0.3">
      <c r="A102" s="136" t="s">
        <v>6</v>
      </c>
      <c r="B102" s="136" t="s">
        <v>5</v>
      </c>
      <c r="C102" s="136" t="s">
        <v>562</v>
      </c>
      <c r="D102" s="143">
        <v>42956</v>
      </c>
      <c r="E102" s="136">
        <v>57331.6</v>
      </c>
      <c r="F102" s="136" t="s">
        <v>14</v>
      </c>
      <c r="G102" s="140" t="s">
        <v>11</v>
      </c>
      <c r="H102" s="136" t="s">
        <v>12</v>
      </c>
      <c r="J102" s="139">
        <v>28</v>
      </c>
      <c r="K102" s="138">
        <v>44790.3</v>
      </c>
      <c r="L102" s="136">
        <v>0</v>
      </c>
      <c r="M102" s="136">
        <f>+J102/100*K102/2+0.01</f>
        <v>6270.652000000001</v>
      </c>
      <c r="N102" s="136">
        <f>+J102/100*K102/2+0.01</f>
        <v>6270.652000000001</v>
      </c>
      <c r="O102" s="136">
        <v>0</v>
      </c>
      <c r="P102" s="175">
        <v>87081090</v>
      </c>
      <c r="Q102" s="137" t="s">
        <v>22</v>
      </c>
      <c r="R102" s="136" t="s">
        <v>13</v>
      </c>
      <c r="S102" s="136">
        <v>540</v>
      </c>
      <c r="T102" s="136">
        <v>540</v>
      </c>
      <c r="U102" s="136">
        <f t="shared" si="28"/>
        <v>0</v>
      </c>
      <c r="V102" s="136">
        <v>540</v>
      </c>
    </row>
    <row r="103" spans="1:22" x14ac:dyDescent="0.3">
      <c r="A103" s="136" t="s">
        <v>6</v>
      </c>
      <c r="B103" s="136" t="s">
        <v>5</v>
      </c>
      <c r="C103" s="136" t="s">
        <v>563</v>
      </c>
      <c r="D103" s="143">
        <v>42956</v>
      </c>
      <c r="E103" s="136">
        <v>38891.519999999997</v>
      </c>
      <c r="F103" s="136" t="s">
        <v>14</v>
      </c>
      <c r="G103" s="140" t="s">
        <v>11</v>
      </c>
      <c r="H103" s="136" t="s">
        <v>12</v>
      </c>
      <c r="J103" s="139">
        <v>28</v>
      </c>
      <c r="K103" s="138">
        <v>30384</v>
      </c>
      <c r="L103" s="136">
        <v>0</v>
      </c>
      <c r="M103" s="136">
        <f>+J103/100*K103/2</f>
        <v>4253.76</v>
      </c>
      <c r="N103" s="136">
        <f>+J103/100*K103/2</f>
        <v>4253.76</v>
      </c>
      <c r="O103" s="136">
        <v>0</v>
      </c>
      <c r="P103" s="175">
        <v>87141090</v>
      </c>
      <c r="Q103" s="137" t="s">
        <v>22</v>
      </c>
      <c r="R103" s="136" t="s">
        <v>13</v>
      </c>
      <c r="S103" s="136">
        <v>576</v>
      </c>
      <c r="T103" s="136">
        <v>576</v>
      </c>
      <c r="U103" s="136">
        <f t="shared" si="28"/>
        <v>0</v>
      </c>
      <c r="V103" s="136">
        <v>576</v>
      </c>
    </row>
    <row r="104" spans="1:22" x14ac:dyDescent="0.3">
      <c r="A104" s="136" t="s">
        <v>253</v>
      </c>
      <c r="B104" s="136" t="s">
        <v>252</v>
      </c>
      <c r="C104" s="136" t="s">
        <v>564</v>
      </c>
      <c r="D104" s="143">
        <v>42956</v>
      </c>
      <c r="E104" s="136">
        <v>7364.48</v>
      </c>
      <c r="F104" s="136" t="s">
        <v>14</v>
      </c>
      <c r="G104" s="140" t="s">
        <v>11</v>
      </c>
      <c r="H104" s="136" t="s">
        <v>12</v>
      </c>
      <c r="J104" s="139">
        <v>18</v>
      </c>
      <c r="K104" s="138">
        <v>6241.08</v>
      </c>
      <c r="L104" s="136">
        <v>0</v>
      </c>
      <c r="M104" s="136">
        <f t="shared" ref="M104" si="47">+J104/100*K104/2</f>
        <v>561.69719999999995</v>
      </c>
      <c r="N104" s="136">
        <f t="shared" ref="N104" si="48">+J104/100*K104/2</f>
        <v>561.69719999999995</v>
      </c>
      <c r="O104" s="136">
        <v>0</v>
      </c>
      <c r="P104" s="175">
        <v>998898</v>
      </c>
      <c r="Q104" s="137" t="s">
        <v>22</v>
      </c>
      <c r="R104" s="136" t="s">
        <v>13</v>
      </c>
      <c r="S104" s="136">
        <v>0</v>
      </c>
      <c r="T104" s="136">
        <v>0</v>
      </c>
      <c r="U104" s="136">
        <f t="shared" si="28"/>
        <v>0</v>
      </c>
      <c r="V104" s="136">
        <v>12</v>
      </c>
    </row>
    <row r="105" spans="1:22" x14ac:dyDescent="0.3">
      <c r="A105" s="136" t="s">
        <v>6</v>
      </c>
      <c r="B105" s="136" t="s">
        <v>5</v>
      </c>
      <c r="C105" s="136" t="s">
        <v>565</v>
      </c>
      <c r="D105" s="143">
        <v>42956</v>
      </c>
      <c r="E105" s="136">
        <v>31850.880000000001</v>
      </c>
      <c r="F105" s="136" t="s">
        <v>14</v>
      </c>
      <c r="G105" s="140" t="s">
        <v>11</v>
      </c>
      <c r="H105" s="136" t="s">
        <v>12</v>
      </c>
      <c r="J105" s="139">
        <v>28</v>
      </c>
      <c r="K105" s="138">
        <v>24883.5</v>
      </c>
      <c r="L105" s="136">
        <v>0</v>
      </c>
      <c r="M105" s="136">
        <f>+J105/100*K105/2</f>
        <v>3483.6900000000005</v>
      </c>
      <c r="N105" s="136">
        <f>+J105/100*K105/2</f>
        <v>3483.6900000000005</v>
      </c>
      <c r="O105" s="136">
        <v>0</v>
      </c>
      <c r="P105" s="175">
        <v>87081090</v>
      </c>
      <c r="Q105" s="137" t="s">
        <v>22</v>
      </c>
      <c r="R105" s="136" t="s">
        <v>13</v>
      </c>
      <c r="S105" s="136">
        <v>300</v>
      </c>
      <c r="T105" s="136">
        <v>300</v>
      </c>
      <c r="U105" s="136">
        <f t="shared" si="28"/>
        <v>0</v>
      </c>
      <c r="V105" s="136">
        <v>300</v>
      </c>
    </row>
    <row r="106" spans="1:22" x14ac:dyDescent="0.3">
      <c r="A106" s="136" t="s">
        <v>6</v>
      </c>
      <c r="B106" s="136" t="s">
        <v>5</v>
      </c>
      <c r="C106" s="136" t="s">
        <v>566</v>
      </c>
      <c r="D106" s="143">
        <v>42956</v>
      </c>
      <c r="E106" s="136">
        <v>18990.72</v>
      </c>
      <c r="F106" s="136" t="s">
        <v>14</v>
      </c>
      <c r="G106" s="140" t="s">
        <v>11</v>
      </c>
      <c r="H106" s="136" t="s">
        <v>12</v>
      </c>
      <c r="J106" s="139">
        <v>28</v>
      </c>
      <c r="K106" s="138">
        <v>14836.5</v>
      </c>
      <c r="L106" s="136">
        <v>0</v>
      </c>
      <c r="M106" s="136">
        <f>+J106/100*K106/2</f>
        <v>2077.11</v>
      </c>
      <c r="N106" s="136">
        <f>+J106/100*K106/2</f>
        <v>2077.11</v>
      </c>
      <c r="O106" s="136">
        <v>0</v>
      </c>
      <c r="P106" s="175">
        <v>87081090</v>
      </c>
      <c r="Q106" s="137" t="s">
        <v>22</v>
      </c>
      <c r="R106" s="136" t="s">
        <v>13</v>
      </c>
      <c r="S106" s="136">
        <v>180</v>
      </c>
      <c r="T106" s="136">
        <v>180</v>
      </c>
      <c r="U106" s="136">
        <f t="shared" si="28"/>
        <v>0</v>
      </c>
      <c r="V106" s="136">
        <v>180</v>
      </c>
    </row>
    <row r="107" spans="1:22" x14ac:dyDescent="0.3">
      <c r="A107" s="136" t="s">
        <v>180</v>
      </c>
      <c r="B107" s="136" t="s">
        <v>360</v>
      </c>
      <c r="C107" s="136" t="s">
        <v>567</v>
      </c>
      <c r="D107" s="143">
        <v>42957</v>
      </c>
      <c r="E107" s="136">
        <v>22195.82</v>
      </c>
      <c r="F107" s="136" t="s">
        <v>14</v>
      </c>
      <c r="G107" s="140" t="s">
        <v>11</v>
      </c>
      <c r="H107" s="136" t="s">
        <v>12</v>
      </c>
      <c r="J107" s="139">
        <v>28</v>
      </c>
      <c r="K107" s="138">
        <v>17340.48</v>
      </c>
      <c r="L107" s="136">
        <v>0</v>
      </c>
      <c r="M107" s="136">
        <f>+J107/100*K107/2</f>
        <v>2427.6672000000003</v>
      </c>
      <c r="N107" s="136">
        <f>+J107/100*K107/2</f>
        <v>2427.6672000000003</v>
      </c>
      <c r="O107" s="136">
        <v>0</v>
      </c>
      <c r="P107" s="175">
        <v>87089900</v>
      </c>
      <c r="Q107" s="137" t="s">
        <v>22</v>
      </c>
      <c r="R107" s="136" t="s">
        <v>13</v>
      </c>
      <c r="S107" s="136">
        <v>36</v>
      </c>
      <c r="T107" s="136">
        <v>36</v>
      </c>
      <c r="U107" s="136">
        <f t="shared" si="28"/>
        <v>0</v>
      </c>
      <c r="V107" s="136">
        <v>36</v>
      </c>
    </row>
    <row r="108" spans="1:22" x14ac:dyDescent="0.3">
      <c r="A108" s="136" t="s">
        <v>40</v>
      </c>
      <c r="B108" s="136" t="s">
        <v>39</v>
      </c>
      <c r="C108" s="136" t="s">
        <v>568</v>
      </c>
      <c r="D108" s="143">
        <v>42957</v>
      </c>
      <c r="E108" s="136">
        <v>10058.56</v>
      </c>
      <c r="F108" s="136" t="s">
        <v>14</v>
      </c>
      <c r="G108" s="140" t="s">
        <v>11</v>
      </c>
      <c r="H108" s="136" t="s">
        <v>12</v>
      </c>
      <c r="J108" s="139">
        <v>18</v>
      </c>
      <c r="K108" s="138">
        <v>8524.2000000000007</v>
      </c>
      <c r="L108" s="136">
        <v>0</v>
      </c>
      <c r="M108" s="136">
        <f t="shared" ref="M108:M111" si="49">+J108/100*K108/2</f>
        <v>767.178</v>
      </c>
      <c r="N108" s="136">
        <f t="shared" ref="N108:N111" si="50">+J108/100*K108/2</f>
        <v>767.178</v>
      </c>
      <c r="O108" s="136">
        <v>0</v>
      </c>
      <c r="P108" s="175">
        <v>998898</v>
      </c>
      <c r="Q108" s="137" t="s">
        <v>22</v>
      </c>
      <c r="R108" s="136" t="s">
        <v>13</v>
      </c>
      <c r="S108" s="136">
        <v>0</v>
      </c>
      <c r="T108" s="136">
        <v>0</v>
      </c>
      <c r="U108" s="136">
        <f t="shared" si="28"/>
        <v>0</v>
      </c>
      <c r="V108" s="136">
        <v>30</v>
      </c>
    </row>
    <row r="109" spans="1:22" x14ac:dyDescent="0.3">
      <c r="A109" s="136" t="s">
        <v>251</v>
      </c>
      <c r="B109" s="136" t="s">
        <v>250</v>
      </c>
      <c r="C109" s="136" t="s">
        <v>569</v>
      </c>
      <c r="D109" s="143">
        <v>42957</v>
      </c>
      <c r="E109" s="136">
        <v>6962</v>
      </c>
      <c r="F109" s="136" t="s">
        <v>14</v>
      </c>
      <c r="G109" s="140" t="s">
        <v>11</v>
      </c>
      <c r="H109" s="136" t="s">
        <v>12</v>
      </c>
      <c r="J109" s="139">
        <v>18</v>
      </c>
      <c r="K109" s="138">
        <v>5900</v>
      </c>
      <c r="L109" s="136">
        <v>0</v>
      </c>
      <c r="M109" s="136">
        <f t="shared" si="49"/>
        <v>531</v>
      </c>
      <c r="N109" s="136">
        <f t="shared" si="50"/>
        <v>531</v>
      </c>
      <c r="O109" s="136">
        <v>0</v>
      </c>
      <c r="P109" s="175">
        <v>998873</v>
      </c>
      <c r="Q109" s="137" t="s">
        <v>22</v>
      </c>
      <c r="R109" s="136" t="s">
        <v>13</v>
      </c>
      <c r="S109" s="136">
        <v>0</v>
      </c>
      <c r="T109" s="136">
        <v>0</v>
      </c>
      <c r="U109" s="136">
        <f t="shared" si="28"/>
        <v>0</v>
      </c>
      <c r="V109" s="136">
        <v>200</v>
      </c>
    </row>
    <row r="110" spans="1:22" x14ac:dyDescent="0.3">
      <c r="A110" s="136" t="s">
        <v>251</v>
      </c>
      <c r="B110" s="136" t="s">
        <v>250</v>
      </c>
      <c r="C110" s="136" t="s">
        <v>570</v>
      </c>
      <c r="D110" s="143">
        <v>42957</v>
      </c>
      <c r="E110" s="136">
        <v>6962</v>
      </c>
      <c r="F110" s="136" t="s">
        <v>14</v>
      </c>
      <c r="G110" s="140" t="s">
        <v>11</v>
      </c>
      <c r="H110" s="136" t="s">
        <v>12</v>
      </c>
      <c r="J110" s="139">
        <v>18</v>
      </c>
      <c r="K110" s="138">
        <v>5900</v>
      </c>
      <c r="L110" s="136">
        <v>0</v>
      </c>
      <c r="M110" s="136">
        <f t="shared" si="49"/>
        <v>531</v>
      </c>
      <c r="N110" s="136">
        <f t="shared" si="50"/>
        <v>531</v>
      </c>
      <c r="O110" s="136">
        <v>0</v>
      </c>
      <c r="P110" s="175">
        <v>998873</v>
      </c>
      <c r="Q110" s="137" t="s">
        <v>22</v>
      </c>
      <c r="R110" s="136" t="s">
        <v>13</v>
      </c>
      <c r="S110" s="136">
        <v>0</v>
      </c>
      <c r="T110" s="136">
        <v>0</v>
      </c>
      <c r="U110" s="136">
        <f t="shared" si="28"/>
        <v>0</v>
      </c>
      <c r="V110" s="136">
        <v>200</v>
      </c>
    </row>
    <row r="111" spans="1:22" x14ac:dyDescent="0.3">
      <c r="A111" s="136" t="s">
        <v>179</v>
      </c>
      <c r="B111" s="136" t="s">
        <v>178</v>
      </c>
      <c r="C111" s="136" t="s">
        <v>571</v>
      </c>
      <c r="D111" s="143">
        <v>42957</v>
      </c>
      <c r="E111" s="136">
        <v>31784.6</v>
      </c>
      <c r="F111" s="136" t="s">
        <v>14</v>
      </c>
      <c r="G111" s="140" t="s">
        <v>11</v>
      </c>
      <c r="H111" s="136" t="s">
        <v>12</v>
      </c>
      <c r="J111" s="139">
        <v>28</v>
      </c>
      <c r="K111" s="138">
        <v>24831.72</v>
      </c>
      <c r="L111" s="136">
        <v>0</v>
      </c>
      <c r="M111" s="136">
        <f t="shared" si="49"/>
        <v>3476.4408000000003</v>
      </c>
      <c r="N111" s="136">
        <f t="shared" si="50"/>
        <v>3476.4408000000003</v>
      </c>
      <c r="O111" s="136">
        <v>0</v>
      </c>
      <c r="P111" s="175">
        <v>85129000</v>
      </c>
      <c r="Q111" s="137" t="s">
        <v>22</v>
      </c>
      <c r="R111" s="136" t="s">
        <v>13</v>
      </c>
      <c r="S111" s="136">
        <v>414</v>
      </c>
      <c r="T111" s="136">
        <v>414</v>
      </c>
      <c r="U111" s="136">
        <f t="shared" si="28"/>
        <v>0</v>
      </c>
      <c r="V111" s="136">
        <v>414</v>
      </c>
    </row>
    <row r="112" spans="1:22" x14ac:dyDescent="0.3">
      <c r="A112" s="136" t="s">
        <v>6</v>
      </c>
      <c r="B112" s="136" t="s">
        <v>5</v>
      </c>
      <c r="C112" s="136" t="s">
        <v>572</v>
      </c>
      <c r="D112" s="143">
        <v>42957</v>
      </c>
      <c r="E112" s="136">
        <v>44591.24</v>
      </c>
      <c r="F112" s="136" t="s">
        <v>14</v>
      </c>
      <c r="G112" s="140" t="s">
        <v>11</v>
      </c>
      <c r="H112" s="136" t="s">
        <v>12</v>
      </c>
      <c r="J112" s="139">
        <v>28</v>
      </c>
      <c r="K112" s="138">
        <v>34836.9</v>
      </c>
      <c r="L112" s="136">
        <v>0</v>
      </c>
      <c r="M112" s="136">
        <f>+J112/100*K112/2</f>
        <v>4877.1660000000011</v>
      </c>
      <c r="N112" s="136">
        <f>+J112/100*K112/2</f>
        <v>4877.1660000000011</v>
      </c>
      <c r="O112" s="136">
        <v>0</v>
      </c>
      <c r="P112" s="175">
        <v>87081090</v>
      </c>
      <c r="Q112" s="137" t="s">
        <v>22</v>
      </c>
      <c r="R112" s="136" t="s">
        <v>13</v>
      </c>
      <c r="S112" s="136">
        <v>420</v>
      </c>
      <c r="T112" s="136">
        <v>420</v>
      </c>
      <c r="U112" s="136">
        <f t="shared" si="28"/>
        <v>0</v>
      </c>
      <c r="V112" s="136">
        <v>420</v>
      </c>
    </row>
    <row r="113" spans="1:22" x14ac:dyDescent="0.3">
      <c r="A113" s="136" t="s">
        <v>6</v>
      </c>
      <c r="B113" s="136" t="s">
        <v>5</v>
      </c>
      <c r="C113" s="136" t="s">
        <v>573</v>
      </c>
      <c r="D113" s="143">
        <v>42957</v>
      </c>
      <c r="E113" s="136">
        <v>45865.279999999999</v>
      </c>
      <c r="F113" s="136" t="s">
        <v>14</v>
      </c>
      <c r="G113" s="140" t="s">
        <v>11</v>
      </c>
      <c r="H113" s="136" t="s">
        <v>12</v>
      </c>
      <c r="J113" s="139">
        <v>28</v>
      </c>
      <c r="K113" s="138">
        <v>35832.239999999998</v>
      </c>
      <c r="L113" s="136">
        <v>0</v>
      </c>
      <c r="M113" s="136">
        <f>+J113/100*K113/2+0.01</f>
        <v>5016.5236000000004</v>
      </c>
      <c r="N113" s="136">
        <f>+J113/100*K113/2+0.01</f>
        <v>5016.5236000000004</v>
      </c>
      <c r="O113" s="136">
        <v>0</v>
      </c>
      <c r="P113" s="175">
        <v>87081090</v>
      </c>
      <c r="Q113" s="137" t="s">
        <v>22</v>
      </c>
      <c r="R113" s="136" t="s">
        <v>13</v>
      </c>
      <c r="S113" s="136">
        <v>432</v>
      </c>
      <c r="T113" s="136">
        <v>432</v>
      </c>
      <c r="U113" s="136">
        <f t="shared" si="28"/>
        <v>0</v>
      </c>
      <c r="V113" s="136">
        <v>432</v>
      </c>
    </row>
    <row r="114" spans="1:22" x14ac:dyDescent="0.3">
      <c r="A114" s="136" t="s">
        <v>186</v>
      </c>
      <c r="B114" s="136" t="s">
        <v>187</v>
      </c>
      <c r="C114" s="136" t="s">
        <v>574</v>
      </c>
      <c r="D114" s="143">
        <v>42957</v>
      </c>
      <c r="E114" s="136">
        <v>69120</v>
      </c>
      <c r="F114" s="136" t="s">
        <v>14</v>
      </c>
      <c r="G114" s="140" t="s">
        <v>11</v>
      </c>
      <c r="H114" s="136" t="s">
        <v>12</v>
      </c>
      <c r="J114" s="139">
        <v>28</v>
      </c>
      <c r="K114" s="138">
        <v>54000</v>
      </c>
      <c r="L114" s="136">
        <v>0</v>
      </c>
      <c r="M114" s="136">
        <f t="shared" ref="M114" si="51">+J114/100*K114/2</f>
        <v>7560.0000000000009</v>
      </c>
      <c r="N114" s="136">
        <f t="shared" ref="N114" si="52">+J114/100*K114/2</f>
        <v>7560.0000000000009</v>
      </c>
      <c r="O114" s="136">
        <v>0</v>
      </c>
      <c r="P114" s="175">
        <v>85129000</v>
      </c>
      <c r="Q114" s="137" t="s">
        <v>22</v>
      </c>
      <c r="R114" s="136" t="s">
        <v>13</v>
      </c>
      <c r="S114" s="136">
        <v>2160</v>
      </c>
      <c r="T114" s="136">
        <v>2160</v>
      </c>
      <c r="U114" s="136">
        <f t="shared" si="28"/>
        <v>0</v>
      </c>
      <c r="V114" s="136">
        <v>2160</v>
      </c>
    </row>
    <row r="115" spans="1:22" x14ac:dyDescent="0.3">
      <c r="A115" s="136" t="s">
        <v>6</v>
      </c>
      <c r="B115" s="136" t="s">
        <v>5</v>
      </c>
      <c r="C115" s="136" t="s">
        <v>575</v>
      </c>
      <c r="D115" s="143">
        <v>42957</v>
      </c>
      <c r="E115" s="136">
        <v>10287.36</v>
      </c>
      <c r="F115" s="136" t="s">
        <v>14</v>
      </c>
      <c r="G115" s="140" t="s">
        <v>11</v>
      </c>
      <c r="H115" s="136" t="s">
        <v>12</v>
      </c>
      <c r="J115" s="139">
        <v>28</v>
      </c>
      <c r="K115" s="138">
        <v>8037</v>
      </c>
      <c r="L115" s="136">
        <v>0</v>
      </c>
      <c r="M115" s="136">
        <f>+J115/100*K115/2</f>
        <v>1125.18</v>
      </c>
      <c r="N115" s="136">
        <f>+J115/100*K115/2</f>
        <v>1125.18</v>
      </c>
      <c r="O115" s="136">
        <v>0</v>
      </c>
      <c r="P115" s="175">
        <v>87141090</v>
      </c>
      <c r="Q115" s="137" t="s">
        <v>22</v>
      </c>
      <c r="R115" s="136" t="s">
        <v>13</v>
      </c>
      <c r="S115" s="136">
        <v>228</v>
      </c>
      <c r="T115" s="136">
        <v>228</v>
      </c>
      <c r="U115" s="136">
        <f t="shared" si="28"/>
        <v>0</v>
      </c>
      <c r="V115" s="136">
        <v>228</v>
      </c>
    </row>
    <row r="116" spans="1:22" x14ac:dyDescent="0.3">
      <c r="A116" s="136" t="s">
        <v>6</v>
      </c>
      <c r="B116" s="136" t="s">
        <v>5</v>
      </c>
      <c r="C116" s="136" t="s">
        <v>576</v>
      </c>
      <c r="D116" s="143">
        <v>42957</v>
      </c>
      <c r="E116" s="136">
        <v>26754.720000000001</v>
      </c>
      <c r="F116" s="136" t="s">
        <v>14</v>
      </c>
      <c r="G116" s="140" t="s">
        <v>11</v>
      </c>
      <c r="H116" s="136" t="s">
        <v>12</v>
      </c>
      <c r="J116" s="139">
        <v>28</v>
      </c>
      <c r="K116" s="138">
        <v>20902.14</v>
      </c>
      <c r="L116" s="136">
        <v>0</v>
      </c>
      <c r="M116" s="136">
        <f>+J116/100*K116/2-0.01</f>
        <v>2926.2896000000001</v>
      </c>
      <c r="N116" s="136">
        <f>+J116/100*K116/2-0.01</f>
        <v>2926.2896000000001</v>
      </c>
      <c r="O116" s="136">
        <v>0</v>
      </c>
      <c r="P116" s="175">
        <v>87081090</v>
      </c>
      <c r="Q116" s="137" t="s">
        <v>22</v>
      </c>
      <c r="R116" s="136" t="s">
        <v>13</v>
      </c>
      <c r="S116" s="136">
        <v>252</v>
      </c>
      <c r="T116" s="136">
        <v>252</v>
      </c>
      <c r="U116" s="136">
        <f t="shared" si="28"/>
        <v>0</v>
      </c>
      <c r="V116" s="136">
        <v>252</v>
      </c>
    </row>
    <row r="117" spans="1:22" x14ac:dyDescent="0.3">
      <c r="A117" s="136" t="s">
        <v>253</v>
      </c>
      <c r="B117" s="136" t="s">
        <v>252</v>
      </c>
      <c r="C117" s="136" t="s">
        <v>577</v>
      </c>
      <c r="D117" s="143">
        <v>42957</v>
      </c>
      <c r="E117" s="136">
        <v>3068.53</v>
      </c>
      <c r="F117" s="136" t="s">
        <v>14</v>
      </c>
      <c r="G117" s="140" t="s">
        <v>11</v>
      </c>
      <c r="H117" s="136" t="s">
        <v>12</v>
      </c>
      <c r="J117" s="139">
        <v>18</v>
      </c>
      <c r="K117" s="138">
        <v>2600.4499999999998</v>
      </c>
      <c r="L117" s="136">
        <v>0</v>
      </c>
      <c r="M117" s="136">
        <f t="shared" ref="M117" si="53">+J117/100*K117/2</f>
        <v>234.04049999999998</v>
      </c>
      <c r="N117" s="136">
        <f t="shared" ref="N117" si="54">+J117/100*K117/2</f>
        <v>234.04049999999998</v>
      </c>
      <c r="O117" s="136">
        <v>0</v>
      </c>
      <c r="P117" s="175">
        <v>998898</v>
      </c>
      <c r="Q117" s="137" t="s">
        <v>22</v>
      </c>
      <c r="R117" s="136" t="s">
        <v>13</v>
      </c>
      <c r="S117" s="136">
        <v>0</v>
      </c>
      <c r="T117" s="136">
        <v>0</v>
      </c>
      <c r="U117" s="136">
        <f t="shared" si="28"/>
        <v>0</v>
      </c>
      <c r="V117" s="136">
        <v>5</v>
      </c>
    </row>
    <row r="118" spans="1:22" x14ac:dyDescent="0.3">
      <c r="A118" s="136" t="s">
        <v>6</v>
      </c>
      <c r="B118" s="136" t="s">
        <v>5</v>
      </c>
      <c r="C118" s="136" t="s">
        <v>578</v>
      </c>
      <c r="D118" s="143">
        <v>42957</v>
      </c>
      <c r="E118" s="136">
        <v>13109.76</v>
      </c>
      <c r="F118" s="136" t="s">
        <v>14</v>
      </c>
      <c r="G118" s="140" t="s">
        <v>11</v>
      </c>
      <c r="H118" s="136" t="s">
        <v>12</v>
      </c>
      <c r="J118" s="139">
        <v>28</v>
      </c>
      <c r="K118" s="138">
        <v>10242</v>
      </c>
      <c r="L118" s="136">
        <v>0</v>
      </c>
      <c r="M118" s="136">
        <f>+J118/100*K118/2</f>
        <v>1433.88</v>
      </c>
      <c r="N118" s="136">
        <f>+J118/100*K118/2</f>
        <v>1433.88</v>
      </c>
      <c r="O118" s="136">
        <v>0</v>
      </c>
      <c r="P118" s="175">
        <v>87141090</v>
      </c>
      <c r="Q118" s="137" t="s">
        <v>22</v>
      </c>
      <c r="R118" s="136" t="s">
        <v>13</v>
      </c>
      <c r="S118" s="136">
        <v>168</v>
      </c>
      <c r="T118" s="136">
        <v>168</v>
      </c>
      <c r="U118" s="136">
        <f t="shared" si="28"/>
        <v>0</v>
      </c>
      <c r="V118" s="136">
        <v>168</v>
      </c>
    </row>
    <row r="119" spans="1:22" x14ac:dyDescent="0.3">
      <c r="A119" s="136" t="s">
        <v>6</v>
      </c>
      <c r="B119" s="136" t="s">
        <v>5</v>
      </c>
      <c r="C119" s="136" t="s">
        <v>579</v>
      </c>
      <c r="D119" s="143">
        <v>42957</v>
      </c>
      <c r="E119" s="136">
        <v>31850.880000000001</v>
      </c>
      <c r="F119" s="136" t="s">
        <v>14</v>
      </c>
      <c r="G119" s="140" t="s">
        <v>11</v>
      </c>
      <c r="H119" s="136" t="s">
        <v>12</v>
      </c>
      <c r="J119" s="139">
        <v>28</v>
      </c>
      <c r="K119" s="138">
        <v>24883.5</v>
      </c>
      <c r="L119" s="136">
        <v>0</v>
      </c>
      <c r="M119" s="136">
        <f>+J119/100*K119/2</f>
        <v>3483.6900000000005</v>
      </c>
      <c r="N119" s="136">
        <f>+J119/100*K119/2</f>
        <v>3483.6900000000005</v>
      </c>
      <c r="O119" s="136">
        <v>0</v>
      </c>
      <c r="P119" s="175">
        <v>87081090</v>
      </c>
      <c r="Q119" s="137" t="s">
        <v>22</v>
      </c>
      <c r="R119" s="136" t="s">
        <v>13</v>
      </c>
      <c r="S119" s="136">
        <v>300</v>
      </c>
      <c r="T119" s="136">
        <v>300</v>
      </c>
      <c r="U119" s="136">
        <f t="shared" si="28"/>
        <v>0</v>
      </c>
      <c r="V119" s="136">
        <v>300</v>
      </c>
    </row>
    <row r="120" spans="1:22" x14ac:dyDescent="0.3">
      <c r="A120" s="136" t="s">
        <v>6</v>
      </c>
      <c r="B120" s="136" t="s">
        <v>5</v>
      </c>
      <c r="C120" s="136" t="s">
        <v>580</v>
      </c>
      <c r="D120" s="143">
        <v>42957</v>
      </c>
      <c r="E120" s="136">
        <v>48413.32</v>
      </c>
      <c r="F120" s="136" t="s">
        <v>14</v>
      </c>
      <c r="G120" s="140" t="s">
        <v>11</v>
      </c>
      <c r="H120" s="136" t="s">
        <v>12</v>
      </c>
      <c r="J120" s="139">
        <v>28</v>
      </c>
      <c r="K120" s="138">
        <v>37822.92</v>
      </c>
      <c r="L120" s="136">
        <v>0</v>
      </c>
      <c r="M120" s="136">
        <f>+J120/100*K120/2-0.01</f>
        <v>5295.1988000000001</v>
      </c>
      <c r="N120" s="136">
        <f>+J120/100*K120/2-0.01</f>
        <v>5295.1988000000001</v>
      </c>
      <c r="O120" s="136">
        <v>0</v>
      </c>
      <c r="P120" s="175">
        <v>87081090</v>
      </c>
      <c r="Q120" s="137" t="s">
        <v>22</v>
      </c>
      <c r="R120" s="136" t="s">
        <v>13</v>
      </c>
      <c r="S120" s="136">
        <v>456</v>
      </c>
      <c r="T120" s="136">
        <v>456</v>
      </c>
      <c r="U120" s="136">
        <f t="shared" si="28"/>
        <v>0</v>
      </c>
      <c r="V120" s="136">
        <v>456</v>
      </c>
    </row>
    <row r="121" spans="1:22" x14ac:dyDescent="0.3">
      <c r="A121" s="136" t="s">
        <v>246</v>
      </c>
      <c r="B121" s="136" t="s">
        <v>245</v>
      </c>
      <c r="C121" s="136" t="s">
        <v>581</v>
      </c>
      <c r="D121" s="143">
        <v>42958</v>
      </c>
      <c r="E121" s="136">
        <v>54025.22</v>
      </c>
      <c r="F121" s="136" t="s">
        <v>14</v>
      </c>
      <c r="G121" s="140" t="s">
        <v>11</v>
      </c>
      <c r="H121" s="136" t="s">
        <v>12</v>
      </c>
      <c r="J121" s="139">
        <v>28</v>
      </c>
      <c r="K121" s="138">
        <v>42207.199999999997</v>
      </c>
      <c r="L121" s="136">
        <v>0</v>
      </c>
      <c r="M121" s="136">
        <f t="shared" ref="M121" si="55">+J121/100*K121/2</f>
        <v>5909.0079999999998</v>
      </c>
      <c r="N121" s="136">
        <f t="shared" ref="N121" si="56">+J121/100*K121/2</f>
        <v>5909.0079999999998</v>
      </c>
      <c r="O121" s="136">
        <v>0</v>
      </c>
      <c r="P121" s="175">
        <v>87141090</v>
      </c>
      <c r="Q121" s="137" t="s">
        <v>22</v>
      </c>
      <c r="R121" s="136" t="s">
        <v>13</v>
      </c>
      <c r="S121" s="136">
        <v>560</v>
      </c>
      <c r="T121" s="136">
        <v>560</v>
      </c>
      <c r="U121" s="136">
        <f t="shared" si="28"/>
        <v>0</v>
      </c>
      <c r="V121" s="136">
        <v>560</v>
      </c>
    </row>
    <row r="122" spans="1:22" x14ac:dyDescent="0.3">
      <c r="A122" s="136" t="s">
        <v>6</v>
      </c>
      <c r="B122" s="136" t="s">
        <v>5</v>
      </c>
      <c r="C122" s="136" t="s">
        <v>582</v>
      </c>
      <c r="D122" s="143">
        <v>42958</v>
      </c>
      <c r="E122" s="136">
        <v>50961.4</v>
      </c>
      <c r="F122" s="136" t="s">
        <v>14</v>
      </c>
      <c r="G122" s="140" t="s">
        <v>11</v>
      </c>
      <c r="H122" s="136" t="s">
        <v>12</v>
      </c>
      <c r="J122" s="139">
        <v>28</v>
      </c>
      <c r="K122" s="138">
        <v>39813.599999999999</v>
      </c>
      <c r="L122" s="136">
        <v>0</v>
      </c>
      <c r="M122" s="136">
        <f>+J122/100*K122/2</f>
        <v>5573.9040000000005</v>
      </c>
      <c r="N122" s="136">
        <f>+J122/100*K122/2</f>
        <v>5573.9040000000005</v>
      </c>
      <c r="O122" s="136">
        <v>0</v>
      </c>
      <c r="P122" s="175">
        <v>87081090</v>
      </c>
      <c r="Q122" s="137" t="s">
        <v>22</v>
      </c>
      <c r="R122" s="136" t="s">
        <v>13</v>
      </c>
      <c r="S122" s="136">
        <v>480</v>
      </c>
      <c r="T122" s="136">
        <v>480</v>
      </c>
      <c r="U122" s="136">
        <f t="shared" si="28"/>
        <v>0</v>
      </c>
      <c r="V122" s="136">
        <v>480</v>
      </c>
    </row>
    <row r="123" spans="1:22" x14ac:dyDescent="0.3">
      <c r="A123" s="136" t="s">
        <v>180</v>
      </c>
      <c r="B123" s="136" t="s">
        <v>360</v>
      </c>
      <c r="C123" s="136" t="s">
        <v>583</v>
      </c>
      <c r="D123" s="143">
        <v>42958</v>
      </c>
      <c r="E123" s="136">
        <v>21096.959999999999</v>
      </c>
      <c r="F123" s="136" t="s">
        <v>14</v>
      </c>
      <c r="G123" s="140" t="s">
        <v>11</v>
      </c>
      <c r="H123" s="136" t="s">
        <v>12</v>
      </c>
      <c r="J123" s="139">
        <v>28</v>
      </c>
      <c r="K123" s="138">
        <v>16482</v>
      </c>
      <c r="L123" s="136">
        <v>0</v>
      </c>
      <c r="M123" s="136">
        <f>+J123/100*K123/2</f>
        <v>2307.48</v>
      </c>
      <c r="N123" s="136">
        <f>+J123/100*K123/2</f>
        <v>2307.48</v>
      </c>
      <c r="O123" s="136">
        <v>0</v>
      </c>
      <c r="P123" s="175">
        <v>87089900</v>
      </c>
      <c r="Q123" s="137" t="s">
        <v>22</v>
      </c>
      <c r="R123" s="136" t="s">
        <v>13</v>
      </c>
      <c r="S123" s="136">
        <v>200</v>
      </c>
      <c r="T123" s="136">
        <v>200</v>
      </c>
      <c r="U123" s="136">
        <f t="shared" si="28"/>
        <v>0</v>
      </c>
      <c r="V123" s="136">
        <v>200</v>
      </c>
    </row>
    <row r="124" spans="1:22" x14ac:dyDescent="0.3">
      <c r="A124" s="136" t="s">
        <v>253</v>
      </c>
      <c r="B124" s="136" t="s">
        <v>252</v>
      </c>
      <c r="C124" s="136" t="s">
        <v>584</v>
      </c>
      <c r="D124" s="143">
        <v>42958</v>
      </c>
      <c r="E124" s="136">
        <v>7066.12</v>
      </c>
      <c r="F124" s="136" t="s">
        <v>14</v>
      </c>
      <c r="G124" s="140" t="s">
        <v>11</v>
      </c>
      <c r="H124" s="136" t="s">
        <v>12</v>
      </c>
      <c r="J124" s="139">
        <v>18</v>
      </c>
      <c r="K124" s="138">
        <v>5988.24</v>
      </c>
      <c r="L124" s="136">
        <v>0</v>
      </c>
      <c r="M124" s="136">
        <f t="shared" ref="M124:M126" si="57">+J124/100*K124/2</f>
        <v>538.94159999999999</v>
      </c>
      <c r="N124" s="136">
        <f t="shared" ref="N124:N126" si="58">+J124/100*K124/2</f>
        <v>538.94159999999999</v>
      </c>
      <c r="O124" s="136">
        <v>0</v>
      </c>
      <c r="P124" s="175">
        <v>998898</v>
      </c>
      <c r="Q124" s="137" t="s">
        <v>22</v>
      </c>
      <c r="R124" s="136" t="s">
        <v>13</v>
      </c>
      <c r="S124" s="136">
        <v>12</v>
      </c>
      <c r="T124" s="136">
        <v>12</v>
      </c>
      <c r="U124" s="136">
        <f t="shared" si="28"/>
        <v>0</v>
      </c>
      <c r="V124" s="136">
        <v>12</v>
      </c>
    </row>
    <row r="125" spans="1:22" x14ac:dyDescent="0.3">
      <c r="A125" s="136" t="s">
        <v>179</v>
      </c>
      <c r="B125" s="136" t="s">
        <v>178</v>
      </c>
      <c r="C125" s="136" t="s">
        <v>585</v>
      </c>
      <c r="D125" s="143">
        <v>42958</v>
      </c>
      <c r="E125" s="136">
        <v>48367.88</v>
      </c>
      <c r="F125" s="136" t="s">
        <v>14</v>
      </c>
      <c r="G125" s="140" t="s">
        <v>11</v>
      </c>
      <c r="H125" s="136" t="s">
        <v>12</v>
      </c>
      <c r="J125" s="139">
        <v>28</v>
      </c>
      <c r="K125" s="138">
        <v>37787.4</v>
      </c>
      <c r="L125" s="136">
        <v>0</v>
      </c>
      <c r="M125" s="136">
        <f t="shared" si="57"/>
        <v>5290.2360000000008</v>
      </c>
      <c r="N125" s="136">
        <f t="shared" si="58"/>
        <v>5290.2360000000008</v>
      </c>
      <c r="O125" s="136">
        <v>0</v>
      </c>
      <c r="P125" s="175">
        <v>85129000</v>
      </c>
      <c r="Q125" s="137" t="s">
        <v>22</v>
      </c>
      <c r="R125" s="136" t="s">
        <v>13</v>
      </c>
      <c r="S125" s="136">
        <v>630</v>
      </c>
      <c r="T125" s="136">
        <v>630</v>
      </c>
      <c r="U125" s="136">
        <f t="shared" si="28"/>
        <v>0</v>
      </c>
      <c r="V125" s="136">
        <v>630</v>
      </c>
    </row>
    <row r="126" spans="1:22" x14ac:dyDescent="0.3">
      <c r="A126" s="136" t="s">
        <v>186</v>
      </c>
      <c r="B126" s="136" t="s">
        <v>187</v>
      </c>
      <c r="C126" s="136" t="s">
        <v>586</v>
      </c>
      <c r="D126" s="143">
        <v>42958</v>
      </c>
      <c r="E126" s="136">
        <v>76800</v>
      </c>
      <c r="F126" s="136" t="s">
        <v>14</v>
      </c>
      <c r="G126" s="140" t="s">
        <v>11</v>
      </c>
      <c r="H126" s="136" t="s">
        <v>12</v>
      </c>
      <c r="J126" s="139">
        <v>28</v>
      </c>
      <c r="K126" s="138">
        <v>60000</v>
      </c>
      <c r="L126" s="136">
        <v>0</v>
      </c>
      <c r="M126" s="136">
        <f t="shared" si="57"/>
        <v>8400</v>
      </c>
      <c r="N126" s="136">
        <f t="shared" si="58"/>
        <v>8400</v>
      </c>
      <c r="O126" s="136">
        <v>0</v>
      </c>
      <c r="P126" s="175">
        <v>85129000</v>
      </c>
      <c r="Q126" s="137" t="s">
        <v>22</v>
      </c>
      <c r="R126" s="136" t="s">
        <v>13</v>
      </c>
      <c r="S126" s="136">
        <v>2400</v>
      </c>
      <c r="T126" s="136">
        <v>2400</v>
      </c>
      <c r="U126" s="136">
        <f t="shared" si="28"/>
        <v>0</v>
      </c>
      <c r="V126" s="136">
        <v>2400</v>
      </c>
    </row>
    <row r="127" spans="1:22" x14ac:dyDescent="0.3">
      <c r="A127" s="136" t="s">
        <v>6</v>
      </c>
      <c r="B127" s="136" t="s">
        <v>5</v>
      </c>
      <c r="C127" s="136" t="s">
        <v>587</v>
      </c>
      <c r="D127" s="143">
        <v>42958</v>
      </c>
      <c r="E127" s="136">
        <v>63701.760000000002</v>
      </c>
      <c r="F127" s="136" t="s">
        <v>14</v>
      </c>
      <c r="G127" s="140" t="s">
        <v>11</v>
      </c>
      <c r="H127" s="136" t="s">
        <v>12</v>
      </c>
      <c r="J127" s="139">
        <v>28</v>
      </c>
      <c r="K127" s="138">
        <v>49767</v>
      </c>
      <c r="L127" s="136">
        <v>0</v>
      </c>
      <c r="M127" s="136">
        <f>+J127/100*K127/2</f>
        <v>6967.380000000001</v>
      </c>
      <c r="N127" s="136">
        <f>+J127/100*K127/2</f>
        <v>6967.380000000001</v>
      </c>
      <c r="O127" s="136">
        <v>0</v>
      </c>
      <c r="P127" s="175">
        <v>87081090</v>
      </c>
      <c r="Q127" s="137" t="s">
        <v>22</v>
      </c>
      <c r="R127" s="136" t="s">
        <v>13</v>
      </c>
      <c r="S127" s="136">
        <v>600</v>
      </c>
      <c r="T127" s="136">
        <v>600</v>
      </c>
      <c r="U127" s="136">
        <f t="shared" si="28"/>
        <v>0</v>
      </c>
      <c r="V127" s="136">
        <v>600</v>
      </c>
    </row>
    <row r="128" spans="1:22" x14ac:dyDescent="0.3">
      <c r="A128" s="136" t="s">
        <v>6</v>
      </c>
      <c r="B128" s="136" t="s">
        <v>5</v>
      </c>
      <c r="C128" s="136" t="s">
        <v>588</v>
      </c>
      <c r="D128" s="143">
        <v>42958</v>
      </c>
      <c r="E128" s="136">
        <v>47450.879999999997</v>
      </c>
      <c r="F128" s="136" t="s">
        <v>14</v>
      </c>
      <c r="G128" s="140" t="s">
        <v>11</v>
      </c>
      <c r="H128" s="136" t="s">
        <v>12</v>
      </c>
      <c r="J128" s="139">
        <v>28</v>
      </c>
      <c r="K128" s="138">
        <v>37071</v>
      </c>
      <c r="L128" s="136">
        <v>0</v>
      </c>
      <c r="M128" s="136">
        <f>+J128/100*K128/2</f>
        <v>5189.9400000000005</v>
      </c>
      <c r="N128" s="136">
        <f>+J128/100*K128/2</f>
        <v>5189.9400000000005</v>
      </c>
      <c r="O128" s="136">
        <v>0</v>
      </c>
      <c r="P128" s="175">
        <v>87141090</v>
      </c>
      <c r="Q128" s="137" t="s">
        <v>22</v>
      </c>
      <c r="R128" s="136" t="s">
        <v>13</v>
      </c>
      <c r="S128" s="136">
        <v>684</v>
      </c>
      <c r="T128" s="136">
        <v>684</v>
      </c>
      <c r="U128" s="136">
        <f t="shared" si="28"/>
        <v>0</v>
      </c>
      <c r="V128" s="136">
        <v>684</v>
      </c>
    </row>
    <row r="129" spans="1:22" x14ac:dyDescent="0.3">
      <c r="A129" s="136" t="s">
        <v>253</v>
      </c>
      <c r="B129" s="136" t="s">
        <v>252</v>
      </c>
      <c r="C129" s="136" t="s">
        <v>589</v>
      </c>
      <c r="D129" s="143">
        <v>42958</v>
      </c>
      <c r="E129" s="136">
        <v>7364.48</v>
      </c>
      <c r="F129" s="136" t="s">
        <v>14</v>
      </c>
      <c r="G129" s="140" t="s">
        <v>11</v>
      </c>
      <c r="H129" s="136" t="s">
        <v>12</v>
      </c>
      <c r="J129" s="139">
        <v>18</v>
      </c>
      <c r="K129" s="138">
        <v>6241.08</v>
      </c>
      <c r="L129" s="136">
        <v>0</v>
      </c>
      <c r="M129" s="136">
        <f t="shared" ref="M129" si="59">+J129/100*K129/2</f>
        <v>561.69719999999995</v>
      </c>
      <c r="N129" s="136">
        <f t="shared" ref="N129" si="60">+J129/100*K129/2</f>
        <v>561.69719999999995</v>
      </c>
      <c r="O129" s="136">
        <v>0</v>
      </c>
      <c r="P129" s="175">
        <v>998898</v>
      </c>
      <c r="Q129" s="137" t="s">
        <v>22</v>
      </c>
      <c r="R129" s="136" t="s">
        <v>13</v>
      </c>
      <c r="S129" s="136">
        <v>12</v>
      </c>
      <c r="T129" s="136">
        <v>12</v>
      </c>
      <c r="U129" s="136">
        <f t="shared" si="28"/>
        <v>0</v>
      </c>
      <c r="V129" s="136">
        <v>12</v>
      </c>
    </row>
    <row r="130" spans="1:22" x14ac:dyDescent="0.3">
      <c r="A130" s="136" t="s">
        <v>6</v>
      </c>
      <c r="B130" s="136" t="s">
        <v>5</v>
      </c>
      <c r="C130" s="136" t="s">
        <v>590</v>
      </c>
      <c r="D130" s="143">
        <v>42958</v>
      </c>
      <c r="E130" s="136">
        <v>8862.34</v>
      </c>
      <c r="F130" s="136" t="s">
        <v>14</v>
      </c>
      <c r="G130" s="140" t="s">
        <v>11</v>
      </c>
      <c r="H130" s="136" t="s">
        <v>12</v>
      </c>
      <c r="J130" s="139">
        <v>28</v>
      </c>
      <c r="K130" s="138">
        <v>6923.7</v>
      </c>
      <c r="L130" s="136">
        <v>0</v>
      </c>
      <c r="M130" s="136">
        <f>+J130/100*K130/2</f>
        <v>969.3180000000001</v>
      </c>
      <c r="N130" s="136">
        <f>+J130/100*K130/2</f>
        <v>969.3180000000001</v>
      </c>
      <c r="O130" s="136">
        <v>0</v>
      </c>
      <c r="P130" s="175">
        <v>87081090</v>
      </c>
      <c r="Q130" s="137" t="s">
        <v>22</v>
      </c>
      <c r="R130" s="136" t="s">
        <v>13</v>
      </c>
      <c r="S130" s="136">
        <v>84</v>
      </c>
      <c r="T130" s="136">
        <v>84</v>
      </c>
      <c r="U130" s="136">
        <f t="shared" si="28"/>
        <v>0</v>
      </c>
      <c r="V130" s="136">
        <v>84</v>
      </c>
    </row>
    <row r="131" spans="1:22" x14ac:dyDescent="0.3">
      <c r="A131" s="136" t="s">
        <v>6</v>
      </c>
      <c r="B131" s="136" t="s">
        <v>5</v>
      </c>
      <c r="C131" s="136" t="s">
        <v>591</v>
      </c>
      <c r="D131" s="143">
        <v>42959</v>
      </c>
      <c r="E131" s="136">
        <v>44591.24</v>
      </c>
      <c r="F131" s="136" t="s">
        <v>14</v>
      </c>
      <c r="G131" s="140" t="s">
        <v>11</v>
      </c>
      <c r="H131" s="136" t="s">
        <v>12</v>
      </c>
      <c r="J131" s="139">
        <v>28</v>
      </c>
      <c r="K131" s="138">
        <v>34836.9</v>
      </c>
      <c r="L131" s="136">
        <v>0</v>
      </c>
      <c r="M131" s="136">
        <f>+J131/100*K131/2</f>
        <v>4877.1660000000011</v>
      </c>
      <c r="N131" s="136">
        <f>+J131/100*K131/2</f>
        <v>4877.1660000000011</v>
      </c>
      <c r="O131" s="136">
        <v>0</v>
      </c>
      <c r="P131" s="175">
        <v>87081090</v>
      </c>
      <c r="Q131" s="137" t="s">
        <v>22</v>
      </c>
      <c r="R131" s="136" t="s">
        <v>13</v>
      </c>
      <c r="S131" s="136">
        <v>420</v>
      </c>
      <c r="T131" s="136">
        <v>420</v>
      </c>
      <c r="U131" s="136">
        <f t="shared" si="28"/>
        <v>0</v>
      </c>
      <c r="V131" s="136">
        <v>420</v>
      </c>
    </row>
    <row r="132" spans="1:22" x14ac:dyDescent="0.3">
      <c r="A132" s="136" t="s">
        <v>251</v>
      </c>
      <c r="B132" s="136" t="s">
        <v>250</v>
      </c>
      <c r="C132" s="136" t="s">
        <v>592</v>
      </c>
      <c r="D132" s="143">
        <v>42959</v>
      </c>
      <c r="E132" s="136">
        <v>6962</v>
      </c>
      <c r="F132" s="136" t="s">
        <v>14</v>
      </c>
      <c r="G132" s="140" t="s">
        <v>11</v>
      </c>
      <c r="H132" s="136" t="s">
        <v>12</v>
      </c>
      <c r="J132" s="139">
        <v>18</v>
      </c>
      <c r="K132" s="138">
        <v>5900</v>
      </c>
      <c r="L132" s="136">
        <v>0</v>
      </c>
      <c r="M132" s="136">
        <f t="shared" ref="M132:M134" si="61">+J132/100*K132/2</f>
        <v>531</v>
      </c>
      <c r="N132" s="136">
        <f t="shared" ref="N132:N134" si="62">+J132/100*K132/2</f>
        <v>531</v>
      </c>
      <c r="O132" s="136">
        <v>0</v>
      </c>
      <c r="P132" s="175">
        <v>998873</v>
      </c>
      <c r="Q132" s="137" t="s">
        <v>22</v>
      </c>
      <c r="R132" s="136" t="s">
        <v>13</v>
      </c>
      <c r="S132" s="136">
        <v>0</v>
      </c>
      <c r="T132" s="136">
        <v>0</v>
      </c>
      <c r="U132" s="136">
        <f t="shared" si="28"/>
        <v>0</v>
      </c>
      <c r="V132" s="136">
        <v>200</v>
      </c>
    </row>
    <row r="133" spans="1:22" x14ac:dyDescent="0.3">
      <c r="A133" s="136" t="s">
        <v>251</v>
      </c>
      <c r="B133" s="136" t="s">
        <v>250</v>
      </c>
      <c r="C133" s="136" t="s">
        <v>593</v>
      </c>
      <c r="D133" s="143">
        <v>42959</v>
      </c>
      <c r="E133" s="136">
        <v>6962</v>
      </c>
      <c r="F133" s="136" t="s">
        <v>14</v>
      </c>
      <c r="G133" s="140" t="s">
        <v>11</v>
      </c>
      <c r="H133" s="136" t="s">
        <v>12</v>
      </c>
      <c r="J133" s="139">
        <v>18</v>
      </c>
      <c r="K133" s="138">
        <v>5900</v>
      </c>
      <c r="L133" s="136">
        <v>0</v>
      </c>
      <c r="M133" s="136">
        <f t="shared" si="61"/>
        <v>531</v>
      </c>
      <c r="N133" s="136">
        <f t="shared" si="62"/>
        <v>531</v>
      </c>
      <c r="O133" s="136">
        <v>0</v>
      </c>
      <c r="P133" s="175">
        <v>998873</v>
      </c>
      <c r="Q133" s="137" t="s">
        <v>22</v>
      </c>
      <c r="R133" s="136" t="s">
        <v>13</v>
      </c>
      <c r="S133" s="136">
        <v>0</v>
      </c>
      <c r="T133" s="136">
        <v>0</v>
      </c>
      <c r="U133" s="136">
        <f t="shared" si="28"/>
        <v>0</v>
      </c>
      <c r="V133" s="136">
        <v>200</v>
      </c>
    </row>
    <row r="134" spans="1:22" x14ac:dyDescent="0.3">
      <c r="A134" s="136" t="s">
        <v>186</v>
      </c>
      <c r="B134" s="136" t="s">
        <v>187</v>
      </c>
      <c r="C134" s="136" t="s">
        <v>594</v>
      </c>
      <c r="D134" s="143">
        <v>42959</v>
      </c>
      <c r="E134" s="136">
        <v>92160</v>
      </c>
      <c r="F134" s="136" t="s">
        <v>14</v>
      </c>
      <c r="G134" s="140" t="s">
        <v>11</v>
      </c>
      <c r="H134" s="136" t="s">
        <v>12</v>
      </c>
      <c r="J134" s="139">
        <v>28</v>
      </c>
      <c r="K134" s="138">
        <v>72000</v>
      </c>
      <c r="L134" s="136">
        <v>0</v>
      </c>
      <c r="M134" s="136">
        <f t="shared" si="61"/>
        <v>10080.000000000002</v>
      </c>
      <c r="N134" s="136">
        <f t="shared" si="62"/>
        <v>10080.000000000002</v>
      </c>
      <c r="O134" s="136">
        <v>0</v>
      </c>
      <c r="P134" s="175">
        <v>85129000</v>
      </c>
      <c r="Q134" s="137" t="s">
        <v>22</v>
      </c>
      <c r="R134" s="136" t="s">
        <v>13</v>
      </c>
      <c r="S134" s="136">
        <v>2880</v>
      </c>
      <c r="T134" s="136">
        <v>2880</v>
      </c>
      <c r="U134" s="136">
        <f t="shared" si="28"/>
        <v>0</v>
      </c>
      <c r="V134" s="136">
        <v>2880</v>
      </c>
    </row>
    <row r="135" spans="1:22" x14ac:dyDescent="0.3">
      <c r="A135" s="136" t="s">
        <v>180</v>
      </c>
      <c r="B135" s="136" t="s">
        <v>360</v>
      </c>
      <c r="C135" s="136" t="s">
        <v>595</v>
      </c>
      <c r="D135" s="143">
        <v>42959</v>
      </c>
      <c r="E135" s="136">
        <v>75546.77</v>
      </c>
      <c r="F135" s="136" t="s">
        <v>14</v>
      </c>
      <c r="G135" s="140" t="s">
        <v>11</v>
      </c>
      <c r="H135" s="136" t="s">
        <v>12</v>
      </c>
      <c r="J135" s="139">
        <v>28</v>
      </c>
      <c r="K135" s="138">
        <v>59020.91</v>
      </c>
      <c r="L135" s="136">
        <v>0</v>
      </c>
      <c r="M135" s="136">
        <f>+J135/100*K135/2</f>
        <v>8262.9274000000005</v>
      </c>
      <c r="N135" s="136">
        <f>+J135/100*K135/2</f>
        <v>8262.9274000000005</v>
      </c>
      <c r="O135" s="136">
        <v>0</v>
      </c>
      <c r="P135" s="175">
        <v>87089900</v>
      </c>
      <c r="Q135" s="137" t="s">
        <v>22</v>
      </c>
      <c r="R135" s="136" t="s">
        <v>13</v>
      </c>
      <c r="S135" s="136">
        <v>289</v>
      </c>
      <c r="T135" s="136">
        <v>289</v>
      </c>
      <c r="U135" s="136">
        <f t="shared" si="28"/>
        <v>0</v>
      </c>
      <c r="V135" s="136">
        <v>289</v>
      </c>
    </row>
    <row r="136" spans="1:22" x14ac:dyDescent="0.3">
      <c r="A136" s="136" t="s">
        <v>6</v>
      </c>
      <c r="B136" s="136" t="s">
        <v>5</v>
      </c>
      <c r="C136" s="136" t="s">
        <v>596</v>
      </c>
      <c r="D136" s="143">
        <v>42959</v>
      </c>
      <c r="E136" s="136">
        <v>76442.12</v>
      </c>
      <c r="F136" s="136" t="s">
        <v>14</v>
      </c>
      <c r="G136" s="140" t="s">
        <v>11</v>
      </c>
      <c r="H136" s="136" t="s">
        <v>12</v>
      </c>
      <c r="J136" s="139">
        <v>28</v>
      </c>
      <c r="K136" s="138">
        <v>59720.4</v>
      </c>
      <c r="L136" s="136">
        <v>0</v>
      </c>
      <c r="M136" s="136">
        <f>+J136/100*K136/2</f>
        <v>8360.8560000000016</v>
      </c>
      <c r="N136" s="136">
        <f>+J136/100*K136/2</f>
        <v>8360.8560000000016</v>
      </c>
      <c r="O136" s="136">
        <v>0</v>
      </c>
      <c r="P136" s="175">
        <v>87081090</v>
      </c>
      <c r="Q136" s="137" t="s">
        <v>22</v>
      </c>
      <c r="R136" s="136" t="s">
        <v>13</v>
      </c>
      <c r="S136" s="136">
        <v>720</v>
      </c>
      <c r="T136" s="136">
        <v>720</v>
      </c>
      <c r="U136" s="136">
        <f t="shared" ref="U136:U199" si="63">+S136-T136</f>
        <v>0</v>
      </c>
      <c r="V136" s="136">
        <v>720</v>
      </c>
    </row>
    <row r="137" spans="1:22" x14ac:dyDescent="0.3">
      <c r="A137" s="136" t="s">
        <v>179</v>
      </c>
      <c r="B137" s="136" t="s">
        <v>178</v>
      </c>
      <c r="C137" s="136" t="s">
        <v>597</v>
      </c>
      <c r="D137" s="143">
        <v>42959</v>
      </c>
      <c r="E137" s="136">
        <v>93280.9</v>
      </c>
      <c r="F137" s="136" t="s">
        <v>14</v>
      </c>
      <c r="G137" s="140" t="s">
        <v>11</v>
      </c>
      <c r="H137" s="136" t="s">
        <v>12</v>
      </c>
      <c r="J137" s="139">
        <v>28</v>
      </c>
      <c r="K137" s="138">
        <v>72875.7</v>
      </c>
      <c r="L137" s="136">
        <v>0</v>
      </c>
      <c r="M137" s="136">
        <f t="shared" ref="M137:M138" si="64">+J137/100*K137/2</f>
        <v>10202.598</v>
      </c>
      <c r="N137" s="136">
        <f t="shared" ref="N137:N138" si="65">+J137/100*K137/2</f>
        <v>10202.598</v>
      </c>
      <c r="O137" s="136">
        <v>0</v>
      </c>
      <c r="P137" s="175">
        <v>85129000</v>
      </c>
      <c r="Q137" s="137" t="s">
        <v>22</v>
      </c>
      <c r="R137" s="136" t="s">
        <v>13</v>
      </c>
      <c r="S137" s="136">
        <v>1215</v>
      </c>
      <c r="T137" s="136">
        <v>1215</v>
      </c>
      <c r="U137" s="136">
        <f t="shared" si="63"/>
        <v>0</v>
      </c>
      <c r="V137" s="136">
        <v>1215</v>
      </c>
    </row>
    <row r="138" spans="1:22" x14ac:dyDescent="0.3">
      <c r="A138" s="136" t="s">
        <v>253</v>
      </c>
      <c r="B138" s="136" t="s">
        <v>252</v>
      </c>
      <c r="C138" s="136" t="s">
        <v>598</v>
      </c>
      <c r="D138" s="143">
        <v>42959</v>
      </c>
      <c r="E138" s="136">
        <v>7066.12</v>
      </c>
      <c r="F138" s="136" t="s">
        <v>14</v>
      </c>
      <c r="G138" s="140" t="s">
        <v>11</v>
      </c>
      <c r="H138" s="136" t="s">
        <v>12</v>
      </c>
      <c r="J138" s="139">
        <v>18</v>
      </c>
      <c r="K138" s="138">
        <v>5988.24</v>
      </c>
      <c r="L138" s="136">
        <v>0</v>
      </c>
      <c r="M138" s="136">
        <f t="shared" si="64"/>
        <v>538.94159999999999</v>
      </c>
      <c r="N138" s="136">
        <f t="shared" si="65"/>
        <v>538.94159999999999</v>
      </c>
      <c r="O138" s="136">
        <v>0</v>
      </c>
      <c r="P138" s="175">
        <v>998898</v>
      </c>
      <c r="Q138" s="137" t="s">
        <v>22</v>
      </c>
      <c r="R138" s="136" t="s">
        <v>13</v>
      </c>
      <c r="S138" s="136">
        <v>12</v>
      </c>
      <c r="T138" s="136">
        <v>12</v>
      </c>
      <c r="U138" s="136">
        <f t="shared" si="63"/>
        <v>0</v>
      </c>
      <c r="V138" s="136">
        <v>12</v>
      </c>
    </row>
    <row r="139" spans="1:22" x14ac:dyDescent="0.3">
      <c r="A139" s="136" t="s">
        <v>6</v>
      </c>
      <c r="B139" s="136" t="s">
        <v>5</v>
      </c>
      <c r="C139" s="136" t="s">
        <v>599</v>
      </c>
      <c r="D139" s="143">
        <v>42959</v>
      </c>
      <c r="E139" s="136">
        <v>57331.6</v>
      </c>
      <c r="F139" s="136" t="s">
        <v>14</v>
      </c>
      <c r="G139" s="140" t="s">
        <v>11</v>
      </c>
      <c r="H139" s="136" t="s">
        <v>12</v>
      </c>
      <c r="J139" s="139">
        <v>28</v>
      </c>
      <c r="K139" s="138">
        <v>44790.3</v>
      </c>
      <c r="L139" s="136">
        <v>0</v>
      </c>
      <c r="M139" s="136">
        <f>+J139/100*K139/2+0.01</f>
        <v>6270.652000000001</v>
      </c>
      <c r="N139" s="136">
        <f>+J139/100*K139/2+0.01</f>
        <v>6270.652000000001</v>
      </c>
      <c r="O139" s="136">
        <v>0</v>
      </c>
      <c r="P139" s="175">
        <v>87081090</v>
      </c>
      <c r="Q139" s="137" t="s">
        <v>22</v>
      </c>
      <c r="R139" s="136" t="s">
        <v>13</v>
      </c>
      <c r="S139" s="136">
        <v>540</v>
      </c>
      <c r="T139" s="136">
        <v>540</v>
      </c>
      <c r="U139" s="136">
        <f t="shared" si="63"/>
        <v>0</v>
      </c>
      <c r="V139" s="136">
        <v>540</v>
      </c>
    </row>
    <row r="140" spans="1:22" x14ac:dyDescent="0.3">
      <c r="A140" s="136" t="s">
        <v>253</v>
      </c>
      <c r="B140" s="136" t="s">
        <v>252</v>
      </c>
      <c r="C140" s="136" t="s">
        <v>600</v>
      </c>
      <c r="D140" s="143">
        <v>42959</v>
      </c>
      <c r="E140" s="136">
        <v>7364.48</v>
      </c>
      <c r="F140" s="136" t="s">
        <v>14</v>
      </c>
      <c r="G140" s="140" t="s">
        <v>11</v>
      </c>
      <c r="H140" s="136" t="s">
        <v>12</v>
      </c>
      <c r="J140" s="139">
        <v>18</v>
      </c>
      <c r="K140" s="138">
        <v>6241.08</v>
      </c>
      <c r="L140" s="136">
        <v>0</v>
      </c>
      <c r="M140" s="136">
        <f t="shared" ref="M140" si="66">+J140/100*K140/2</f>
        <v>561.69719999999995</v>
      </c>
      <c r="N140" s="136">
        <f t="shared" ref="N140" si="67">+J140/100*K140/2</f>
        <v>561.69719999999995</v>
      </c>
      <c r="O140" s="136">
        <v>0</v>
      </c>
      <c r="P140" s="175">
        <v>998898</v>
      </c>
      <c r="Q140" s="137" t="s">
        <v>22</v>
      </c>
      <c r="R140" s="136" t="s">
        <v>13</v>
      </c>
      <c r="S140" s="136">
        <v>12</v>
      </c>
      <c r="T140" s="136">
        <v>12</v>
      </c>
      <c r="U140" s="136">
        <f t="shared" si="63"/>
        <v>0</v>
      </c>
      <c r="V140" s="136">
        <v>12</v>
      </c>
    </row>
    <row r="141" spans="1:22" x14ac:dyDescent="0.3">
      <c r="A141" s="136" t="s">
        <v>6</v>
      </c>
      <c r="B141" s="136" t="s">
        <v>5</v>
      </c>
      <c r="C141" s="136" t="s">
        <v>601</v>
      </c>
      <c r="D141" s="143">
        <v>42959</v>
      </c>
      <c r="E141" s="136">
        <v>24771.84</v>
      </c>
      <c r="F141" s="136" t="s">
        <v>14</v>
      </c>
      <c r="G141" s="140" t="s">
        <v>11</v>
      </c>
      <c r="H141" s="136" t="s">
        <v>12</v>
      </c>
      <c r="J141" s="139">
        <v>28</v>
      </c>
      <c r="K141" s="138">
        <v>19353</v>
      </c>
      <c r="L141" s="136">
        <v>0</v>
      </c>
      <c r="M141" s="136">
        <f>+J141/100*K141/2</f>
        <v>2709.42</v>
      </c>
      <c r="N141" s="136">
        <f>+J141/100*K141/2</f>
        <v>2709.42</v>
      </c>
      <c r="O141" s="136">
        <v>0</v>
      </c>
      <c r="P141" s="175">
        <v>87141090</v>
      </c>
      <c r="Q141" s="137" t="s">
        <v>22</v>
      </c>
      <c r="R141" s="136" t="s">
        <v>13</v>
      </c>
      <c r="S141" s="136">
        <v>372</v>
      </c>
      <c r="T141" s="136">
        <v>372</v>
      </c>
      <c r="U141" s="136">
        <f t="shared" si="63"/>
        <v>0</v>
      </c>
      <c r="V141" s="136">
        <v>372</v>
      </c>
    </row>
    <row r="142" spans="1:22" x14ac:dyDescent="0.3">
      <c r="A142" s="136" t="s">
        <v>6</v>
      </c>
      <c r="B142" s="136" t="s">
        <v>5</v>
      </c>
      <c r="C142" s="136" t="s">
        <v>602</v>
      </c>
      <c r="D142" s="143">
        <v>42959</v>
      </c>
      <c r="E142" s="136">
        <v>26587</v>
      </c>
      <c r="F142" s="136" t="s">
        <v>14</v>
      </c>
      <c r="G142" s="140" t="s">
        <v>11</v>
      </c>
      <c r="H142" s="136" t="s">
        <v>12</v>
      </c>
      <c r="J142" s="139">
        <v>28</v>
      </c>
      <c r="K142" s="138">
        <v>20771.099999999999</v>
      </c>
      <c r="L142" s="136">
        <v>0</v>
      </c>
      <c r="M142" s="136">
        <f>+J142/100*K142/2</f>
        <v>2907.9540000000002</v>
      </c>
      <c r="N142" s="136">
        <f>+J142/100*K142/2</f>
        <v>2907.9540000000002</v>
      </c>
      <c r="O142" s="136">
        <v>0</v>
      </c>
      <c r="P142" s="175">
        <v>87081090</v>
      </c>
      <c r="Q142" s="137" t="s">
        <v>22</v>
      </c>
      <c r="R142" s="136" t="s">
        <v>13</v>
      </c>
      <c r="S142" s="136">
        <v>252</v>
      </c>
      <c r="T142" s="136">
        <v>252</v>
      </c>
      <c r="U142" s="136">
        <f t="shared" si="63"/>
        <v>0</v>
      </c>
      <c r="V142" s="136">
        <v>252</v>
      </c>
    </row>
    <row r="143" spans="1:22" x14ac:dyDescent="0.3">
      <c r="A143" s="136" t="s">
        <v>6</v>
      </c>
      <c r="B143" s="136" t="s">
        <v>5</v>
      </c>
      <c r="C143" s="136" t="s">
        <v>603</v>
      </c>
      <c r="D143" s="143">
        <v>42960</v>
      </c>
      <c r="E143" s="136">
        <v>53509.48</v>
      </c>
      <c r="F143" s="136" t="s">
        <v>14</v>
      </c>
      <c r="G143" s="140" t="s">
        <v>11</v>
      </c>
      <c r="H143" s="136" t="s">
        <v>12</v>
      </c>
      <c r="J143" s="139">
        <v>28</v>
      </c>
      <c r="K143" s="138">
        <v>41804.28</v>
      </c>
      <c r="L143" s="136">
        <v>0</v>
      </c>
      <c r="M143" s="136">
        <f>+J143/100*K143/2</f>
        <v>5852.5992000000006</v>
      </c>
      <c r="N143" s="136">
        <f>+J143/100*K143/2</f>
        <v>5852.5992000000006</v>
      </c>
      <c r="O143" s="136">
        <v>0</v>
      </c>
      <c r="P143" s="175">
        <v>87081090</v>
      </c>
      <c r="Q143" s="137" t="s">
        <v>22</v>
      </c>
      <c r="R143" s="136" t="s">
        <v>13</v>
      </c>
      <c r="S143" s="136">
        <v>504</v>
      </c>
      <c r="T143" s="136">
        <v>504</v>
      </c>
      <c r="U143" s="136">
        <f t="shared" si="63"/>
        <v>0</v>
      </c>
      <c r="V143" s="136">
        <v>504</v>
      </c>
    </row>
    <row r="144" spans="1:22" x14ac:dyDescent="0.3">
      <c r="A144" s="136" t="s">
        <v>40</v>
      </c>
      <c r="B144" s="136" t="s">
        <v>39</v>
      </c>
      <c r="C144" s="136" t="s">
        <v>604</v>
      </c>
      <c r="D144" s="143">
        <v>42960</v>
      </c>
      <c r="E144" s="136">
        <v>10058.56</v>
      </c>
      <c r="F144" s="136" t="s">
        <v>14</v>
      </c>
      <c r="G144" s="140" t="s">
        <v>11</v>
      </c>
      <c r="H144" s="136" t="s">
        <v>12</v>
      </c>
      <c r="J144" s="139">
        <v>18</v>
      </c>
      <c r="K144" s="138">
        <v>8524.2000000000007</v>
      </c>
      <c r="L144" s="136">
        <v>0</v>
      </c>
      <c r="M144" s="136">
        <f t="shared" ref="M144" si="68">+J144/100*K144/2</f>
        <v>767.178</v>
      </c>
      <c r="N144" s="136">
        <f t="shared" ref="N144" si="69">+J144/100*K144/2</f>
        <v>767.178</v>
      </c>
      <c r="O144" s="136">
        <v>0</v>
      </c>
      <c r="P144" s="175">
        <v>998898</v>
      </c>
      <c r="Q144" s="137" t="s">
        <v>22</v>
      </c>
      <c r="R144" s="136" t="s">
        <v>13</v>
      </c>
      <c r="S144" s="136">
        <v>0</v>
      </c>
      <c r="T144" s="136">
        <v>0</v>
      </c>
      <c r="U144" s="136">
        <f t="shared" si="63"/>
        <v>0</v>
      </c>
      <c r="V144" s="136">
        <v>30</v>
      </c>
    </row>
    <row r="145" spans="1:22" x14ac:dyDescent="0.3">
      <c r="A145" s="136" t="s">
        <v>180</v>
      </c>
      <c r="B145" s="136" t="s">
        <v>360</v>
      </c>
      <c r="C145" s="136" t="s">
        <v>605</v>
      </c>
      <c r="D145" s="143">
        <v>42960</v>
      </c>
      <c r="E145" s="136">
        <v>44339.199999999997</v>
      </c>
      <c r="F145" s="136" t="s">
        <v>14</v>
      </c>
      <c r="G145" s="140" t="s">
        <v>11</v>
      </c>
      <c r="H145" s="136" t="s">
        <v>12</v>
      </c>
      <c r="J145" s="139">
        <v>28</v>
      </c>
      <c r="K145" s="138">
        <v>34640</v>
      </c>
      <c r="L145" s="136">
        <v>0</v>
      </c>
      <c r="M145" s="136">
        <f>+J145/100*K145/2</f>
        <v>4849.6000000000004</v>
      </c>
      <c r="N145" s="136">
        <f>+J145/100*K145/2</f>
        <v>4849.6000000000004</v>
      </c>
      <c r="O145" s="136">
        <v>0</v>
      </c>
      <c r="P145" s="175">
        <v>87089900</v>
      </c>
      <c r="Q145" s="137" t="s">
        <v>22</v>
      </c>
      <c r="R145" s="136" t="s">
        <v>13</v>
      </c>
      <c r="S145" s="136">
        <v>72</v>
      </c>
      <c r="T145" s="136">
        <v>72</v>
      </c>
      <c r="U145" s="136">
        <f t="shared" si="63"/>
        <v>0</v>
      </c>
      <c r="V145" s="136">
        <v>72</v>
      </c>
    </row>
    <row r="146" spans="1:22" x14ac:dyDescent="0.3">
      <c r="A146" s="136" t="s">
        <v>180</v>
      </c>
      <c r="B146" s="136" t="s">
        <v>360</v>
      </c>
      <c r="C146" s="136" t="s">
        <v>606</v>
      </c>
      <c r="D146" s="143">
        <v>42960</v>
      </c>
      <c r="E146" s="136">
        <v>12697.6</v>
      </c>
      <c r="F146" s="136" t="s">
        <v>14</v>
      </c>
      <c r="G146" s="140" t="s">
        <v>11</v>
      </c>
      <c r="H146" s="136" t="s">
        <v>12</v>
      </c>
      <c r="J146" s="139">
        <v>28</v>
      </c>
      <c r="K146" s="138">
        <v>9920</v>
      </c>
      <c r="L146" s="136">
        <v>0</v>
      </c>
      <c r="M146" s="136">
        <f>+J146/100*K146/2</f>
        <v>1388.8000000000002</v>
      </c>
      <c r="N146" s="136">
        <f>+J146/100*K146/2</f>
        <v>1388.8000000000002</v>
      </c>
      <c r="O146" s="136">
        <v>0</v>
      </c>
      <c r="P146" s="175">
        <v>87089900</v>
      </c>
      <c r="Q146" s="137" t="s">
        <v>22</v>
      </c>
      <c r="R146" s="136" t="s">
        <v>13</v>
      </c>
      <c r="S146" s="136">
        <v>20</v>
      </c>
      <c r="T146" s="136">
        <v>20</v>
      </c>
      <c r="U146" s="136">
        <f t="shared" si="63"/>
        <v>0</v>
      </c>
      <c r="V146" s="136">
        <v>20</v>
      </c>
    </row>
    <row r="147" spans="1:22" x14ac:dyDescent="0.3">
      <c r="A147" s="136" t="s">
        <v>6</v>
      </c>
      <c r="B147" s="136" t="s">
        <v>5</v>
      </c>
      <c r="C147" s="136" t="s">
        <v>607</v>
      </c>
      <c r="D147" s="143">
        <v>42960</v>
      </c>
      <c r="E147" s="136">
        <v>31850.880000000001</v>
      </c>
      <c r="F147" s="136" t="s">
        <v>14</v>
      </c>
      <c r="G147" s="140" t="s">
        <v>11</v>
      </c>
      <c r="H147" s="136" t="s">
        <v>12</v>
      </c>
      <c r="J147" s="139">
        <v>28</v>
      </c>
      <c r="K147" s="138">
        <v>24883.5</v>
      </c>
      <c r="L147" s="136">
        <v>0</v>
      </c>
      <c r="M147" s="136">
        <f>+J147/100*K147/2</f>
        <v>3483.6900000000005</v>
      </c>
      <c r="N147" s="136">
        <f>+J147/100*K147/2</f>
        <v>3483.6900000000005</v>
      </c>
      <c r="O147" s="136">
        <v>0</v>
      </c>
      <c r="P147" s="175">
        <v>87081090</v>
      </c>
      <c r="Q147" s="137" t="s">
        <v>22</v>
      </c>
      <c r="R147" s="136" t="s">
        <v>13</v>
      </c>
      <c r="S147" s="136">
        <v>300</v>
      </c>
      <c r="T147" s="136">
        <v>300</v>
      </c>
      <c r="U147" s="136">
        <f t="shared" si="63"/>
        <v>0</v>
      </c>
      <c r="V147" s="136">
        <v>300</v>
      </c>
    </row>
    <row r="148" spans="1:22" x14ac:dyDescent="0.3">
      <c r="A148" s="136" t="s">
        <v>6</v>
      </c>
      <c r="B148" s="136" t="s">
        <v>5</v>
      </c>
      <c r="C148" s="136" t="s">
        <v>608</v>
      </c>
      <c r="D148" s="143">
        <v>42960</v>
      </c>
      <c r="E148" s="136">
        <v>16458.62</v>
      </c>
      <c r="F148" s="136" t="s">
        <v>14</v>
      </c>
      <c r="G148" s="140" t="s">
        <v>11</v>
      </c>
      <c r="H148" s="136" t="s">
        <v>12</v>
      </c>
      <c r="J148" s="139">
        <v>28</v>
      </c>
      <c r="K148" s="138">
        <v>12858.3</v>
      </c>
      <c r="L148" s="136">
        <v>0</v>
      </c>
      <c r="M148" s="136">
        <f>+J148/100*K148/2</f>
        <v>1800.162</v>
      </c>
      <c r="N148" s="136">
        <f>+J148/100*K148/2</f>
        <v>1800.162</v>
      </c>
      <c r="O148" s="136">
        <v>0</v>
      </c>
      <c r="P148" s="175">
        <v>87081090</v>
      </c>
      <c r="Q148" s="137" t="s">
        <v>22</v>
      </c>
      <c r="R148" s="136" t="s">
        <v>13</v>
      </c>
      <c r="S148" s="136">
        <v>156</v>
      </c>
      <c r="T148" s="136">
        <v>156</v>
      </c>
      <c r="U148" s="136">
        <f t="shared" si="63"/>
        <v>0</v>
      </c>
      <c r="V148" s="136">
        <v>156</v>
      </c>
    </row>
    <row r="149" spans="1:22" x14ac:dyDescent="0.3">
      <c r="A149" s="136" t="s">
        <v>6</v>
      </c>
      <c r="B149" s="136" t="s">
        <v>5</v>
      </c>
      <c r="C149" s="136" t="s">
        <v>609</v>
      </c>
      <c r="D149" s="143">
        <v>42960</v>
      </c>
      <c r="E149" s="136">
        <v>28028.76</v>
      </c>
      <c r="F149" s="136" t="s">
        <v>14</v>
      </c>
      <c r="G149" s="140" t="s">
        <v>11</v>
      </c>
      <c r="H149" s="136" t="s">
        <v>12</v>
      </c>
      <c r="J149" s="139">
        <v>28</v>
      </c>
      <c r="K149" s="138">
        <v>21897.48</v>
      </c>
      <c r="L149" s="136">
        <v>0</v>
      </c>
      <c r="M149" s="136">
        <f>+J149/100*K149/2-0.01</f>
        <v>3065.6372000000001</v>
      </c>
      <c r="N149" s="136">
        <f>+J149/100*K149/2-0.01</f>
        <v>3065.6372000000001</v>
      </c>
      <c r="O149" s="136">
        <v>0</v>
      </c>
      <c r="P149" s="175">
        <v>87081090</v>
      </c>
      <c r="Q149" s="137" t="s">
        <v>22</v>
      </c>
      <c r="R149" s="136" t="s">
        <v>13</v>
      </c>
      <c r="S149" s="136">
        <v>264</v>
      </c>
      <c r="T149" s="136">
        <v>264</v>
      </c>
      <c r="U149" s="136">
        <f t="shared" si="63"/>
        <v>0</v>
      </c>
      <c r="V149" s="136">
        <v>264</v>
      </c>
    </row>
    <row r="150" spans="1:22" x14ac:dyDescent="0.3">
      <c r="A150" s="136" t="s">
        <v>6</v>
      </c>
      <c r="B150" s="136" t="s">
        <v>5</v>
      </c>
      <c r="C150" s="136" t="s">
        <v>610</v>
      </c>
      <c r="D150" s="143">
        <v>42960</v>
      </c>
      <c r="E150" s="136">
        <v>9204.48</v>
      </c>
      <c r="F150" s="136" t="s">
        <v>14</v>
      </c>
      <c r="G150" s="140" t="s">
        <v>11</v>
      </c>
      <c r="H150" s="136" t="s">
        <v>12</v>
      </c>
      <c r="J150" s="139">
        <v>28</v>
      </c>
      <c r="K150" s="138">
        <v>7191</v>
      </c>
      <c r="L150" s="136">
        <v>0</v>
      </c>
      <c r="M150" s="136">
        <f>+J150/100*K150/2</f>
        <v>1006.7400000000001</v>
      </c>
      <c r="N150" s="136">
        <f>+J150/100*K150/2</f>
        <v>1006.7400000000001</v>
      </c>
      <c r="O150" s="136">
        <v>0</v>
      </c>
      <c r="P150" s="175">
        <v>87141090</v>
      </c>
      <c r="Q150" s="137" t="s">
        <v>22</v>
      </c>
      <c r="R150" s="136" t="s">
        <v>13</v>
      </c>
      <c r="S150" s="136">
        <v>204</v>
      </c>
      <c r="T150" s="136">
        <v>204</v>
      </c>
      <c r="U150" s="136">
        <f t="shared" si="63"/>
        <v>0</v>
      </c>
      <c r="V150" s="136">
        <v>204</v>
      </c>
    </row>
    <row r="151" spans="1:22" x14ac:dyDescent="0.3">
      <c r="A151" s="136" t="s">
        <v>184</v>
      </c>
      <c r="B151" s="136" t="s">
        <v>183</v>
      </c>
      <c r="C151" s="136" t="s">
        <v>611</v>
      </c>
      <c r="D151" s="143">
        <v>42960</v>
      </c>
      <c r="E151" s="136">
        <v>26799.87</v>
      </c>
      <c r="F151" s="136" t="s">
        <v>185</v>
      </c>
      <c r="G151" s="140" t="s">
        <v>11</v>
      </c>
      <c r="H151" s="136" t="s">
        <v>12</v>
      </c>
      <c r="J151" s="139">
        <v>28</v>
      </c>
      <c r="K151" s="138">
        <v>20937.400000000001</v>
      </c>
      <c r="L151" s="136">
        <f t="shared" ref="L151:L152" si="70">+J151/100*K151</f>
        <v>5862.4720000000007</v>
      </c>
      <c r="M151" s="136">
        <v>0</v>
      </c>
      <c r="N151" s="136">
        <v>0</v>
      </c>
      <c r="O151" s="136">
        <v>0</v>
      </c>
      <c r="P151" s="175">
        <v>87081090</v>
      </c>
      <c r="Q151" s="137" t="s">
        <v>22</v>
      </c>
      <c r="R151" s="136" t="s">
        <v>13</v>
      </c>
      <c r="S151" s="136">
        <v>11</v>
      </c>
      <c r="T151" s="136">
        <v>11</v>
      </c>
      <c r="U151" s="136">
        <f t="shared" si="63"/>
        <v>0</v>
      </c>
      <c r="V151" s="136">
        <v>11</v>
      </c>
    </row>
    <row r="152" spans="1:22" x14ac:dyDescent="0.3">
      <c r="A152" s="136" t="s">
        <v>184</v>
      </c>
      <c r="B152" s="136" t="s">
        <v>183</v>
      </c>
      <c r="C152" s="136" t="s">
        <v>612</v>
      </c>
      <c r="D152" s="143">
        <v>42960</v>
      </c>
      <c r="E152" s="136">
        <v>14919.55</v>
      </c>
      <c r="F152" s="136" t="s">
        <v>185</v>
      </c>
      <c r="G152" s="140" t="s">
        <v>11</v>
      </c>
      <c r="H152" s="136" t="s">
        <v>12</v>
      </c>
      <c r="J152" s="139">
        <v>28</v>
      </c>
      <c r="K152" s="138">
        <v>11655.9</v>
      </c>
      <c r="L152" s="136">
        <f t="shared" si="70"/>
        <v>3263.652</v>
      </c>
      <c r="M152" s="136">
        <v>0</v>
      </c>
      <c r="N152" s="136">
        <v>0</v>
      </c>
      <c r="O152" s="136">
        <v>0</v>
      </c>
      <c r="P152" s="175">
        <v>87081090</v>
      </c>
      <c r="Q152" s="137" t="s">
        <v>22</v>
      </c>
      <c r="R152" s="136" t="s">
        <v>13</v>
      </c>
      <c r="S152" s="136">
        <v>9</v>
      </c>
      <c r="T152" s="136">
        <v>9</v>
      </c>
      <c r="U152" s="136">
        <f t="shared" si="63"/>
        <v>0</v>
      </c>
      <c r="V152" s="136">
        <v>9</v>
      </c>
    </row>
    <row r="153" spans="1:22" x14ac:dyDescent="0.3">
      <c r="A153" s="136" t="s">
        <v>6</v>
      </c>
      <c r="B153" s="136" t="s">
        <v>5</v>
      </c>
      <c r="C153" s="136" t="s">
        <v>613</v>
      </c>
      <c r="D153" s="143">
        <v>42960</v>
      </c>
      <c r="E153" s="136">
        <v>24054.92</v>
      </c>
      <c r="F153" s="136" t="s">
        <v>14</v>
      </c>
      <c r="G153" s="140" t="s">
        <v>11</v>
      </c>
      <c r="H153" s="136" t="s">
        <v>12</v>
      </c>
      <c r="J153" s="139">
        <v>28</v>
      </c>
      <c r="K153" s="138">
        <v>18792.900000000001</v>
      </c>
      <c r="L153" s="136">
        <v>0</v>
      </c>
      <c r="M153" s="136">
        <f>+J153/100*K153/2</f>
        <v>2631.0060000000003</v>
      </c>
      <c r="N153" s="136">
        <f>+J153/100*K153/2</f>
        <v>2631.0060000000003</v>
      </c>
      <c r="O153" s="136">
        <v>0</v>
      </c>
      <c r="P153" s="175">
        <v>87081090</v>
      </c>
      <c r="Q153" s="137" t="s">
        <v>22</v>
      </c>
      <c r="R153" s="136" t="s">
        <v>13</v>
      </c>
      <c r="S153" s="136">
        <v>228</v>
      </c>
      <c r="T153" s="136">
        <v>228</v>
      </c>
      <c r="U153" s="136">
        <f t="shared" si="63"/>
        <v>0</v>
      </c>
      <c r="V153" s="136">
        <v>228</v>
      </c>
    </row>
    <row r="154" spans="1:22" x14ac:dyDescent="0.3">
      <c r="A154" s="136" t="s">
        <v>6</v>
      </c>
      <c r="B154" s="136" t="s">
        <v>5</v>
      </c>
      <c r="C154" s="136" t="s">
        <v>614</v>
      </c>
      <c r="D154" s="143">
        <v>42960</v>
      </c>
      <c r="E154" s="136">
        <v>28896</v>
      </c>
      <c r="F154" s="136" t="s">
        <v>14</v>
      </c>
      <c r="G154" s="140" t="s">
        <v>11</v>
      </c>
      <c r="H154" s="136" t="s">
        <v>12</v>
      </c>
      <c r="J154" s="139">
        <v>28</v>
      </c>
      <c r="K154" s="138">
        <v>22575</v>
      </c>
      <c r="L154" s="136">
        <v>0</v>
      </c>
      <c r="M154" s="136">
        <f>+J154/100*K154/2</f>
        <v>3160.5000000000005</v>
      </c>
      <c r="N154" s="136">
        <f>+J154/100*K154/2</f>
        <v>3160.5000000000005</v>
      </c>
      <c r="O154" s="136">
        <v>0</v>
      </c>
      <c r="P154" s="175">
        <v>87141090</v>
      </c>
      <c r="Q154" s="137" t="s">
        <v>22</v>
      </c>
      <c r="R154" s="136" t="s">
        <v>13</v>
      </c>
      <c r="S154" s="136">
        <v>300</v>
      </c>
      <c r="T154" s="136">
        <v>300</v>
      </c>
      <c r="U154" s="136">
        <f t="shared" si="63"/>
        <v>0</v>
      </c>
      <c r="V154" s="136">
        <v>300</v>
      </c>
    </row>
    <row r="155" spans="1:22" x14ac:dyDescent="0.3">
      <c r="A155" s="136" t="s">
        <v>6</v>
      </c>
      <c r="B155" s="136" t="s">
        <v>5</v>
      </c>
      <c r="C155" s="136" t="s">
        <v>615</v>
      </c>
      <c r="D155" s="143">
        <v>42960</v>
      </c>
      <c r="E155" s="136">
        <v>38221.040000000001</v>
      </c>
      <c r="F155" s="136" t="s">
        <v>14</v>
      </c>
      <c r="G155" s="140" t="s">
        <v>11</v>
      </c>
      <c r="H155" s="136" t="s">
        <v>12</v>
      </c>
      <c r="J155" s="139">
        <v>28</v>
      </c>
      <c r="K155" s="138">
        <v>29860.2</v>
      </c>
      <c r="L155" s="136">
        <v>0</v>
      </c>
      <c r="M155" s="136">
        <f>+J155/100*K155/2-0.01</f>
        <v>4180.4180000000006</v>
      </c>
      <c r="N155" s="136">
        <f>+J155/100*K155/2-0.01</f>
        <v>4180.4180000000006</v>
      </c>
      <c r="O155" s="136">
        <v>0</v>
      </c>
      <c r="P155" s="175">
        <v>87081090</v>
      </c>
      <c r="Q155" s="137" t="s">
        <v>22</v>
      </c>
      <c r="R155" s="136" t="s">
        <v>13</v>
      </c>
      <c r="S155" s="136">
        <v>360</v>
      </c>
      <c r="T155" s="136">
        <v>360</v>
      </c>
      <c r="U155" s="136">
        <f t="shared" si="63"/>
        <v>0</v>
      </c>
      <c r="V155" s="136">
        <v>360</v>
      </c>
    </row>
    <row r="156" spans="1:22" x14ac:dyDescent="0.3">
      <c r="A156" s="136" t="s">
        <v>186</v>
      </c>
      <c r="B156" s="136" t="s">
        <v>187</v>
      </c>
      <c r="C156" s="136" t="s">
        <v>616</v>
      </c>
      <c r="D156" s="143">
        <v>42960</v>
      </c>
      <c r="E156" s="136">
        <v>76800</v>
      </c>
      <c r="F156" s="136" t="s">
        <v>14</v>
      </c>
      <c r="G156" s="140" t="s">
        <v>11</v>
      </c>
      <c r="H156" s="136" t="s">
        <v>12</v>
      </c>
      <c r="J156" s="139">
        <v>28</v>
      </c>
      <c r="K156" s="138">
        <v>60000</v>
      </c>
      <c r="L156" s="136">
        <v>0</v>
      </c>
      <c r="M156" s="136">
        <f t="shared" ref="M156:M160" si="71">+J156/100*K156/2</f>
        <v>8400</v>
      </c>
      <c r="N156" s="136">
        <f t="shared" ref="N156:N160" si="72">+J156/100*K156/2</f>
        <v>8400</v>
      </c>
      <c r="O156" s="136">
        <v>0</v>
      </c>
      <c r="P156" s="175">
        <v>85129000</v>
      </c>
      <c r="Q156" s="137" t="s">
        <v>22</v>
      </c>
      <c r="R156" s="136" t="s">
        <v>13</v>
      </c>
      <c r="S156" s="136">
        <v>2400</v>
      </c>
      <c r="T156" s="136">
        <v>2400</v>
      </c>
      <c r="U156" s="136">
        <f t="shared" si="63"/>
        <v>0</v>
      </c>
      <c r="V156" s="136">
        <v>2400</v>
      </c>
    </row>
    <row r="157" spans="1:22" x14ac:dyDescent="0.3">
      <c r="A157" s="136" t="s">
        <v>253</v>
      </c>
      <c r="B157" s="136" t="s">
        <v>252</v>
      </c>
      <c r="C157" s="136" t="s">
        <v>617</v>
      </c>
      <c r="D157" s="143">
        <v>42961</v>
      </c>
      <c r="E157" s="136">
        <v>7066.12</v>
      </c>
      <c r="F157" s="136" t="s">
        <v>14</v>
      </c>
      <c r="G157" s="140" t="s">
        <v>11</v>
      </c>
      <c r="H157" s="136" t="s">
        <v>12</v>
      </c>
      <c r="J157" s="139">
        <v>18</v>
      </c>
      <c r="K157" s="138">
        <v>5988.24</v>
      </c>
      <c r="L157" s="136">
        <v>0</v>
      </c>
      <c r="M157" s="136">
        <f t="shared" si="71"/>
        <v>538.94159999999999</v>
      </c>
      <c r="N157" s="136">
        <f t="shared" si="72"/>
        <v>538.94159999999999</v>
      </c>
      <c r="O157" s="136">
        <v>0</v>
      </c>
      <c r="P157" s="175">
        <v>998898</v>
      </c>
      <c r="Q157" s="137" t="s">
        <v>22</v>
      </c>
      <c r="R157" s="136" t="s">
        <v>13</v>
      </c>
      <c r="S157" s="136">
        <v>12</v>
      </c>
      <c r="T157" s="136">
        <v>12</v>
      </c>
      <c r="U157" s="136">
        <f t="shared" si="63"/>
        <v>0</v>
      </c>
      <c r="V157" s="136">
        <v>12</v>
      </c>
    </row>
    <row r="158" spans="1:22" x14ac:dyDescent="0.3">
      <c r="A158" s="136" t="s">
        <v>40</v>
      </c>
      <c r="B158" s="136" t="s">
        <v>39</v>
      </c>
      <c r="C158" s="136" t="s">
        <v>618</v>
      </c>
      <c r="D158" s="143">
        <v>42961</v>
      </c>
      <c r="E158" s="136">
        <v>10058.56</v>
      </c>
      <c r="F158" s="136" t="s">
        <v>14</v>
      </c>
      <c r="G158" s="140" t="s">
        <v>11</v>
      </c>
      <c r="H158" s="136" t="s">
        <v>12</v>
      </c>
      <c r="J158" s="139">
        <v>18</v>
      </c>
      <c r="K158" s="138">
        <v>8524.2000000000007</v>
      </c>
      <c r="L158" s="136">
        <v>0</v>
      </c>
      <c r="M158" s="136">
        <f t="shared" si="71"/>
        <v>767.178</v>
      </c>
      <c r="N158" s="136">
        <f t="shared" si="72"/>
        <v>767.178</v>
      </c>
      <c r="O158" s="136">
        <v>0</v>
      </c>
      <c r="P158" s="175">
        <v>998898</v>
      </c>
      <c r="Q158" s="137" t="s">
        <v>22</v>
      </c>
      <c r="R158" s="136" t="s">
        <v>13</v>
      </c>
      <c r="S158" s="136">
        <v>0</v>
      </c>
      <c r="T158" s="136">
        <v>0</v>
      </c>
      <c r="U158" s="136">
        <f t="shared" si="63"/>
        <v>0</v>
      </c>
      <c r="V158" s="136">
        <v>30</v>
      </c>
    </row>
    <row r="159" spans="1:22" x14ac:dyDescent="0.3">
      <c r="A159" s="136" t="s">
        <v>253</v>
      </c>
      <c r="B159" s="136" t="s">
        <v>252</v>
      </c>
      <c r="C159" s="136" t="s">
        <v>619</v>
      </c>
      <c r="D159" s="143">
        <v>42961</v>
      </c>
      <c r="E159" s="136">
        <v>7364.48</v>
      </c>
      <c r="F159" s="136" t="s">
        <v>14</v>
      </c>
      <c r="G159" s="140" t="s">
        <v>11</v>
      </c>
      <c r="H159" s="136" t="s">
        <v>12</v>
      </c>
      <c r="J159" s="139">
        <v>18</v>
      </c>
      <c r="K159" s="138">
        <v>6241.08</v>
      </c>
      <c r="L159" s="136">
        <v>0</v>
      </c>
      <c r="M159" s="136">
        <f t="shared" si="71"/>
        <v>561.69719999999995</v>
      </c>
      <c r="N159" s="136">
        <f t="shared" si="72"/>
        <v>561.69719999999995</v>
      </c>
      <c r="O159" s="136">
        <v>0</v>
      </c>
      <c r="P159" s="175">
        <v>998898</v>
      </c>
      <c r="Q159" s="137" t="s">
        <v>22</v>
      </c>
      <c r="R159" s="136" t="s">
        <v>13</v>
      </c>
      <c r="S159" s="136">
        <v>12</v>
      </c>
      <c r="T159" s="136">
        <v>12</v>
      </c>
      <c r="U159" s="136">
        <f t="shared" si="63"/>
        <v>0</v>
      </c>
      <c r="V159" s="136">
        <v>12</v>
      </c>
    </row>
    <row r="160" spans="1:22" x14ac:dyDescent="0.3">
      <c r="A160" s="136" t="s">
        <v>253</v>
      </c>
      <c r="B160" s="136" t="s">
        <v>252</v>
      </c>
      <c r="C160" s="136" t="s">
        <v>620</v>
      </c>
      <c r="D160" s="143">
        <v>42961</v>
      </c>
      <c r="E160" s="136">
        <v>7066.12</v>
      </c>
      <c r="F160" s="136" t="s">
        <v>14</v>
      </c>
      <c r="G160" s="140" t="s">
        <v>11</v>
      </c>
      <c r="H160" s="136" t="s">
        <v>12</v>
      </c>
      <c r="J160" s="139">
        <v>18</v>
      </c>
      <c r="K160" s="138">
        <v>5988.24</v>
      </c>
      <c r="L160" s="136">
        <v>0</v>
      </c>
      <c r="M160" s="136">
        <f t="shared" si="71"/>
        <v>538.94159999999999</v>
      </c>
      <c r="N160" s="136">
        <f t="shared" si="72"/>
        <v>538.94159999999999</v>
      </c>
      <c r="O160" s="136">
        <v>0</v>
      </c>
      <c r="P160" s="175">
        <v>998898</v>
      </c>
      <c r="Q160" s="137" t="s">
        <v>22</v>
      </c>
      <c r="R160" s="136" t="s">
        <v>13</v>
      </c>
      <c r="S160" s="136">
        <v>12</v>
      </c>
      <c r="T160" s="136">
        <v>12</v>
      </c>
      <c r="U160" s="136">
        <f t="shared" si="63"/>
        <v>0</v>
      </c>
      <c r="V160" s="136">
        <v>12</v>
      </c>
    </row>
    <row r="161" spans="1:22" x14ac:dyDescent="0.3">
      <c r="A161" s="136" t="s">
        <v>6</v>
      </c>
      <c r="B161" s="136" t="s">
        <v>5</v>
      </c>
      <c r="C161" s="136" t="s">
        <v>621</v>
      </c>
      <c r="D161" s="143">
        <v>42961</v>
      </c>
      <c r="E161" s="136">
        <v>43045.62</v>
      </c>
      <c r="F161" s="136" t="s">
        <v>14</v>
      </c>
      <c r="G161" s="140" t="s">
        <v>11</v>
      </c>
      <c r="H161" s="136" t="s">
        <v>12</v>
      </c>
      <c r="J161" s="139">
        <v>28</v>
      </c>
      <c r="K161" s="138">
        <v>33629.4</v>
      </c>
      <c r="L161" s="136">
        <v>0</v>
      </c>
      <c r="M161" s="136">
        <f>+J161/100*K161/2-0.01</f>
        <v>4708.1060000000007</v>
      </c>
      <c r="N161" s="136">
        <f>+J161/100*K161/2-0.01</f>
        <v>4708.1060000000007</v>
      </c>
      <c r="O161" s="136">
        <v>0</v>
      </c>
      <c r="P161" s="175">
        <v>87081090</v>
      </c>
      <c r="Q161" s="137" t="s">
        <v>22</v>
      </c>
      <c r="R161" s="136" t="s">
        <v>13</v>
      </c>
      <c r="S161" s="136">
        <v>408</v>
      </c>
      <c r="T161" s="136">
        <v>408</v>
      </c>
      <c r="U161" s="136">
        <f t="shared" si="63"/>
        <v>0</v>
      </c>
      <c r="V161" s="136">
        <v>408</v>
      </c>
    </row>
    <row r="162" spans="1:22" x14ac:dyDescent="0.3">
      <c r="A162" s="136" t="s">
        <v>6</v>
      </c>
      <c r="B162" s="136" t="s">
        <v>5</v>
      </c>
      <c r="C162" s="136" t="s">
        <v>622</v>
      </c>
      <c r="D162" s="143">
        <v>42961</v>
      </c>
      <c r="E162" s="136">
        <v>50044.160000000003</v>
      </c>
      <c r="F162" s="136" t="s">
        <v>14</v>
      </c>
      <c r="G162" s="140" t="s">
        <v>11</v>
      </c>
      <c r="H162" s="136" t="s">
        <v>12</v>
      </c>
      <c r="J162" s="139">
        <v>28</v>
      </c>
      <c r="K162" s="138">
        <v>39097</v>
      </c>
      <c r="L162" s="136">
        <v>0</v>
      </c>
      <c r="M162" s="136">
        <f>+J162/100*K162/2</f>
        <v>5473.5800000000008</v>
      </c>
      <c r="N162" s="136">
        <f>+J162/100*K162/2</f>
        <v>5473.5800000000008</v>
      </c>
      <c r="O162" s="136">
        <v>0</v>
      </c>
      <c r="P162" s="175">
        <v>87141090</v>
      </c>
      <c r="Q162" s="137" t="s">
        <v>22</v>
      </c>
      <c r="R162" s="136" t="s">
        <v>13</v>
      </c>
      <c r="S162" s="136">
        <v>628</v>
      </c>
      <c r="T162" s="136">
        <v>628</v>
      </c>
      <c r="U162" s="136">
        <f t="shared" si="63"/>
        <v>0</v>
      </c>
      <c r="V162" s="136">
        <v>628</v>
      </c>
    </row>
    <row r="163" spans="1:22" x14ac:dyDescent="0.3">
      <c r="A163" s="136" t="s">
        <v>179</v>
      </c>
      <c r="B163" s="136" t="s">
        <v>178</v>
      </c>
      <c r="C163" s="136" t="s">
        <v>623</v>
      </c>
      <c r="D163" s="143">
        <v>42961</v>
      </c>
      <c r="E163" s="136">
        <v>89135.08</v>
      </c>
      <c r="F163" s="136" t="s">
        <v>14</v>
      </c>
      <c r="G163" s="140" t="s">
        <v>11</v>
      </c>
      <c r="H163" s="136" t="s">
        <v>12</v>
      </c>
      <c r="J163" s="139">
        <v>28</v>
      </c>
      <c r="K163" s="138">
        <v>69636.78</v>
      </c>
      <c r="L163" s="136">
        <v>0</v>
      </c>
      <c r="M163" s="136">
        <f t="shared" ref="M163:M165" si="73">+J163/100*K163/2</f>
        <v>9749.1492000000017</v>
      </c>
      <c r="N163" s="136">
        <f t="shared" ref="N163:N165" si="74">+J163/100*K163/2</f>
        <v>9749.1492000000017</v>
      </c>
      <c r="O163" s="136">
        <v>0</v>
      </c>
      <c r="P163" s="175">
        <v>85129000</v>
      </c>
      <c r="Q163" s="137" t="s">
        <v>22</v>
      </c>
      <c r="R163" s="136" t="s">
        <v>13</v>
      </c>
      <c r="S163" s="136">
        <v>1161</v>
      </c>
      <c r="T163" s="136">
        <v>1161</v>
      </c>
      <c r="U163" s="136">
        <f t="shared" si="63"/>
        <v>0</v>
      </c>
      <c r="V163" s="136">
        <v>1161</v>
      </c>
    </row>
    <row r="164" spans="1:22" x14ac:dyDescent="0.3">
      <c r="A164" s="136" t="s">
        <v>251</v>
      </c>
      <c r="B164" s="136" t="s">
        <v>250</v>
      </c>
      <c r="C164" s="136" t="s">
        <v>624</v>
      </c>
      <c r="D164" s="143">
        <v>42961</v>
      </c>
      <c r="E164" s="136">
        <v>6962</v>
      </c>
      <c r="F164" s="136" t="s">
        <v>14</v>
      </c>
      <c r="G164" s="140" t="s">
        <v>11</v>
      </c>
      <c r="H164" s="136" t="s">
        <v>12</v>
      </c>
      <c r="J164" s="139">
        <v>18</v>
      </c>
      <c r="K164" s="138">
        <v>5900</v>
      </c>
      <c r="L164" s="136">
        <v>0</v>
      </c>
      <c r="M164" s="136">
        <f t="shared" si="73"/>
        <v>531</v>
      </c>
      <c r="N164" s="136">
        <f t="shared" si="74"/>
        <v>531</v>
      </c>
      <c r="O164" s="136">
        <v>0</v>
      </c>
      <c r="P164" s="175">
        <v>998873</v>
      </c>
      <c r="Q164" s="137" t="s">
        <v>22</v>
      </c>
      <c r="R164" s="136" t="s">
        <v>13</v>
      </c>
      <c r="S164" s="136">
        <v>0</v>
      </c>
      <c r="T164" s="136">
        <v>0</v>
      </c>
      <c r="U164" s="136">
        <f t="shared" si="63"/>
        <v>0</v>
      </c>
      <c r="V164" s="136">
        <v>200</v>
      </c>
    </row>
    <row r="165" spans="1:22" x14ac:dyDescent="0.3">
      <c r="A165" s="136" t="s">
        <v>251</v>
      </c>
      <c r="B165" s="136" t="s">
        <v>250</v>
      </c>
      <c r="C165" s="136" t="s">
        <v>625</v>
      </c>
      <c r="D165" s="143">
        <v>42961</v>
      </c>
      <c r="E165" s="136">
        <v>6962</v>
      </c>
      <c r="F165" s="136" t="s">
        <v>14</v>
      </c>
      <c r="G165" s="140" t="s">
        <v>11</v>
      </c>
      <c r="H165" s="136" t="s">
        <v>12</v>
      </c>
      <c r="J165" s="139">
        <v>18</v>
      </c>
      <c r="K165" s="138">
        <v>5900</v>
      </c>
      <c r="L165" s="136">
        <v>0</v>
      </c>
      <c r="M165" s="136">
        <f t="shared" si="73"/>
        <v>531</v>
      </c>
      <c r="N165" s="136">
        <f t="shared" si="74"/>
        <v>531</v>
      </c>
      <c r="O165" s="136">
        <v>0</v>
      </c>
      <c r="P165" s="175">
        <v>998873</v>
      </c>
      <c r="Q165" s="137" t="s">
        <v>22</v>
      </c>
      <c r="R165" s="136" t="s">
        <v>13</v>
      </c>
      <c r="S165" s="136">
        <v>0</v>
      </c>
      <c r="T165" s="136">
        <v>0</v>
      </c>
      <c r="U165" s="136">
        <f t="shared" si="63"/>
        <v>0</v>
      </c>
      <c r="V165" s="136">
        <v>200</v>
      </c>
    </row>
    <row r="166" spans="1:22" x14ac:dyDescent="0.3">
      <c r="A166" s="136" t="s">
        <v>6</v>
      </c>
      <c r="B166" s="136" t="s">
        <v>5</v>
      </c>
      <c r="C166" s="136" t="s">
        <v>626</v>
      </c>
      <c r="D166" s="143">
        <v>42961</v>
      </c>
      <c r="E166" s="136">
        <v>63701.760000000002</v>
      </c>
      <c r="F166" s="136" t="s">
        <v>14</v>
      </c>
      <c r="G166" s="140" t="s">
        <v>11</v>
      </c>
      <c r="H166" s="136" t="s">
        <v>12</v>
      </c>
      <c r="J166" s="139">
        <v>28</v>
      </c>
      <c r="K166" s="138">
        <v>49767</v>
      </c>
      <c r="L166" s="136">
        <v>0</v>
      </c>
      <c r="M166" s="136">
        <f>+J166/100*K166/2</f>
        <v>6967.380000000001</v>
      </c>
      <c r="N166" s="136">
        <f>+J166/100*K166/2</f>
        <v>6967.380000000001</v>
      </c>
      <c r="O166" s="136">
        <v>0</v>
      </c>
      <c r="P166" s="175">
        <v>87081090</v>
      </c>
      <c r="Q166" s="137" t="s">
        <v>22</v>
      </c>
      <c r="R166" s="136" t="s">
        <v>13</v>
      </c>
      <c r="S166" s="136">
        <v>600</v>
      </c>
      <c r="T166" s="136">
        <v>600</v>
      </c>
      <c r="U166" s="136">
        <f t="shared" si="63"/>
        <v>0</v>
      </c>
      <c r="V166" s="136">
        <v>600</v>
      </c>
    </row>
    <row r="167" spans="1:22" x14ac:dyDescent="0.3">
      <c r="A167" s="136" t="s">
        <v>246</v>
      </c>
      <c r="B167" s="136" t="s">
        <v>245</v>
      </c>
      <c r="C167" s="136" t="s">
        <v>627</v>
      </c>
      <c r="D167" s="143">
        <v>42961</v>
      </c>
      <c r="E167" s="136">
        <v>67531.520000000004</v>
      </c>
      <c r="F167" s="136" t="s">
        <v>14</v>
      </c>
      <c r="G167" s="140" t="s">
        <v>11</v>
      </c>
      <c r="H167" s="136" t="s">
        <v>12</v>
      </c>
      <c r="J167" s="139">
        <v>28</v>
      </c>
      <c r="K167" s="138">
        <v>52759</v>
      </c>
      <c r="L167" s="136">
        <v>0</v>
      </c>
      <c r="M167" s="136">
        <f t="shared" ref="M167:M174" si="75">+J167/100*K167/2</f>
        <v>7386.2600000000011</v>
      </c>
      <c r="N167" s="136">
        <f t="shared" ref="N167:N174" si="76">+J167/100*K167/2</f>
        <v>7386.2600000000011</v>
      </c>
      <c r="O167" s="136">
        <v>0</v>
      </c>
      <c r="P167" s="175">
        <v>87141090</v>
      </c>
      <c r="Q167" s="137" t="s">
        <v>22</v>
      </c>
      <c r="R167" s="136" t="s">
        <v>13</v>
      </c>
      <c r="S167" s="136">
        <v>700</v>
      </c>
      <c r="T167" s="136">
        <v>700</v>
      </c>
      <c r="U167" s="136">
        <f t="shared" si="63"/>
        <v>0</v>
      </c>
      <c r="V167" s="136">
        <v>700</v>
      </c>
    </row>
    <row r="168" spans="1:22" x14ac:dyDescent="0.3">
      <c r="A168" s="136" t="s">
        <v>6</v>
      </c>
      <c r="B168" s="136" t="s">
        <v>5</v>
      </c>
      <c r="C168" s="136" t="s">
        <v>628</v>
      </c>
      <c r="D168" s="143">
        <v>42961</v>
      </c>
      <c r="E168" s="136">
        <v>44591.24</v>
      </c>
      <c r="F168" s="136" t="s">
        <v>14</v>
      </c>
      <c r="G168" s="140" t="s">
        <v>11</v>
      </c>
      <c r="H168" s="136" t="s">
        <v>12</v>
      </c>
      <c r="J168" s="139">
        <v>28</v>
      </c>
      <c r="K168" s="138">
        <v>34836.9</v>
      </c>
      <c r="L168" s="136">
        <v>0</v>
      </c>
      <c r="M168" s="136">
        <f t="shared" si="75"/>
        <v>4877.1660000000011</v>
      </c>
      <c r="N168" s="136">
        <f t="shared" si="76"/>
        <v>4877.1660000000011</v>
      </c>
      <c r="O168" s="136">
        <v>0</v>
      </c>
      <c r="P168" s="175">
        <v>87081090</v>
      </c>
      <c r="Q168" s="137" t="s">
        <v>22</v>
      </c>
      <c r="R168" s="136" t="s">
        <v>13</v>
      </c>
      <c r="S168" s="136">
        <v>420</v>
      </c>
      <c r="T168" s="136">
        <v>420</v>
      </c>
      <c r="U168" s="136">
        <f t="shared" si="63"/>
        <v>0</v>
      </c>
      <c r="V168" s="136">
        <v>420</v>
      </c>
    </row>
    <row r="169" spans="1:22" x14ac:dyDescent="0.3">
      <c r="A169" s="136" t="s">
        <v>6</v>
      </c>
      <c r="B169" s="136" t="s">
        <v>5</v>
      </c>
      <c r="C169" s="136" t="s">
        <v>629</v>
      </c>
      <c r="D169" s="143">
        <v>42961</v>
      </c>
      <c r="E169" s="136">
        <v>7038.72</v>
      </c>
      <c r="F169" s="136" t="s">
        <v>14</v>
      </c>
      <c r="G169" s="140" t="s">
        <v>11</v>
      </c>
      <c r="H169" s="136" t="s">
        <v>12</v>
      </c>
      <c r="J169" s="139">
        <v>28</v>
      </c>
      <c r="K169" s="138">
        <v>5499</v>
      </c>
      <c r="L169" s="136">
        <v>0</v>
      </c>
      <c r="M169" s="136">
        <f t="shared" si="75"/>
        <v>769.86000000000013</v>
      </c>
      <c r="N169" s="136">
        <f t="shared" si="76"/>
        <v>769.86000000000013</v>
      </c>
      <c r="O169" s="136">
        <v>0</v>
      </c>
      <c r="P169" s="175">
        <v>87141090</v>
      </c>
      <c r="Q169" s="137" t="s">
        <v>22</v>
      </c>
      <c r="R169" s="136" t="s">
        <v>13</v>
      </c>
      <c r="S169" s="136">
        <v>156</v>
      </c>
      <c r="T169" s="136">
        <v>156</v>
      </c>
      <c r="U169" s="136">
        <f t="shared" si="63"/>
        <v>0</v>
      </c>
      <c r="V169" s="136">
        <v>156</v>
      </c>
    </row>
    <row r="170" spans="1:22" x14ac:dyDescent="0.3">
      <c r="A170" s="136" t="s">
        <v>180</v>
      </c>
      <c r="B170" s="136" t="s">
        <v>360</v>
      </c>
      <c r="C170" s="136" t="s">
        <v>630</v>
      </c>
      <c r="D170" s="143">
        <v>42963</v>
      </c>
      <c r="E170" s="136">
        <v>13312</v>
      </c>
      <c r="F170" s="136" t="s">
        <v>14</v>
      </c>
      <c r="G170" s="140" t="s">
        <v>11</v>
      </c>
      <c r="H170" s="136" t="s">
        <v>12</v>
      </c>
      <c r="J170" s="139">
        <v>28</v>
      </c>
      <c r="K170" s="138">
        <v>10400</v>
      </c>
      <c r="L170" s="136">
        <v>0</v>
      </c>
      <c r="M170" s="136">
        <f t="shared" si="75"/>
        <v>1456.0000000000002</v>
      </c>
      <c r="N170" s="136">
        <f t="shared" si="76"/>
        <v>1456.0000000000002</v>
      </c>
      <c r="O170" s="136">
        <v>0</v>
      </c>
      <c r="P170" s="175">
        <v>87089900</v>
      </c>
      <c r="Q170" s="137" t="s">
        <v>22</v>
      </c>
      <c r="R170" s="136" t="s">
        <v>13</v>
      </c>
      <c r="S170" s="136">
        <v>20</v>
      </c>
      <c r="T170" s="136">
        <v>20</v>
      </c>
      <c r="U170" s="136">
        <f t="shared" si="63"/>
        <v>0</v>
      </c>
      <c r="V170" s="136">
        <v>20</v>
      </c>
    </row>
    <row r="171" spans="1:22" x14ac:dyDescent="0.3">
      <c r="A171" s="136" t="s">
        <v>180</v>
      </c>
      <c r="B171" s="136" t="s">
        <v>360</v>
      </c>
      <c r="C171" s="136" t="s">
        <v>631</v>
      </c>
      <c r="D171" s="143">
        <v>42963</v>
      </c>
      <c r="E171" s="136">
        <v>58315.06</v>
      </c>
      <c r="F171" s="136" t="s">
        <v>14</v>
      </c>
      <c r="G171" s="140" t="s">
        <v>11</v>
      </c>
      <c r="H171" s="136" t="s">
        <v>12</v>
      </c>
      <c r="J171" s="139">
        <v>28</v>
      </c>
      <c r="K171" s="138">
        <v>45558.64</v>
      </c>
      <c r="L171" s="136">
        <v>0</v>
      </c>
      <c r="M171" s="136">
        <f t="shared" si="75"/>
        <v>6378.2096000000001</v>
      </c>
      <c r="N171" s="136">
        <f t="shared" si="76"/>
        <v>6378.2096000000001</v>
      </c>
      <c r="O171" s="136">
        <v>0</v>
      </c>
      <c r="P171" s="175">
        <v>87089900</v>
      </c>
      <c r="Q171" s="137" t="s">
        <v>22</v>
      </c>
      <c r="R171" s="136" t="s">
        <v>13</v>
      </c>
      <c r="S171" s="136">
        <v>136</v>
      </c>
      <c r="T171" s="136">
        <v>136</v>
      </c>
      <c r="U171" s="136">
        <f t="shared" si="63"/>
        <v>0</v>
      </c>
      <c r="V171" s="136">
        <v>136</v>
      </c>
    </row>
    <row r="172" spans="1:22" x14ac:dyDescent="0.3">
      <c r="A172" s="136" t="s">
        <v>6</v>
      </c>
      <c r="B172" s="136" t="s">
        <v>5</v>
      </c>
      <c r="C172" s="136" t="s">
        <v>632</v>
      </c>
      <c r="D172" s="143">
        <v>42963</v>
      </c>
      <c r="E172" s="136">
        <v>66249.84</v>
      </c>
      <c r="F172" s="136" t="s">
        <v>14</v>
      </c>
      <c r="G172" s="140" t="s">
        <v>11</v>
      </c>
      <c r="H172" s="136" t="s">
        <v>12</v>
      </c>
      <c r="J172" s="139">
        <v>28</v>
      </c>
      <c r="K172" s="138">
        <v>51757.68</v>
      </c>
      <c r="L172" s="136">
        <v>0</v>
      </c>
      <c r="M172" s="136">
        <f t="shared" si="75"/>
        <v>7246.0752000000011</v>
      </c>
      <c r="N172" s="136">
        <f t="shared" si="76"/>
        <v>7246.0752000000011</v>
      </c>
      <c r="O172" s="136">
        <v>0</v>
      </c>
      <c r="P172" s="175">
        <v>87081090</v>
      </c>
      <c r="Q172" s="137" t="s">
        <v>22</v>
      </c>
      <c r="R172" s="136" t="s">
        <v>13</v>
      </c>
      <c r="S172" s="136">
        <v>624</v>
      </c>
      <c r="T172" s="136">
        <v>624</v>
      </c>
      <c r="U172" s="136">
        <f t="shared" si="63"/>
        <v>0</v>
      </c>
      <c r="V172" s="136">
        <v>624</v>
      </c>
    </row>
    <row r="173" spans="1:22" x14ac:dyDescent="0.3">
      <c r="A173" s="136" t="s">
        <v>6</v>
      </c>
      <c r="B173" s="136" t="s">
        <v>5</v>
      </c>
      <c r="C173" s="136" t="s">
        <v>633</v>
      </c>
      <c r="D173" s="143">
        <v>42963</v>
      </c>
      <c r="E173" s="136">
        <v>10287.36</v>
      </c>
      <c r="F173" s="136" t="s">
        <v>14</v>
      </c>
      <c r="G173" s="140" t="s">
        <v>11</v>
      </c>
      <c r="H173" s="136" t="s">
        <v>12</v>
      </c>
      <c r="J173" s="139">
        <v>28</v>
      </c>
      <c r="K173" s="138">
        <v>8037</v>
      </c>
      <c r="L173" s="136">
        <v>0</v>
      </c>
      <c r="M173" s="136">
        <f t="shared" si="75"/>
        <v>1125.18</v>
      </c>
      <c r="N173" s="136">
        <f t="shared" si="76"/>
        <v>1125.18</v>
      </c>
      <c r="O173" s="136">
        <v>0</v>
      </c>
      <c r="P173" s="175">
        <v>87141090</v>
      </c>
      <c r="Q173" s="137" t="s">
        <v>22</v>
      </c>
      <c r="R173" s="136" t="s">
        <v>13</v>
      </c>
      <c r="S173" s="136">
        <v>228</v>
      </c>
      <c r="T173" s="136">
        <v>228</v>
      </c>
      <c r="U173" s="136">
        <f t="shared" si="63"/>
        <v>0</v>
      </c>
      <c r="V173" s="136">
        <v>228</v>
      </c>
    </row>
    <row r="174" spans="1:22" x14ac:dyDescent="0.3">
      <c r="A174" s="136" t="s">
        <v>253</v>
      </c>
      <c r="B174" s="136" t="s">
        <v>252</v>
      </c>
      <c r="C174" s="136" t="s">
        <v>634</v>
      </c>
      <c r="D174" s="143">
        <v>42963</v>
      </c>
      <c r="E174" s="136">
        <v>7066.12</v>
      </c>
      <c r="F174" s="136" t="s">
        <v>14</v>
      </c>
      <c r="G174" s="140" t="s">
        <v>11</v>
      </c>
      <c r="H174" s="136" t="s">
        <v>12</v>
      </c>
      <c r="J174" s="139">
        <v>18</v>
      </c>
      <c r="K174" s="138">
        <v>5988.24</v>
      </c>
      <c r="L174" s="136">
        <v>0</v>
      </c>
      <c r="M174" s="136">
        <f t="shared" si="75"/>
        <v>538.94159999999999</v>
      </c>
      <c r="N174" s="136">
        <f t="shared" si="76"/>
        <v>538.94159999999999</v>
      </c>
      <c r="O174" s="136">
        <v>0</v>
      </c>
      <c r="P174" s="175">
        <v>998898</v>
      </c>
      <c r="Q174" s="137" t="s">
        <v>22</v>
      </c>
      <c r="R174" s="136" t="s">
        <v>13</v>
      </c>
      <c r="S174" s="136">
        <v>12</v>
      </c>
      <c r="T174" s="136">
        <v>12</v>
      </c>
      <c r="U174" s="136">
        <f t="shared" si="63"/>
        <v>0</v>
      </c>
      <c r="V174" s="136">
        <v>12</v>
      </c>
    </row>
    <row r="175" spans="1:22" x14ac:dyDescent="0.3">
      <c r="A175" s="136" t="s">
        <v>253</v>
      </c>
      <c r="B175" s="136" t="s">
        <v>252</v>
      </c>
      <c r="C175" s="136" t="s">
        <v>635</v>
      </c>
      <c r="D175" s="143">
        <v>42963</v>
      </c>
      <c r="E175" s="136">
        <v>7165.56</v>
      </c>
      <c r="F175" s="136" t="s">
        <v>14</v>
      </c>
      <c r="G175" s="140" t="s">
        <v>11</v>
      </c>
      <c r="H175" s="136" t="s">
        <v>12</v>
      </c>
      <c r="J175" s="139">
        <v>18</v>
      </c>
      <c r="K175" s="138">
        <v>6072.52</v>
      </c>
      <c r="L175" s="136">
        <v>0</v>
      </c>
      <c r="M175" s="136">
        <f>+J175/100*K175/2-0.01</f>
        <v>546.51679999999999</v>
      </c>
      <c r="N175" s="136">
        <f>+J175/100*K175/2-0.01</f>
        <v>546.51679999999999</v>
      </c>
      <c r="O175" s="136">
        <v>0</v>
      </c>
      <c r="P175" s="175">
        <v>998898</v>
      </c>
      <c r="Q175" s="137" t="s">
        <v>22</v>
      </c>
      <c r="R175" s="136" t="s">
        <v>13</v>
      </c>
      <c r="S175" s="136">
        <v>12</v>
      </c>
      <c r="T175" s="136">
        <v>12</v>
      </c>
      <c r="U175" s="136">
        <f t="shared" si="63"/>
        <v>0</v>
      </c>
      <c r="V175" s="136">
        <v>12</v>
      </c>
    </row>
    <row r="176" spans="1:22" x14ac:dyDescent="0.3">
      <c r="A176" s="136" t="s">
        <v>6</v>
      </c>
      <c r="B176" s="136" t="s">
        <v>5</v>
      </c>
      <c r="C176" s="136" t="s">
        <v>636</v>
      </c>
      <c r="D176" s="143">
        <v>42963</v>
      </c>
      <c r="E176" s="136">
        <v>21658.6</v>
      </c>
      <c r="F176" s="136" t="s">
        <v>14</v>
      </c>
      <c r="G176" s="140" t="s">
        <v>11</v>
      </c>
      <c r="H176" s="136" t="s">
        <v>12</v>
      </c>
      <c r="J176" s="139">
        <v>28</v>
      </c>
      <c r="K176" s="138">
        <v>16920.78</v>
      </c>
      <c r="L176" s="136">
        <v>0</v>
      </c>
      <c r="M176" s="136">
        <f>+J176/100*K176/2</f>
        <v>2368.9092000000001</v>
      </c>
      <c r="N176" s="136">
        <f>+J176/100*K176/2</f>
        <v>2368.9092000000001</v>
      </c>
      <c r="O176" s="136">
        <v>0</v>
      </c>
      <c r="P176" s="175">
        <v>87081090</v>
      </c>
      <c r="Q176" s="137" t="s">
        <v>22</v>
      </c>
      <c r="R176" s="136" t="s">
        <v>13</v>
      </c>
      <c r="S176" s="136">
        <v>204</v>
      </c>
      <c r="T176" s="136">
        <v>204</v>
      </c>
      <c r="U176" s="136">
        <f t="shared" si="63"/>
        <v>0</v>
      </c>
      <c r="V176" s="136">
        <v>204</v>
      </c>
    </row>
    <row r="177" spans="1:22" x14ac:dyDescent="0.3">
      <c r="A177" s="136" t="s">
        <v>6</v>
      </c>
      <c r="B177" s="136" t="s">
        <v>5</v>
      </c>
      <c r="C177" s="136" t="s">
        <v>637</v>
      </c>
      <c r="D177" s="143">
        <v>42963</v>
      </c>
      <c r="E177" s="136">
        <v>31238.400000000001</v>
      </c>
      <c r="F177" s="136" t="s">
        <v>14</v>
      </c>
      <c r="G177" s="140" t="s">
        <v>11</v>
      </c>
      <c r="H177" s="136" t="s">
        <v>12</v>
      </c>
      <c r="J177" s="139">
        <v>28</v>
      </c>
      <c r="K177" s="138">
        <v>24405</v>
      </c>
      <c r="L177" s="136">
        <v>0</v>
      </c>
      <c r="M177" s="136">
        <f>+J177/100*K177/2</f>
        <v>3416.7000000000003</v>
      </c>
      <c r="N177" s="136">
        <f>+J177/100*K177/2</f>
        <v>3416.7000000000003</v>
      </c>
      <c r="O177" s="136">
        <v>0</v>
      </c>
      <c r="P177" s="175">
        <v>87141090</v>
      </c>
      <c r="Q177" s="137" t="s">
        <v>22</v>
      </c>
      <c r="R177" s="136" t="s">
        <v>13</v>
      </c>
      <c r="S177" s="136">
        <v>420</v>
      </c>
      <c r="T177" s="136">
        <v>420</v>
      </c>
      <c r="U177" s="136">
        <f t="shared" si="63"/>
        <v>0</v>
      </c>
      <c r="V177" s="136">
        <v>420</v>
      </c>
    </row>
    <row r="178" spans="1:22" x14ac:dyDescent="0.3">
      <c r="A178" s="136" t="s">
        <v>251</v>
      </c>
      <c r="B178" s="136" t="s">
        <v>250</v>
      </c>
      <c r="C178" s="136" t="s">
        <v>638</v>
      </c>
      <c r="D178" s="143">
        <v>42963</v>
      </c>
      <c r="E178" s="136">
        <v>6927.2</v>
      </c>
      <c r="F178" s="136" t="s">
        <v>14</v>
      </c>
      <c r="G178" s="140" t="s">
        <v>11</v>
      </c>
      <c r="H178" s="136" t="s">
        <v>12</v>
      </c>
      <c r="J178" s="139">
        <v>18</v>
      </c>
      <c r="K178" s="138">
        <v>5870.5</v>
      </c>
      <c r="L178" s="136">
        <v>0</v>
      </c>
      <c r="M178" s="136">
        <f t="shared" ref="M178:M179" si="77">+J178/100*K178/2</f>
        <v>528.34500000000003</v>
      </c>
      <c r="N178" s="136">
        <f t="shared" ref="N178:N179" si="78">+J178/100*K178/2</f>
        <v>528.34500000000003</v>
      </c>
      <c r="O178" s="136">
        <v>0</v>
      </c>
      <c r="P178" s="175">
        <v>998873</v>
      </c>
      <c r="Q178" s="137" t="s">
        <v>22</v>
      </c>
      <c r="R178" s="136" t="s">
        <v>13</v>
      </c>
      <c r="S178" s="136">
        <v>0</v>
      </c>
      <c r="T178" s="136">
        <v>0</v>
      </c>
      <c r="U178" s="136">
        <f t="shared" si="63"/>
        <v>0</v>
      </c>
      <c r="V178" s="136">
        <v>199</v>
      </c>
    </row>
    <row r="179" spans="1:22" x14ac:dyDescent="0.3">
      <c r="A179" s="136" t="s">
        <v>251</v>
      </c>
      <c r="B179" s="136" t="s">
        <v>250</v>
      </c>
      <c r="C179" s="136" t="s">
        <v>639</v>
      </c>
      <c r="D179" s="143">
        <v>42963</v>
      </c>
      <c r="E179" s="136">
        <v>6509.48</v>
      </c>
      <c r="F179" s="136" t="s">
        <v>14</v>
      </c>
      <c r="G179" s="140" t="s">
        <v>11</v>
      </c>
      <c r="H179" s="136" t="s">
        <v>12</v>
      </c>
      <c r="J179" s="139">
        <v>18</v>
      </c>
      <c r="K179" s="138">
        <v>5516.5</v>
      </c>
      <c r="L179" s="136">
        <v>0</v>
      </c>
      <c r="M179" s="136">
        <f t="shared" si="77"/>
        <v>496.48499999999996</v>
      </c>
      <c r="N179" s="136">
        <f t="shared" si="78"/>
        <v>496.48499999999996</v>
      </c>
      <c r="O179" s="136">
        <v>0</v>
      </c>
      <c r="P179" s="175">
        <v>998873</v>
      </c>
      <c r="Q179" s="137" t="s">
        <v>22</v>
      </c>
      <c r="R179" s="136" t="s">
        <v>13</v>
      </c>
      <c r="S179" s="136">
        <v>0</v>
      </c>
      <c r="T179" s="136">
        <v>0</v>
      </c>
      <c r="U179" s="136">
        <f t="shared" si="63"/>
        <v>0</v>
      </c>
      <c r="V179" s="136">
        <v>187</v>
      </c>
    </row>
    <row r="180" spans="1:22" x14ac:dyDescent="0.3">
      <c r="A180" s="136" t="s">
        <v>253</v>
      </c>
      <c r="B180" s="136" t="s">
        <v>252</v>
      </c>
      <c r="C180" s="136" t="s">
        <v>640</v>
      </c>
      <c r="D180" s="143">
        <v>42964</v>
      </c>
      <c r="E180" s="136">
        <v>4884.79</v>
      </c>
      <c r="F180" s="136" t="s">
        <v>14</v>
      </c>
      <c r="G180" s="140" t="s">
        <v>11</v>
      </c>
      <c r="H180" s="136" t="s">
        <v>12</v>
      </c>
      <c r="J180" s="139">
        <v>18</v>
      </c>
      <c r="K180" s="138">
        <v>4139.6499999999996</v>
      </c>
      <c r="L180" s="136">
        <v>0</v>
      </c>
      <c r="M180" s="136">
        <f>+J180/100*K180/2</f>
        <v>372.56849999999997</v>
      </c>
      <c r="N180" s="136">
        <f>+J180/100*K180/2</f>
        <v>372.56849999999997</v>
      </c>
      <c r="O180" s="136">
        <v>0</v>
      </c>
      <c r="P180" s="175">
        <v>998898</v>
      </c>
      <c r="Q180" s="137" t="s">
        <v>22</v>
      </c>
      <c r="R180" s="136" t="s">
        <v>13</v>
      </c>
      <c r="S180" s="136">
        <v>8</v>
      </c>
      <c r="T180" s="136">
        <v>8</v>
      </c>
      <c r="U180" s="136">
        <f t="shared" si="63"/>
        <v>0</v>
      </c>
      <c r="V180" s="136">
        <v>8</v>
      </c>
    </row>
    <row r="181" spans="1:22" x14ac:dyDescent="0.3">
      <c r="A181" s="136" t="s">
        <v>186</v>
      </c>
      <c r="B181" s="136" t="s">
        <v>187</v>
      </c>
      <c r="C181" s="136" t="s">
        <v>641</v>
      </c>
      <c r="D181" s="143">
        <v>42964</v>
      </c>
      <c r="E181" s="136">
        <v>84480</v>
      </c>
      <c r="F181" s="136" t="s">
        <v>14</v>
      </c>
      <c r="G181" s="140" t="s">
        <v>11</v>
      </c>
      <c r="H181" s="136" t="s">
        <v>12</v>
      </c>
      <c r="J181" s="139">
        <v>28</v>
      </c>
      <c r="K181" s="138">
        <v>66000</v>
      </c>
      <c r="L181" s="136">
        <v>0</v>
      </c>
      <c r="M181" s="136">
        <f t="shared" ref="M181" si="79">+J181/100*K181/2</f>
        <v>9240</v>
      </c>
      <c r="N181" s="136">
        <f t="shared" ref="N181" si="80">+J181/100*K181/2</f>
        <v>9240</v>
      </c>
      <c r="O181" s="136">
        <v>0</v>
      </c>
      <c r="P181" s="175">
        <v>85129000</v>
      </c>
      <c r="Q181" s="137" t="s">
        <v>22</v>
      </c>
      <c r="R181" s="136" t="s">
        <v>13</v>
      </c>
      <c r="S181" s="136">
        <v>2640</v>
      </c>
      <c r="T181" s="136">
        <v>2640</v>
      </c>
      <c r="U181" s="136">
        <f t="shared" si="63"/>
        <v>0</v>
      </c>
      <c r="V181" s="136">
        <v>2640</v>
      </c>
    </row>
    <row r="182" spans="1:22" x14ac:dyDescent="0.3">
      <c r="A182" s="136" t="s">
        <v>6</v>
      </c>
      <c r="B182" s="136" t="s">
        <v>5</v>
      </c>
      <c r="C182" s="136" t="s">
        <v>642</v>
      </c>
      <c r="D182" s="143">
        <v>42964</v>
      </c>
      <c r="E182" s="136">
        <v>59879.64</v>
      </c>
      <c r="F182" s="136" t="s">
        <v>14</v>
      </c>
      <c r="G182" s="140" t="s">
        <v>11</v>
      </c>
      <c r="H182" s="136" t="s">
        <v>12</v>
      </c>
      <c r="J182" s="139">
        <v>28</v>
      </c>
      <c r="K182" s="138">
        <v>46780.98</v>
      </c>
      <c r="L182" s="136">
        <v>0</v>
      </c>
      <c r="M182" s="136">
        <f>+J182/100*K182/2-0.01</f>
        <v>6549.3272000000006</v>
      </c>
      <c r="N182" s="136">
        <f>+J182/100*K182/2-0.01</f>
        <v>6549.3272000000006</v>
      </c>
      <c r="O182" s="136">
        <v>0</v>
      </c>
      <c r="P182" s="175">
        <v>87081090</v>
      </c>
      <c r="Q182" s="137" t="s">
        <v>22</v>
      </c>
      <c r="R182" s="136" t="s">
        <v>13</v>
      </c>
      <c r="S182" s="136">
        <v>564</v>
      </c>
      <c r="T182" s="136">
        <v>564</v>
      </c>
      <c r="U182" s="136">
        <f t="shared" si="63"/>
        <v>0</v>
      </c>
      <c r="V182" s="136">
        <v>564</v>
      </c>
    </row>
    <row r="183" spans="1:22" x14ac:dyDescent="0.3">
      <c r="A183" s="136" t="s">
        <v>255</v>
      </c>
      <c r="B183" s="136" t="s">
        <v>254</v>
      </c>
      <c r="C183" s="136" t="s">
        <v>643</v>
      </c>
      <c r="D183" s="143">
        <v>42964</v>
      </c>
      <c r="E183" s="136">
        <v>1939.92</v>
      </c>
      <c r="F183" s="136" t="s">
        <v>14</v>
      </c>
      <c r="G183" s="140" t="s">
        <v>11</v>
      </c>
      <c r="H183" s="136" t="s">
        <v>12</v>
      </c>
      <c r="J183" s="139">
        <v>18</v>
      </c>
      <c r="K183" s="138">
        <v>1644</v>
      </c>
      <c r="L183" s="136">
        <v>0</v>
      </c>
      <c r="M183" s="136">
        <f t="shared" ref="M183:M185" si="81">+J183/100*K183/2</f>
        <v>147.96</v>
      </c>
      <c r="N183" s="136">
        <f t="shared" ref="N183:N185" si="82">+J183/100*K183/2</f>
        <v>147.96</v>
      </c>
      <c r="O183" s="136">
        <v>0</v>
      </c>
      <c r="P183" s="175">
        <v>998898</v>
      </c>
      <c r="Q183" s="137" t="s">
        <v>22</v>
      </c>
      <c r="R183" s="136" t="s">
        <v>13</v>
      </c>
      <c r="S183" s="136">
        <v>0</v>
      </c>
      <c r="T183" s="136">
        <v>0</v>
      </c>
      <c r="U183" s="136">
        <f t="shared" si="63"/>
        <v>0</v>
      </c>
      <c r="V183" s="136">
        <v>200</v>
      </c>
    </row>
    <row r="184" spans="1:22" x14ac:dyDescent="0.3">
      <c r="A184" s="136" t="s">
        <v>40</v>
      </c>
      <c r="B184" s="136" t="s">
        <v>39</v>
      </c>
      <c r="C184" s="136" t="s">
        <v>644</v>
      </c>
      <c r="D184" s="143">
        <v>42964</v>
      </c>
      <c r="E184" s="136">
        <v>9052.7000000000007</v>
      </c>
      <c r="F184" s="136" t="s">
        <v>14</v>
      </c>
      <c r="G184" s="140" t="s">
        <v>11</v>
      </c>
      <c r="H184" s="136" t="s">
        <v>12</v>
      </c>
      <c r="J184" s="139">
        <v>18</v>
      </c>
      <c r="K184" s="138">
        <v>7671.78</v>
      </c>
      <c r="L184" s="136">
        <v>0</v>
      </c>
      <c r="M184" s="136">
        <f t="shared" si="81"/>
        <v>690.46019999999999</v>
      </c>
      <c r="N184" s="136">
        <f t="shared" si="82"/>
        <v>690.46019999999999</v>
      </c>
      <c r="O184" s="136">
        <v>0</v>
      </c>
      <c r="P184" s="175">
        <v>998898</v>
      </c>
      <c r="Q184" s="137" t="s">
        <v>22</v>
      </c>
      <c r="R184" s="136" t="s">
        <v>13</v>
      </c>
      <c r="S184" s="136">
        <v>0</v>
      </c>
      <c r="T184" s="136">
        <v>0</v>
      </c>
      <c r="U184" s="136">
        <f t="shared" si="63"/>
        <v>0</v>
      </c>
      <c r="V184" s="136">
        <v>27</v>
      </c>
    </row>
    <row r="185" spans="1:22" x14ac:dyDescent="0.3">
      <c r="A185" s="136" t="s">
        <v>180</v>
      </c>
      <c r="B185" s="136" t="s">
        <v>360</v>
      </c>
      <c r="C185" s="136" t="s">
        <v>645</v>
      </c>
      <c r="D185" s="143">
        <v>42964</v>
      </c>
      <c r="E185" s="136">
        <v>36352</v>
      </c>
      <c r="F185" s="136" t="s">
        <v>14</v>
      </c>
      <c r="G185" s="140" t="s">
        <v>11</v>
      </c>
      <c r="H185" s="136" t="s">
        <v>12</v>
      </c>
      <c r="J185" s="139">
        <v>28</v>
      </c>
      <c r="K185" s="138">
        <v>28400</v>
      </c>
      <c r="L185" s="136">
        <v>0</v>
      </c>
      <c r="M185" s="136">
        <f t="shared" si="81"/>
        <v>3976.0000000000005</v>
      </c>
      <c r="N185" s="136">
        <f t="shared" si="82"/>
        <v>3976.0000000000005</v>
      </c>
      <c r="O185" s="136">
        <v>0</v>
      </c>
      <c r="P185" s="175">
        <v>87089900</v>
      </c>
      <c r="Q185" s="137" t="s">
        <v>22</v>
      </c>
      <c r="R185" s="136" t="s">
        <v>13</v>
      </c>
      <c r="S185" s="136">
        <v>60</v>
      </c>
      <c r="T185" s="136">
        <v>60</v>
      </c>
      <c r="U185" s="136">
        <f t="shared" si="63"/>
        <v>0</v>
      </c>
      <c r="V185" s="136">
        <v>60</v>
      </c>
    </row>
    <row r="186" spans="1:22" x14ac:dyDescent="0.3">
      <c r="A186" s="136" t="s">
        <v>6</v>
      </c>
      <c r="B186" s="136" t="s">
        <v>5</v>
      </c>
      <c r="C186" s="136" t="s">
        <v>646</v>
      </c>
      <c r="D186" s="143">
        <v>42964</v>
      </c>
      <c r="E186" s="136">
        <v>67523.88</v>
      </c>
      <c r="F186" s="136" t="s">
        <v>14</v>
      </c>
      <c r="G186" s="140" t="s">
        <v>11</v>
      </c>
      <c r="H186" s="136" t="s">
        <v>12</v>
      </c>
      <c r="J186" s="139">
        <v>28</v>
      </c>
      <c r="K186" s="138">
        <v>52753.02</v>
      </c>
      <c r="L186" s="136">
        <v>0</v>
      </c>
      <c r="M186" s="136">
        <f>+J186/100*K186/2+0.01</f>
        <v>7385.4328000000005</v>
      </c>
      <c r="N186" s="136">
        <f>+J186/100*K186/2+0.01</f>
        <v>7385.4328000000005</v>
      </c>
      <c r="O186" s="136">
        <v>0</v>
      </c>
      <c r="P186" s="175">
        <v>87081090</v>
      </c>
      <c r="Q186" s="137" t="s">
        <v>22</v>
      </c>
      <c r="R186" s="136" t="s">
        <v>13</v>
      </c>
      <c r="S186" s="136">
        <v>636</v>
      </c>
      <c r="T186" s="136">
        <v>636</v>
      </c>
      <c r="U186" s="136">
        <f t="shared" si="63"/>
        <v>0</v>
      </c>
      <c r="V186" s="136">
        <v>636</v>
      </c>
    </row>
    <row r="187" spans="1:22" x14ac:dyDescent="0.3">
      <c r="A187" s="136" t="s">
        <v>246</v>
      </c>
      <c r="B187" s="136" t="s">
        <v>245</v>
      </c>
      <c r="C187" s="136" t="s">
        <v>647</v>
      </c>
      <c r="D187" s="143">
        <v>42964</v>
      </c>
      <c r="E187" s="136">
        <v>55954.68</v>
      </c>
      <c r="F187" s="136" t="s">
        <v>14</v>
      </c>
      <c r="G187" s="140" t="s">
        <v>11</v>
      </c>
      <c r="H187" s="136" t="s">
        <v>12</v>
      </c>
      <c r="J187" s="139">
        <v>28</v>
      </c>
      <c r="K187" s="138">
        <v>43714.6</v>
      </c>
      <c r="L187" s="136">
        <v>0</v>
      </c>
      <c r="M187" s="136">
        <f t="shared" ref="M187" si="83">+J187/100*K187/2</f>
        <v>6120.0440000000008</v>
      </c>
      <c r="N187" s="136">
        <f t="shared" ref="N187" si="84">+J187/100*K187/2</f>
        <v>6120.0440000000008</v>
      </c>
      <c r="O187" s="136">
        <v>0</v>
      </c>
      <c r="P187" s="175">
        <v>87141090</v>
      </c>
      <c r="Q187" s="137" t="s">
        <v>22</v>
      </c>
      <c r="R187" s="136" t="s">
        <v>13</v>
      </c>
      <c r="S187" s="136">
        <v>580</v>
      </c>
      <c r="T187" s="136">
        <v>580</v>
      </c>
      <c r="U187" s="136">
        <f t="shared" si="63"/>
        <v>0</v>
      </c>
      <c r="V187" s="136">
        <v>580</v>
      </c>
    </row>
    <row r="188" spans="1:22" x14ac:dyDescent="0.3">
      <c r="A188" s="136" t="s">
        <v>253</v>
      </c>
      <c r="B188" s="136" t="s">
        <v>252</v>
      </c>
      <c r="C188" s="136" t="s">
        <v>648</v>
      </c>
      <c r="D188" s="143">
        <v>42964</v>
      </c>
      <c r="E188" s="136">
        <v>6477.28</v>
      </c>
      <c r="F188" s="136" t="s">
        <v>14</v>
      </c>
      <c r="G188" s="140" t="s">
        <v>11</v>
      </c>
      <c r="H188" s="136" t="s">
        <v>12</v>
      </c>
      <c r="J188" s="139">
        <v>18</v>
      </c>
      <c r="K188" s="138">
        <v>5489.22</v>
      </c>
      <c r="L188" s="136">
        <v>0</v>
      </c>
      <c r="M188" s="136">
        <f>+J188/100*K188/2</f>
        <v>494.02980000000002</v>
      </c>
      <c r="N188" s="136">
        <f>+J188/100*K188/2</f>
        <v>494.02980000000002</v>
      </c>
      <c r="O188" s="136">
        <v>0</v>
      </c>
      <c r="P188" s="175">
        <v>998898</v>
      </c>
      <c r="Q188" s="137" t="s">
        <v>22</v>
      </c>
      <c r="R188" s="136" t="s">
        <v>13</v>
      </c>
      <c r="S188" s="136">
        <v>11</v>
      </c>
      <c r="T188" s="136">
        <v>11</v>
      </c>
      <c r="U188" s="136">
        <f t="shared" si="63"/>
        <v>0</v>
      </c>
      <c r="V188" s="136">
        <v>11</v>
      </c>
    </row>
    <row r="189" spans="1:22" x14ac:dyDescent="0.3">
      <c r="A189" s="136" t="s">
        <v>6</v>
      </c>
      <c r="B189" s="136" t="s">
        <v>5</v>
      </c>
      <c r="C189" s="136" t="s">
        <v>649</v>
      </c>
      <c r="D189" s="143">
        <v>42964</v>
      </c>
      <c r="E189" s="136">
        <v>21658.6</v>
      </c>
      <c r="F189" s="136" t="s">
        <v>14</v>
      </c>
      <c r="G189" s="140" t="s">
        <v>11</v>
      </c>
      <c r="H189" s="136" t="s">
        <v>12</v>
      </c>
      <c r="J189" s="139">
        <v>28</v>
      </c>
      <c r="K189" s="138">
        <v>16920.78</v>
      </c>
      <c r="L189" s="136">
        <v>0</v>
      </c>
      <c r="M189" s="136">
        <f>+J189/100*K189/2</f>
        <v>2368.9092000000001</v>
      </c>
      <c r="N189" s="136">
        <f>+J189/100*K189/2</f>
        <v>2368.9092000000001</v>
      </c>
      <c r="O189" s="136">
        <v>0</v>
      </c>
      <c r="P189" s="175">
        <v>87081090</v>
      </c>
      <c r="Q189" s="137" t="s">
        <v>22</v>
      </c>
      <c r="R189" s="136" t="s">
        <v>13</v>
      </c>
      <c r="S189" s="136">
        <v>204</v>
      </c>
      <c r="T189" s="136">
        <v>204</v>
      </c>
      <c r="U189" s="136">
        <f t="shared" si="63"/>
        <v>0</v>
      </c>
      <c r="V189" s="136">
        <v>204</v>
      </c>
    </row>
    <row r="190" spans="1:22" x14ac:dyDescent="0.3">
      <c r="A190" s="136" t="s">
        <v>6</v>
      </c>
      <c r="B190" s="136" t="s">
        <v>5</v>
      </c>
      <c r="C190" s="136" t="s">
        <v>650</v>
      </c>
      <c r="D190" s="143">
        <v>42964</v>
      </c>
      <c r="E190" s="136">
        <v>31810.560000000001</v>
      </c>
      <c r="F190" s="136" t="s">
        <v>14</v>
      </c>
      <c r="G190" s="140" t="s">
        <v>11</v>
      </c>
      <c r="H190" s="136" t="s">
        <v>12</v>
      </c>
      <c r="J190" s="139">
        <v>28</v>
      </c>
      <c r="K190" s="138">
        <v>24852</v>
      </c>
      <c r="L190" s="136">
        <v>0</v>
      </c>
      <c r="M190" s="136">
        <f>+J190/100*K190/2</f>
        <v>3479.28</v>
      </c>
      <c r="N190" s="136">
        <f>+J190/100*K190/2</f>
        <v>3479.28</v>
      </c>
      <c r="O190" s="136">
        <v>0</v>
      </c>
      <c r="P190" s="175">
        <v>87141090</v>
      </c>
      <c r="Q190" s="137" t="s">
        <v>22</v>
      </c>
      <c r="R190" s="136" t="s">
        <v>13</v>
      </c>
      <c r="S190" s="136">
        <v>528</v>
      </c>
      <c r="T190" s="136">
        <v>528</v>
      </c>
      <c r="U190" s="136">
        <f t="shared" si="63"/>
        <v>0</v>
      </c>
      <c r="V190" s="136">
        <v>528</v>
      </c>
    </row>
    <row r="191" spans="1:22" x14ac:dyDescent="0.3">
      <c r="A191" s="136" t="s">
        <v>269</v>
      </c>
      <c r="B191" s="136" t="s">
        <v>268</v>
      </c>
      <c r="C191" s="136" t="s">
        <v>651</v>
      </c>
      <c r="D191" s="143">
        <v>42964</v>
      </c>
      <c r="E191" s="136">
        <v>25423.1</v>
      </c>
      <c r="F191" s="136" t="s">
        <v>14</v>
      </c>
      <c r="G191" s="140" t="s">
        <v>11</v>
      </c>
      <c r="H191" s="136" t="s">
        <v>12</v>
      </c>
      <c r="J191" s="139">
        <v>18</v>
      </c>
      <c r="K191" s="138">
        <v>21545</v>
      </c>
      <c r="L191" s="136">
        <v>0</v>
      </c>
      <c r="M191" s="136">
        <f t="shared" ref="M191" si="85">+J191/100*K191/2</f>
        <v>1939.05</v>
      </c>
      <c r="N191" s="136">
        <f t="shared" ref="N191" si="86">+J191/100*K191/2</f>
        <v>1939.05</v>
      </c>
      <c r="O191" s="136">
        <v>0</v>
      </c>
      <c r="P191" s="175">
        <v>998898</v>
      </c>
      <c r="Q191" s="137" t="s">
        <v>22</v>
      </c>
      <c r="R191" s="136" t="s">
        <v>13</v>
      </c>
      <c r="S191" s="136">
        <v>0</v>
      </c>
      <c r="T191" s="136">
        <v>0</v>
      </c>
      <c r="U191" s="136">
        <f t="shared" si="63"/>
        <v>0</v>
      </c>
      <c r="V191" s="136">
        <v>302</v>
      </c>
    </row>
    <row r="192" spans="1:22" x14ac:dyDescent="0.3">
      <c r="A192" s="136" t="s">
        <v>253</v>
      </c>
      <c r="B192" s="136" t="s">
        <v>252</v>
      </c>
      <c r="C192" s="136" t="s">
        <v>652</v>
      </c>
      <c r="D192" s="143">
        <v>42964</v>
      </c>
      <c r="E192" s="136">
        <v>7066.12</v>
      </c>
      <c r="F192" s="136" t="s">
        <v>14</v>
      </c>
      <c r="G192" s="140" t="s">
        <v>11</v>
      </c>
      <c r="H192" s="136" t="s">
        <v>12</v>
      </c>
      <c r="J192" s="139">
        <v>18</v>
      </c>
      <c r="K192" s="138">
        <v>5988.24</v>
      </c>
      <c r="L192" s="136">
        <v>0</v>
      </c>
      <c r="M192" s="136">
        <f>+J192/100*K192/2</f>
        <v>538.94159999999999</v>
      </c>
      <c r="N192" s="136">
        <f>+J192/100*K192/2</f>
        <v>538.94159999999999</v>
      </c>
      <c r="O192" s="136">
        <v>0</v>
      </c>
      <c r="P192" s="175">
        <v>998898</v>
      </c>
      <c r="Q192" s="137" t="s">
        <v>22</v>
      </c>
      <c r="R192" s="136" t="s">
        <v>13</v>
      </c>
      <c r="S192" s="136">
        <v>12</v>
      </c>
      <c r="T192" s="136">
        <v>12</v>
      </c>
      <c r="U192" s="136">
        <f t="shared" si="63"/>
        <v>0</v>
      </c>
      <c r="V192" s="136">
        <v>12</v>
      </c>
    </row>
    <row r="193" spans="1:22" x14ac:dyDescent="0.3">
      <c r="A193" s="136" t="s">
        <v>40</v>
      </c>
      <c r="B193" s="136" t="s">
        <v>39</v>
      </c>
      <c r="C193" s="136" t="s">
        <v>653</v>
      </c>
      <c r="D193" s="143">
        <v>42965</v>
      </c>
      <c r="E193" s="136">
        <v>10058.56</v>
      </c>
      <c r="F193" s="136" t="s">
        <v>14</v>
      </c>
      <c r="G193" s="140" t="s">
        <v>11</v>
      </c>
      <c r="H193" s="136" t="s">
        <v>12</v>
      </c>
      <c r="J193" s="139">
        <v>18</v>
      </c>
      <c r="K193" s="138">
        <v>8524.2000000000007</v>
      </c>
      <c r="L193" s="136">
        <v>0</v>
      </c>
      <c r="M193" s="136">
        <f t="shared" ref="M193" si="87">+J193/100*K193/2</f>
        <v>767.178</v>
      </c>
      <c r="N193" s="136">
        <f t="shared" ref="N193" si="88">+J193/100*K193/2</f>
        <v>767.178</v>
      </c>
      <c r="O193" s="136">
        <v>0</v>
      </c>
      <c r="P193" s="175">
        <v>998898</v>
      </c>
      <c r="Q193" s="137" t="s">
        <v>22</v>
      </c>
      <c r="R193" s="136" t="s">
        <v>13</v>
      </c>
      <c r="S193" s="136">
        <v>0</v>
      </c>
      <c r="T193" s="136">
        <v>0</v>
      </c>
      <c r="U193" s="136">
        <f t="shared" si="63"/>
        <v>0</v>
      </c>
      <c r="V193" s="136">
        <v>30</v>
      </c>
    </row>
    <row r="194" spans="1:22" x14ac:dyDescent="0.3">
      <c r="A194" s="136" t="s">
        <v>6</v>
      </c>
      <c r="B194" s="136" t="s">
        <v>5</v>
      </c>
      <c r="C194" s="136" t="s">
        <v>654</v>
      </c>
      <c r="D194" s="143">
        <v>42965</v>
      </c>
      <c r="E194" s="136">
        <v>50961.4</v>
      </c>
      <c r="F194" s="136" t="s">
        <v>14</v>
      </c>
      <c r="G194" s="140" t="s">
        <v>11</v>
      </c>
      <c r="H194" s="136" t="s">
        <v>12</v>
      </c>
      <c r="J194" s="139">
        <v>28</v>
      </c>
      <c r="K194" s="138">
        <v>39813.599999999999</v>
      </c>
      <c r="L194" s="136">
        <v>0</v>
      </c>
      <c r="M194" s="136">
        <f>+J194/100*K194/2</f>
        <v>5573.9040000000005</v>
      </c>
      <c r="N194" s="136">
        <f>+J194/100*K194/2</f>
        <v>5573.9040000000005</v>
      </c>
      <c r="O194" s="136">
        <v>0</v>
      </c>
      <c r="P194" s="175">
        <v>87081090</v>
      </c>
      <c r="Q194" s="137" t="s">
        <v>22</v>
      </c>
      <c r="R194" s="136" t="s">
        <v>13</v>
      </c>
      <c r="S194" s="136">
        <v>480</v>
      </c>
      <c r="T194" s="136">
        <v>480</v>
      </c>
      <c r="U194" s="136">
        <f t="shared" si="63"/>
        <v>0</v>
      </c>
      <c r="V194" s="136">
        <v>480</v>
      </c>
    </row>
    <row r="195" spans="1:22" x14ac:dyDescent="0.3">
      <c r="A195" s="136" t="s">
        <v>246</v>
      </c>
      <c r="B195" s="136" t="s">
        <v>245</v>
      </c>
      <c r="C195" s="136" t="s">
        <v>655</v>
      </c>
      <c r="D195" s="143">
        <v>42965</v>
      </c>
      <c r="E195" s="136">
        <v>73319.94</v>
      </c>
      <c r="F195" s="136" t="s">
        <v>14</v>
      </c>
      <c r="G195" s="140" t="s">
        <v>11</v>
      </c>
      <c r="H195" s="136" t="s">
        <v>12</v>
      </c>
      <c r="J195" s="139">
        <v>28</v>
      </c>
      <c r="K195" s="138">
        <v>57281.2</v>
      </c>
      <c r="L195" s="136">
        <v>0</v>
      </c>
      <c r="M195" s="136">
        <f t="shared" ref="M195:M198" si="89">+J195/100*K195/2</f>
        <v>8019.3680000000004</v>
      </c>
      <c r="N195" s="136">
        <f t="shared" ref="N195:N198" si="90">+J195/100*K195/2</f>
        <v>8019.3680000000004</v>
      </c>
      <c r="O195" s="136">
        <v>0</v>
      </c>
      <c r="P195" s="175">
        <v>87141090</v>
      </c>
      <c r="Q195" s="137" t="s">
        <v>22</v>
      </c>
      <c r="R195" s="136" t="s">
        <v>13</v>
      </c>
      <c r="S195" s="136">
        <v>760</v>
      </c>
      <c r="T195" s="136">
        <v>760</v>
      </c>
      <c r="U195" s="136">
        <f t="shared" si="63"/>
        <v>0</v>
      </c>
      <c r="V195" s="136">
        <v>760</v>
      </c>
    </row>
    <row r="196" spans="1:22" x14ac:dyDescent="0.3">
      <c r="A196" s="136" t="s">
        <v>180</v>
      </c>
      <c r="B196" s="136" t="s">
        <v>360</v>
      </c>
      <c r="C196" s="136" t="s">
        <v>656</v>
      </c>
      <c r="D196" s="143">
        <v>42965</v>
      </c>
      <c r="E196" s="136">
        <v>43890.9</v>
      </c>
      <c r="F196" s="136" t="s">
        <v>14</v>
      </c>
      <c r="G196" s="140" t="s">
        <v>11</v>
      </c>
      <c r="H196" s="136" t="s">
        <v>12</v>
      </c>
      <c r="J196" s="139">
        <v>28</v>
      </c>
      <c r="K196" s="138">
        <v>34289.760000000002</v>
      </c>
      <c r="L196" s="136">
        <v>0</v>
      </c>
      <c r="M196" s="136">
        <f t="shared" si="89"/>
        <v>4800.5664000000006</v>
      </c>
      <c r="N196" s="136">
        <f t="shared" si="90"/>
        <v>4800.5664000000006</v>
      </c>
      <c r="O196" s="136">
        <v>0</v>
      </c>
      <c r="P196" s="175">
        <v>87089900</v>
      </c>
      <c r="Q196" s="137" t="s">
        <v>22</v>
      </c>
      <c r="R196" s="136" t="s">
        <v>13</v>
      </c>
      <c r="S196" s="136">
        <v>84</v>
      </c>
      <c r="T196" s="136">
        <v>84</v>
      </c>
      <c r="U196" s="136">
        <f t="shared" si="63"/>
        <v>0</v>
      </c>
      <c r="V196" s="136">
        <v>84</v>
      </c>
    </row>
    <row r="197" spans="1:22" x14ac:dyDescent="0.3">
      <c r="A197" s="136" t="s">
        <v>657</v>
      </c>
      <c r="B197" s="136" t="s">
        <v>658</v>
      </c>
      <c r="C197" s="136" t="s">
        <v>659</v>
      </c>
      <c r="D197" s="143">
        <v>42965</v>
      </c>
      <c r="E197" s="136">
        <v>6962</v>
      </c>
      <c r="F197" s="136" t="s">
        <v>14</v>
      </c>
      <c r="G197" s="140" t="s">
        <v>11</v>
      </c>
      <c r="H197" s="136" t="s">
        <v>12</v>
      </c>
      <c r="J197" s="139">
        <v>18</v>
      </c>
      <c r="K197" s="138">
        <v>5900</v>
      </c>
      <c r="L197" s="136">
        <v>0</v>
      </c>
      <c r="M197" s="136">
        <f t="shared" si="89"/>
        <v>531</v>
      </c>
      <c r="N197" s="136">
        <f t="shared" si="90"/>
        <v>531</v>
      </c>
      <c r="O197" s="136">
        <v>0</v>
      </c>
      <c r="P197" s="175">
        <v>998873</v>
      </c>
      <c r="Q197" s="137" t="s">
        <v>22</v>
      </c>
      <c r="R197" s="136" t="s">
        <v>13</v>
      </c>
      <c r="S197" s="136">
        <v>200</v>
      </c>
      <c r="T197" s="136">
        <v>200</v>
      </c>
      <c r="U197" s="136">
        <f t="shared" si="63"/>
        <v>0</v>
      </c>
      <c r="V197" s="136">
        <v>200</v>
      </c>
    </row>
    <row r="198" spans="1:22" x14ac:dyDescent="0.3">
      <c r="A198" s="136" t="s">
        <v>657</v>
      </c>
      <c r="B198" s="136" t="s">
        <v>658</v>
      </c>
      <c r="C198" s="136" t="s">
        <v>660</v>
      </c>
      <c r="D198" s="143">
        <v>42965</v>
      </c>
      <c r="E198" s="136">
        <v>6962</v>
      </c>
      <c r="F198" s="136" t="s">
        <v>14</v>
      </c>
      <c r="G198" s="140" t="s">
        <v>11</v>
      </c>
      <c r="H198" s="136" t="s">
        <v>12</v>
      </c>
      <c r="J198" s="139">
        <v>18</v>
      </c>
      <c r="K198" s="138">
        <v>5900</v>
      </c>
      <c r="L198" s="136">
        <v>0</v>
      </c>
      <c r="M198" s="136">
        <f t="shared" si="89"/>
        <v>531</v>
      </c>
      <c r="N198" s="136">
        <f t="shared" si="90"/>
        <v>531</v>
      </c>
      <c r="O198" s="136">
        <v>0</v>
      </c>
      <c r="P198" s="175">
        <v>998873</v>
      </c>
      <c r="Q198" s="137" t="s">
        <v>22</v>
      </c>
      <c r="R198" s="136" t="s">
        <v>13</v>
      </c>
      <c r="S198" s="136">
        <v>200</v>
      </c>
      <c r="T198" s="136">
        <v>200</v>
      </c>
      <c r="U198" s="136">
        <f t="shared" si="63"/>
        <v>0</v>
      </c>
      <c r="V198" s="136">
        <v>200</v>
      </c>
    </row>
    <row r="199" spans="1:22" x14ac:dyDescent="0.3">
      <c r="A199" s="136" t="s">
        <v>6</v>
      </c>
      <c r="B199" s="136" t="s">
        <v>5</v>
      </c>
      <c r="C199" s="136" t="s">
        <v>661</v>
      </c>
      <c r="D199" s="143">
        <v>42965</v>
      </c>
      <c r="E199" s="136">
        <v>39495.08</v>
      </c>
      <c r="F199" s="136" t="s">
        <v>14</v>
      </c>
      <c r="G199" s="140" t="s">
        <v>11</v>
      </c>
      <c r="H199" s="136" t="s">
        <v>12</v>
      </c>
      <c r="J199" s="139">
        <v>28</v>
      </c>
      <c r="K199" s="138">
        <v>30855.54</v>
      </c>
      <c r="L199" s="136">
        <v>0</v>
      </c>
      <c r="M199" s="136">
        <f>+J199/100*K199/2-0.01</f>
        <v>4319.7656000000006</v>
      </c>
      <c r="N199" s="136">
        <f>+J199/100*K199/2-0.01</f>
        <v>4319.7656000000006</v>
      </c>
      <c r="O199" s="136">
        <v>0</v>
      </c>
      <c r="P199" s="175">
        <v>87081090</v>
      </c>
      <c r="Q199" s="137" t="s">
        <v>22</v>
      </c>
      <c r="R199" s="136" t="s">
        <v>13</v>
      </c>
      <c r="S199" s="136">
        <v>372</v>
      </c>
      <c r="T199" s="136">
        <v>372</v>
      </c>
      <c r="U199" s="136">
        <f t="shared" si="63"/>
        <v>0</v>
      </c>
      <c r="V199" s="136">
        <v>372</v>
      </c>
    </row>
    <row r="200" spans="1:22" x14ac:dyDescent="0.3">
      <c r="A200" s="136" t="s">
        <v>186</v>
      </c>
      <c r="B200" s="136" t="s">
        <v>187</v>
      </c>
      <c r="C200" s="136" t="s">
        <v>662</v>
      </c>
      <c r="D200" s="143">
        <v>42965</v>
      </c>
      <c r="E200" s="136">
        <v>46080</v>
      </c>
      <c r="F200" s="136" t="s">
        <v>14</v>
      </c>
      <c r="G200" s="140" t="s">
        <v>11</v>
      </c>
      <c r="H200" s="136" t="s">
        <v>12</v>
      </c>
      <c r="J200" s="139">
        <v>28</v>
      </c>
      <c r="K200" s="138">
        <v>36000</v>
      </c>
      <c r="L200" s="136">
        <v>0</v>
      </c>
      <c r="M200" s="136">
        <f t="shared" ref="M200" si="91">+J200/100*K200/2</f>
        <v>5040.0000000000009</v>
      </c>
      <c r="N200" s="136">
        <f t="shared" ref="N200" si="92">+J200/100*K200/2</f>
        <v>5040.0000000000009</v>
      </c>
      <c r="O200" s="136">
        <v>0</v>
      </c>
      <c r="P200" s="175">
        <v>85129000</v>
      </c>
      <c r="Q200" s="137" t="s">
        <v>22</v>
      </c>
      <c r="R200" s="136" t="s">
        <v>13</v>
      </c>
      <c r="S200" s="136">
        <v>1440</v>
      </c>
      <c r="T200" s="136">
        <v>1440</v>
      </c>
      <c r="U200" s="136">
        <f t="shared" ref="U200:U230" si="93">+S200-T200</f>
        <v>0</v>
      </c>
      <c r="V200" s="136">
        <v>1440</v>
      </c>
    </row>
    <row r="201" spans="1:22" x14ac:dyDescent="0.3">
      <c r="A201" s="136" t="s">
        <v>6</v>
      </c>
      <c r="B201" s="136" t="s">
        <v>5</v>
      </c>
      <c r="C201" s="136" t="s">
        <v>663</v>
      </c>
      <c r="D201" s="143">
        <v>42965</v>
      </c>
      <c r="E201" s="136">
        <v>36947.040000000001</v>
      </c>
      <c r="F201" s="136" t="s">
        <v>14</v>
      </c>
      <c r="G201" s="140" t="s">
        <v>11</v>
      </c>
      <c r="H201" s="136" t="s">
        <v>12</v>
      </c>
      <c r="J201" s="139">
        <v>28</v>
      </c>
      <c r="K201" s="138">
        <v>28864.86</v>
      </c>
      <c r="L201" s="136">
        <v>0</v>
      </c>
      <c r="M201" s="136">
        <f>+J201/100*K201/2+0.01</f>
        <v>4041.0904000000005</v>
      </c>
      <c r="N201" s="136">
        <f>+J201/100*K201/2+0.01</f>
        <v>4041.0904000000005</v>
      </c>
      <c r="O201" s="136">
        <v>0</v>
      </c>
      <c r="P201" s="175">
        <v>87081090</v>
      </c>
      <c r="Q201" s="137" t="s">
        <v>22</v>
      </c>
      <c r="R201" s="136" t="s">
        <v>13</v>
      </c>
      <c r="S201" s="136">
        <v>348</v>
      </c>
      <c r="T201" s="136">
        <v>348</v>
      </c>
      <c r="U201" s="136">
        <f t="shared" si="93"/>
        <v>0</v>
      </c>
      <c r="V201" s="136">
        <v>348</v>
      </c>
    </row>
    <row r="202" spans="1:22" x14ac:dyDescent="0.3">
      <c r="A202" s="136" t="s">
        <v>253</v>
      </c>
      <c r="B202" s="136" t="s">
        <v>252</v>
      </c>
      <c r="C202" s="136" t="s">
        <v>664</v>
      </c>
      <c r="D202" s="143">
        <v>42965</v>
      </c>
      <c r="E202" s="136">
        <v>7066.12</v>
      </c>
      <c r="F202" s="136" t="s">
        <v>14</v>
      </c>
      <c r="G202" s="140" t="s">
        <v>11</v>
      </c>
      <c r="H202" s="136" t="s">
        <v>12</v>
      </c>
      <c r="J202" s="139">
        <v>18</v>
      </c>
      <c r="K202" s="138">
        <v>5988.24</v>
      </c>
      <c r="L202" s="136">
        <v>0</v>
      </c>
      <c r="M202" s="136">
        <f>+J202/100*K202/2</f>
        <v>538.94159999999999</v>
      </c>
      <c r="N202" s="136">
        <f>+J202/100*K202/2</f>
        <v>538.94159999999999</v>
      </c>
      <c r="O202" s="136">
        <v>0</v>
      </c>
      <c r="P202" s="175">
        <v>998898</v>
      </c>
      <c r="Q202" s="137" t="s">
        <v>22</v>
      </c>
      <c r="R202" s="136" t="s">
        <v>13</v>
      </c>
      <c r="S202" s="136">
        <v>12</v>
      </c>
      <c r="T202" s="136">
        <v>12</v>
      </c>
      <c r="U202" s="136">
        <f t="shared" si="93"/>
        <v>0</v>
      </c>
      <c r="V202" s="136">
        <v>12</v>
      </c>
    </row>
    <row r="203" spans="1:22" x14ac:dyDescent="0.3">
      <c r="A203" s="136" t="s">
        <v>179</v>
      </c>
      <c r="B203" s="136" t="s">
        <v>178</v>
      </c>
      <c r="C203" s="136" t="s">
        <v>665</v>
      </c>
      <c r="D203" s="143">
        <v>42965</v>
      </c>
      <c r="E203" s="136">
        <v>48004.08</v>
      </c>
      <c r="F203" s="136" t="s">
        <v>14</v>
      </c>
      <c r="G203" s="140" t="s">
        <v>11</v>
      </c>
      <c r="H203" s="136" t="s">
        <v>12</v>
      </c>
      <c r="J203" s="139">
        <v>28</v>
      </c>
      <c r="K203" s="138">
        <v>37503.18</v>
      </c>
      <c r="L203" s="136">
        <v>0</v>
      </c>
      <c r="M203" s="136">
        <f t="shared" ref="M203" si="94">+J203/100*K203/2</f>
        <v>5250.4452000000001</v>
      </c>
      <c r="N203" s="136">
        <f t="shared" ref="N203" si="95">+J203/100*K203/2</f>
        <v>5250.4452000000001</v>
      </c>
      <c r="O203" s="136">
        <v>0</v>
      </c>
      <c r="P203" s="175">
        <v>85129000</v>
      </c>
      <c r="Q203" s="137" t="s">
        <v>22</v>
      </c>
      <c r="R203" s="136" t="s">
        <v>13</v>
      </c>
      <c r="S203" s="136">
        <v>558</v>
      </c>
      <c r="T203" s="136">
        <v>558</v>
      </c>
      <c r="U203" s="136">
        <f t="shared" si="93"/>
        <v>0</v>
      </c>
      <c r="V203" s="136">
        <v>558</v>
      </c>
    </row>
    <row r="204" spans="1:22" x14ac:dyDescent="0.3">
      <c r="A204" s="136" t="s">
        <v>6</v>
      </c>
      <c r="B204" s="136" t="s">
        <v>5</v>
      </c>
      <c r="C204" s="136" t="s">
        <v>666</v>
      </c>
      <c r="D204" s="143">
        <v>42965</v>
      </c>
      <c r="E204" s="136">
        <v>36016.120000000003</v>
      </c>
      <c r="F204" s="136" t="s">
        <v>14</v>
      </c>
      <c r="G204" s="140" t="s">
        <v>11</v>
      </c>
      <c r="H204" s="136" t="s">
        <v>12</v>
      </c>
      <c r="J204" s="139">
        <v>28</v>
      </c>
      <c r="K204" s="138">
        <v>28137.599999999999</v>
      </c>
      <c r="L204" s="136">
        <v>0</v>
      </c>
      <c r="M204" s="136">
        <f>+J204/100*K204/2</f>
        <v>3939.2640000000001</v>
      </c>
      <c r="N204" s="136">
        <f>+J204/100*K204/2</f>
        <v>3939.2640000000001</v>
      </c>
      <c r="O204" s="136">
        <v>0</v>
      </c>
      <c r="P204" s="175">
        <v>87141090</v>
      </c>
      <c r="Q204" s="137" t="s">
        <v>22</v>
      </c>
      <c r="R204" s="136" t="s">
        <v>13</v>
      </c>
      <c r="S204" s="136">
        <v>240</v>
      </c>
      <c r="T204" s="136">
        <v>240</v>
      </c>
      <c r="U204" s="136">
        <f t="shared" si="93"/>
        <v>0</v>
      </c>
      <c r="V204" s="136">
        <v>240</v>
      </c>
    </row>
    <row r="205" spans="1:22" x14ac:dyDescent="0.3">
      <c r="A205" s="136" t="s">
        <v>6</v>
      </c>
      <c r="B205" s="136" t="s">
        <v>5</v>
      </c>
      <c r="C205" s="136" t="s">
        <v>667</v>
      </c>
      <c r="D205" s="143">
        <v>42965</v>
      </c>
      <c r="E205" s="136">
        <v>2707.2</v>
      </c>
      <c r="F205" s="136" t="s">
        <v>14</v>
      </c>
      <c r="G205" s="140" t="s">
        <v>11</v>
      </c>
      <c r="H205" s="136" t="s">
        <v>12</v>
      </c>
      <c r="J205" s="139">
        <v>28</v>
      </c>
      <c r="K205" s="138">
        <v>2115</v>
      </c>
      <c r="L205" s="136">
        <v>0</v>
      </c>
      <c r="M205" s="136">
        <f>+J205/100*K205/2</f>
        <v>296.10000000000002</v>
      </c>
      <c r="N205" s="136">
        <f>+J205/100*K205/2</f>
        <v>296.10000000000002</v>
      </c>
      <c r="O205" s="136">
        <v>0</v>
      </c>
      <c r="P205" s="175">
        <v>87141090</v>
      </c>
      <c r="Q205" s="137" t="s">
        <v>22</v>
      </c>
      <c r="R205" s="136" t="s">
        <v>13</v>
      </c>
      <c r="S205" s="136">
        <v>60</v>
      </c>
      <c r="T205" s="136">
        <v>60</v>
      </c>
      <c r="U205" s="136">
        <f t="shared" si="93"/>
        <v>0</v>
      </c>
      <c r="V205" s="136">
        <v>60</v>
      </c>
    </row>
    <row r="206" spans="1:22" x14ac:dyDescent="0.3">
      <c r="A206" s="136" t="s">
        <v>253</v>
      </c>
      <c r="B206" s="136" t="s">
        <v>252</v>
      </c>
      <c r="C206" s="136" t="s">
        <v>668</v>
      </c>
      <c r="D206" s="143">
        <v>42965</v>
      </c>
      <c r="E206" s="136">
        <v>6477.28</v>
      </c>
      <c r="F206" s="136" t="s">
        <v>14</v>
      </c>
      <c r="G206" s="140" t="s">
        <v>11</v>
      </c>
      <c r="H206" s="136" t="s">
        <v>12</v>
      </c>
      <c r="J206" s="139">
        <v>18</v>
      </c>
      <c r="K206" s="138">
        <v>5489.22</v>
      </c>
      <c r="L206" s="136">
        <v>0</v>
      </c>
      <c r="M206" s="136">
        <f>+J206/100*K206/2</f>
        <v>494.02980000000002</v>
      </c>
      <c r="N206" s="136">
        <f>+J206/100*K206/2</f>
        <v>494.02980000000002</v>
      </c>
      <c r="O206" s="136">
        <v>0</v>
      </c>
      <c r="P206" s="175">
        <v>998898</v>
      </c>
      <c r="Q206" s="137" t="s">
        <v>22</v>
      </c>
      <c r="R206" s="136" t="s">
        <v>13</v>
      </c>
      <c r="S206" s="136">
        <v>11</v>
      </c>
      <c r="T206" s="136">
        <v>11</v>
      </c>
      <c r="U206" s="136">
        <f t="shared" si="93"/>
        <v>0</v>
      </c>
      <c r="V206" s="136">
        <v>11</v>
      </c>
    </row>
    <row r="207" spans="1:22" x14ac:dyDescent="0.3">
      <c r="A207" s="136" t="s">
        <v>6</v>
      </c>
      <c r="B207" s="136" t="s">
        <v>5</v>
      </c>
      <c r="C207" s="136" t="s">
        <v>669</v>
      </c>
      <c r="D207" s="143">
        <v>42966</v>
      </c>
      <c r="E207" s="136">
        <v>34398.959999999999</v>
      </c>
      <c r="F207" s="136" t="s">
        <v>14</v>
      </c>
      <c r="G207" s="140" t="s">
        <v>11</v>
      </c>
      <c r="H207" s="136" t="s">
        <v>12</v>
      </c>
      <c r="J207" s="139">
        <v>28</v>
      </c>
      <c r="K207" s="138">
        <v>26874.18</v>
      </c>
      <c r="L207" s="136">
        <v>0</v>
      </c>
      <c r="M207" s="136">
        <f>+J207/100*K207/2</f>
        <v>3762.3852000000006</v>
      </c>
      <c r="N207" s="136">
        <f>+J207/100*K207/2</f>
        <v>3762.3852000000006</v>
      </c>
      <c r="O207" s="136">
        <v>0</v>
      </c>
      <c r="P207" s="175">
        <v>87081090</v>
      </c>
      <c r="Q207" s="137" t="s">
        <v>22</v>
      </c>
      <c r="R207" s="136" t="s">
        <v>13</v>
      </c>
      <c r="S207" s="136">
        <v>324</v>
      </c>
      <c r="T207" s="136">
        <v>324</v>
      </c>
      <c r="U207" s="136">
        <f t="shared" si="93"/>
        <v>0</v>
      </c>
      <c r="V207" s="136">
        <v>324</v>
      </c>
    </row>
    <row r="208" spans="1:22" x14ac:dyDescent="0.3">
      <c r="A208" s="136" t="s">
        <v>6</v>
      </c>
      <c r="B208" s="136" t="s">
        <v>5</v>
      </c>
      <c r="C208" s="136" t="s">
        <v>670</v>
      </c>
      <c r="D208" s="143">
        <v>42966</v>
      </c>
      <c r="E208" s="136">
        <v>22356.48</v>
      </c>
      <c r="F208" s="136" t="s">
        <v>14</v>
      </c>
      <c r="G208" s="140" t="s">
        <v>11</v>
      </c>
      <c r="H208" s="136" t="s">
        <v>12</v>
      </c>
      <c r="J208" s="139">
        <v>28</v>
      </c>
      <c r="K208" s="138">
        <v>17466</v>
      </c>
      <c r="L208" s="136">
        <v>0</v>
      </c>
      <c r="M208" s="136">
        <f>+J208/100*K208/2</f>
        <v>2445.2400000000002</v>
      </c>
      <c r="N208" s="136">
        <f>+J208/100*K208/2</f>
        <v>2445.2400000000002</v>
      </c>
      <c r="O208" s="136">
        <v>0</v>
      </c>
      <c r="P208" s="175">
        <v>87141090</v>
      </c>
      <c r="Q208" s="137" t="s">
        <v>22</v>
      </c>
      <c r="R208" s="136" t="s">
        <v>13</v>
      </c>
      <c r="S208" s="136">
        <v>264</v>
      </c>
      <c r="T208" s="136">
        <v>264</v>
      </c>
      <c r="U208" s="136">
        <f t="shared" si="93"/>
        <v>0</v>
      </c>
      <c r="V208" s="136">
        <v>264</v>
      </c>
    </row>
    <row r="209" spans="1:22" x14ac:dyDescent="0.3">
      <c r="A209" s="136" t="s">
        <v>40</v>
      </c>
      <c r="B209" s="136" t="s">
        <v>39</v>
      </c>
      <c r="C209" s="136" t="s">
        <v>671</v>
      </c>
      <c r="D209" s="143">
        <v>42966</v>
      </c>
      <c r="E209" s="136">
        <v>3352.86</v>
      </c>
      <c r="F209" s="136" t="s">
        <v>14</v>
      </c>
      <c r="G209" s="140" t="s">
        <v>11</v>
      </c>
      <c r="H209" s="136" t="s">
        <v>12</v>
      </c>
      <c r="J209" s="139">
        <v>18</v>
      </c>
      <c r="K209" s="138">
        <v>2841.4</v>
      </c>
      <c r="L209" s="136">
        <v>0</v>
      </c>
      <c r="M209" s="136">
        <f t="shared" ref="M209" si="96">+J209/100*K209/2</f>
        <v>255.726</v>
      </c>
      <c r="N209" s="136">
        <f t="shared" ref="N209" si="97">+J209/100*K209/2</f>
        <v>255.726</v>
      </c>
      <c r="O209" s="136">
        <v>0</v>
      </c>
      <c r="P209" s="175">
        <v>998898</v>
      </c>
      <c r="Q209" s="137" t="s">
        <v>22</v>
      </c>
      <c r="R209" s="136" t="s">
        <v>13</v>
      </c>
      <c r="S209" s="136">
        <v>0</v>
      </c>
      <c r="T209" s="136">
        <v>0</v>
      </c>
      <c r="U209" s="136">
        <f t="shared" si="93"/>
        <v>0</v>
      </c>
      <c r="V209" s="136">
        <v>10</v>
      </c>
    </row>
    <row r="210" spans="1:22" x14ac:dyDescent="0.3">
      <c r="A210" s="136" t="s">
        <v>6</v>
      </c>
      <c r="B210" s="136" t="s">
        <v>5</v>
      </c>
      <c r="C210" s="136" t="s">
        <v>672</v>
      </c>
      <c r="D210" s="143">
        <v>42966</v>
      </c>
      <c r="E210" s="136">
        <v>42892.52</v>
      </c>
      <c r="F210" s="136" t="s">
        <v>14</v>
      </c>
      <c r="G210" s="140" t="s">
        <v>11</v>
      </c>
      <c r="H210" s="136" t="s">
        <v>12</v>
      </c>
      <c r="J210" s="139">
        <v>28</v>
      </c>
      <c r="K210" s="138">
        <v>33509.78</v>
      </c>
      <c r="L210" s="136">
        <v>0</v>
      </c>
      <c r="M210" s="136">
        <f>+J210/100*K210/2</f>
        <v>4691.3692000000001</v>
      </c>
      <c r="N210" s="136">
        <f>+J210/100*K210/2</f>
        <v>4691.3692000000001</v>
      </c>
      <c r="O210" s="136">
        <v>0</v>
      </c>
      <c r="P210" s="175">
        <v>87081090</v>
      </c>
      <c r="Q210" s="137" t="s">
        <v>22</v>
      </c>
      <c r="R210" s="136" t="s">
        <v>13</v>
      </c>
      <c r="S210" s="136">
        <v>404</v>
      </c>
      <c r="T210" s="136">
        <v>404</v>
      </c>
      <c r="U210" s="136">
        <f t="shared" si="93"/>
        <v>0</v>
      </c>
      <c r="V210" s="136">
        <v>404</v>
      </c>
    </row>
    <row r="211" spans="1:22" x14ac:dyDescent="0.3">
      <c r="A211" s="136" t="s">
        <v>6</v>
      </c>
      <c r="B211" s="136" t="s">
        <v>5</v>
      </c>
      <c r="C211" s="136" t="s">
        <v>673</v>
      </c>
      <c r="D211" s="143">
        <v>42966</v>
      </c>
      <c r="E211" s="136">
        <v>10402.56</v>
      </c>
      <c r="F211" s="136" t="s">
        <v>14</v>
      </c>
      <c r="G211" s="140" t="s">
        <v>11</v>
      </c>
      <c r="H211" s="136" t="s">
        <v>12</v>
      </c>
      <c r="J211" s="139">
        <v>28</v>
      </c>
      <c r="K211" s="138">
        <v>8127</v>
      </c>
      <c r="L211" s="136">
        <v>0</v>
      </c>
      <c r="M211" s="136">
        <f>+J211/100*K211/2</f>
        <v>1137.7800000000002</v>
      </c>
      <c r="N211" s="136">
        <f>+J211/100*K211/2</f>
        <v>1137.7800000000002</v>
      </c>
      <c r="O211" s="136">
        <v>0</v>
      </c>
      <c r="P211" s="175">
        <v>87141090</v>
      </c>
      <c r="Q211" s="137" t="s">
        <v>22</v>
      </c>
      <c r="R211" s="136" t="s">
        <v>13</v>
      </c>
      <c r="S211" s="136">
        <v>108</v>
      </c>
      <c r="T211" s="136">
        <v>108</v>
      </c>
      <c r="U211" s="136">
        <f t="shared" si="93"/>
        <v>0</v>
      </c>
      <c r="V211" s="136">
        <v>108</v>
      </c>
    </row>
    <row r="212" spans="1:22" x14ac:dyDescent="0.3">
      <c r="A212" s="136" t="s">
        <v>180</v>
      </c>
      <c r="B212" s="136" t="s">
        <v>360</v>
      </c>
      <c r="C212" s="136" t="s">
        <v>674</v>
      </c>
      <c r="D212" s="143">
        <v>42966</v>
      </c>
      <c r="E212" s="136">
        <v>46207.9</v>
      </c>
      <c r="F212" s="136" t="s">
        <v>14</v>
      </c>
      <c r="G212" s="140" t="s">
        <v>11</v>
      </c>
      <c r="H212" s="136" t="s">
        <v>12</v>
      </c>
      <c r="J212" s="139">
        <v>28</v>
      </c>
      <c r="K212" s="138">
        <v>36099.919999999998</v>
      </c>
      <c r="L212" s="136">
        <v>0</v>
      </c>
      <c r="M212" s="136">
        <f t="shared" ref="M212:M213" si="98">+J212/100*K212/2</f>
        <v>5053.9888000000001</v>
      </c>
      <c r="N212" s="136">
        <f t="shared" ref="N212:N213" si="99">+J212/100*K212/2</f>
        <v>5053.9888000000001</v>
      </c>
      <c r="O212" s="136">
        <v>0</v>
      </c>
      <c r="P212" s="175">
        <v>87089900</v>
      </c>
      <c r="Q212" s="137" t="s">
        <v>22</v>
      </c>
      <c r="R212" s="136" t="s">
        <v>13</v>
      </c>
      <c r="S212" s="136">
        <v>92</v>
      </c>
      <c r="T212" s="136">
        <v>92</v>
      </c>
      <c r="U212" s="136">
        <f t="shared" si="93"/>
        <v>0</v>
      </c>
      <c r="V212" s="136">
        <v>92</v>
      </c>
    </row>
    <row r="213" spans="1:22" x14ac:dyDescent="0.3">
      <c r="A213" s="136" t="s">
        <v>180</v>
      </c>
      <c r="B213" s="136" t="s">
        <v>360</v>
      </c>
      <c r="C213" s="136" t="s">
        <v>675</v>
      </c>
      <c r="D213" s="143">
        <v>42966</v>
      </c>
      <c r="E213" s="136">
        <v>22016</v>
      </c>
      <c r="F213" s="136" t="s">
        <v>14</v>
      </c>
      <c r="G213" s="140" t="s">
        <v>11</v>
      </c>
      <c r="H213" s="136" t="s">
        <v>12</v>
      </c>
      <c r="J213" s="139">
        <v>28</v>
      </c>
      <c r="K213" s="138">
        <v>17200</v>
      </c>
      <c r="L213" s="136">
        <v>0</v>
      </c>
      <c r="M213" s="136">
        <f t="shared" si="98"/>
        <v>2408.0000000000005</v>
      </c>
      <c r="N213" s="136">
        <f t="shared" si="99"/>
        <v>2408.0000000000005</v>
      </c>
      <c r="O213" s="136">
        <v>0</v>
      </c>
      <c r="P213" s="175">
        <v>87089900</v>
      </c>
      <c r="Q213" s="137" t="s">
        <v>22</v>
      </c>
      <c r="R213" s="136" t="s">
        <v>13</v>
      </c>
      <c r="S213" s="136">
        <v>65</v>
      </c>
      <c r="T213" s="136">
        <v>65</v>
      </c>
      <c r="U213" s="136">
        <f t="shared" si="93"/>
        <v>0</v>
      </c>
      <c r="V213" s="136">
        <v>65</v>
      </c>
    </row>
    <row r="214" spans="1:22" x14ac:dyDescent="0.3">
      <c r="A214" s="136" t="s">
        <v>189</v>
      </c>
      <c r="B214" s="136" t="s">
        <v>188</v>
      </c>
      <c r="C214" s="136" t="s">
        <v>676</v>
      </c>
      <c r="D214" s="143">
        <v>42966</v>
      </c>
      <c r="E214" s="136">
        <v>188596.53</v>
      </c>
      <c r="F214" s="136" t="s">
        <v>185</v>
      </c>
      <c r="G214" s="140" t="s">
        <v>11</v>
      </c>
      <c r="H214" s="136" t="s">
        <v>12</v>
      </c>
      <c r="J214" s="139">
        <v>28</v>
      </c>
      <c r="K214" s="138">
        <v>147341.04</v>
      </c>
      <c r="L214" s="136">
        <f t="shared" ref="L214" si="100">+J214/100*K214</f>
        <v>41255.491200000004</v>
      </c>
      <c r="M214" s="136">
        <v>0</v>
      </c>
      <c r="N214" s="136">
        <v>0</v>
      </c>
      <c r="O214" s="136">
        <v>0</v>
      </c>
      <c r="P214" s="175">
        <v>87089900</v>
      </c>
      <c r="Q214" s="137" t="s">
        <v>22</v>
      </c>
      <c r="R214" s="136" t="s">
        <v>13</v>
      </c>
      <c r="S214" s="136">
        <v>408</v>
      </c>
      <c r="T214" s="136">
        <v>408</v>
      </c>
      <c r="U214" s="136">
        <f t="shared" si="93"/>
        <v>0</v>
      </c>
      <c r="V214" s="136">
        <v>408</v>
      </c>
    </row>
    <row r="215" spans="1:22" x14ac:dyDescent="0.3">
      <c r="A215" s="136" t="s">
        <v>253</v>
      </c>
      <c r="B215" s="136" t="s">
        <v>252</v>
      </c>
      <c r="C215" s="136" t="s">
        <v>677</v>
      </c>
      <c r="D215" s="143">
        <v>42966</v>
      </c>
      <c r="E215" s="136">
        <v>7066.12</v>
      </c>
      <c r="F215" s="136" t="s">
        <v>14</v>
      </c>
      <c r="G215" s="140" t="s">
        <v>11</v>
      </c>
      <c r="H215" s="136" t="s">
        <v>12</v>
      </c>
      <c r="J215" s="139">
        <v>18</v>
      </c>
      <c r="K215" s="138">
        <v>5988.24</v>
      </c>
      <c r="L215" s="136">
        <v>0</v>
      </c>
      <c r="M215" s="136">
        <f>+J215/100*K215/2</f>
        <v>538.94159999999999</v>
      </c>
      <c r="N215" s="136">
        <f>+J215/100*K215/2</f>
        <v>538.94159999999999</v>
      </c>
      <c r="O215" s="136">
        <v>0</v>
      </c>
      <c r="P215" s="175">
        <v>998898</v>
      </c>
      <c r="Q215" s="137" t="s">
        <v>22</v>
      </c>
      <c r="R215" s="136" t="s">
        <v>13</v>
      </c>
      <c r="S215" s="136">
        <v>12</v>
      </c>
      <c r="T215" s="136">
        <v>12</v>
      </c>
      <c r="U215" s="136">
        <f t="shared" si="93"/>
        <v>0</v>
      </c>
      <c r="V215" s="136">
        <v>12</v>
      </c>
    </row>
    <row r="216" spans="1:22" x14ac:dyDescent="0.3">
      <c r="A216" s="136" t="s">
        <v>253</v>
      </c>
      <c r="B216" s="136" t="s">
        <v>252</v>
      </c>
      <c r="C216" s="136" t="s">
        <v>678</v>
      </c>
      <c r="D216" s="143">
        <v>42966</v>
      </c>
      <c r="E216" s="136">
        <v>7066.12</v>
      </c>
      <c r="F216" s="136" t="s">
        <v>14</v>
      </c>
      <c r="G216" s="140" t="s">
        <v>11</v>
      </c>
      <c r="H216" s="136" t="s">
        <v>12</v>
      </c>
      <c r="J216" s="139">
        <v>18</v>
      </c>
      <c r="K216" s="138">
        <v>5988.24</v>
      </c>
      <c r="L216" s="136">
        <v>0</v>
      </c>
      <c r="M216" s="136">
        <f>+J216/100*K216/2</f>
        <v>538.94159999999999</v>
      </c>
      <c r="N216" s="136">
        <f>+J216/100*K216/2</f>
        <v>538.94159999999999</v>
      </c>
      <c r="O216" s="136">
        <v>0</v>
      </c>
      <c r="P216" s="175">
        <v>998898</v>
      </c>
      <c r="Q216" s="137" t="s">
        <v>22</v>
      </c>
      <c r="R216" s="136" t="s">
        <v>13</v>
      </c>
      <c r="S216" s="136">
        <v>12</v>
      </c>
      <c r="T216" s="136">
        <v>12</v>
      </c>
      <c r="U216" s="136">
        <f t="shared" si="93"/>
        <v>0</v>
      </c>
      <c r="V216" s="136">
        <v>12</v>
      </c>
    </row>
    <row r="217" spans="1:22" x14ac:dyDescent="0.3">
      <c r="A217" s="136" t="s">
        <v>6</v>
      </c>
      <c r="B217" s="136" t="s">
        <v>5</v>
      </c>
      <c r="C217" s="136" t="s">
        <v>679</v>
      </c>
      <c r="D217" s="143">
        <v>42966</v>
      </c>
      <c r="E217" s="136">
        <v>34215.32</v>
      </c>
      <c r="F217" s="136" t="s">
        <v>14</v>
      </c>
      <c r="G217" s="140" t="s">
        <v>11</v>
      </c>
      <c r="H217" s="136" t="s">
        <v>12</v>
      </c>
      <c r="J217" s="139">
        <v>28</v>
      </c>
      <c r="K217" s="138">
        <v>26730.720000000001</v>
      </c>
      <c r="L217" s="136">
        <v>0</v>
      </c>
      <c r="M217" s="136">
        <f>+J217/100*K217/2</f>
        <v>3742.3008000000004</v>
      </c>
      <c r="N217" s="136">
        <f>+J217/100*K217/2</f>
        <v>3742.3008000000004</v>
      </c>
      <c r="O217" s="136">
        <v>0</v>
      </c>
      <c r="P217" s="175">
        <v>87141090</v>
      </c>
      <c r="Q217" s="137" t="s">
        <v>22</v>
      </c>
      <c r="R217" s="136" t="s">
        <v>13</v>
      </c>
      <c r="S217" s="136">
        <v>228</v>
      </c>
      <c r="T217" s="136">
        <v>228</v>
      </c>
      <c r="U217" s="136">
        <f t="shared" si="93"/>
        <v>0</v>
      </c>
      <c r="V217" s="136">
        <v>228</v>
      </c>
    </row>
    <row r="218" spans="1:22" x14ac:dyDescent="0.3">
      <c r="A218" s="136" t="s">
        <v>186</v>
      </c>
      <c r="B218" s="136" t="s">
        <v>187</v>
      </c>
      <c r="C218" s="136" t="s">
        <v>680</v>
      </c>
      <c r="D218" s="143">
        <v>42966</v>
      </c>
      <c r="E218" s="136">
        <v>121856</v>
      </c>
      <c r="F218" s="136" t="s">
        <v>14</v>
      </c>
      <c r="G218" s="140" t="s">
        <v>11</v>
      </c>
      <c r="H218" s="136" t="s">
        <v>12</v>
      </c>
      <c r="J218" s="139">
        <v>28</v>
      </c>
      <c r="K218" s="138">
        <v>95200</v>
      </c>
      <c r="L218" s="136">
        <v>0</v>
      </c>
      <c r="M218" s="136">
        <f t="shared" ref="M218" si="101">+J218/100*K218/2</f>
        <v>13328.000000000002</v>
      </c>
      <c r="N218" s="136">
        <f t="shared" ref="N218" si="102">+J218/100*K218/2</f>
        <v>13328.000000000002</v>
      </c>
      <c r="O218" s="136">
        <v>0</v>
      </c>
      <c r="P218" s="175">
        <v>85129000</v>
      </c>
      <c r="Q218" s="137" t="s">
        <v>22</v>
      </c>
      <c r="R218" s="136" t="s">
        <v>13</v>
      </c>
      <c r="S218" s="136">
        <v>3808</v>
      </c>
      <c r="T218" s="136">
        <v>3808</v>
      </c>
      <c r="U218" s="136">
        <f t="shared" si="93"/>
        <v>0</v>
      </c>
      <c r="V218" s="136">
        <v>3808</v>
      </c>
    </row>
    <row r="219" spans="1:22" x14ac:dyDescent="0.3">
      <c r="A219" s="136" t="s">
        <v>6</v>
      </c>
      <c r="B219" s="136" t="s">
        <v>5</v>
      </c>
      <c r="C219" s="136" t="s">
        <v>681</v>
      </c>
      <c r="D219" s="143">
        <v>42966</v>
      </c>
      <c r="E219" s="136">
        <v>53509.48</v>
      </c>
      <c r="F219" s="136" t="s">
        <v>14</v>
      </c>
      <c r="G219" s="140" t="s">
        <v>11</v>
      </c>
      <c r="H219" s="136" t="s">
        <v>12</v>
      </c>
      <c r="J219" s="139">
        <v>28</v>
      </c>
      <c r="K219" s="138">
        <v>41804.28</v>
      </c>
      <c r="L219" s="136">
        <v>0</v>
      </c>
      <c r="M219" s="136">
        <f>+J219/100*K219/2</f>
        <v>5852.5992000000006</v>
      </c>
      <c r="N219" s="136">
        <f>+J219/100*K219/2</f>
        <v>5852.5992000000006</v>
      </c>
      <c r="O219" s="136">
        <v>0</v>
      </c>
      <c r="P219" s="175">
        <v>87081090</v>
      </c>
      <c r="Q219" s="137" t="s">
        <v>22</v>
      </c>
      <c r="R219" s="136" t="s">
        <v>13</v>
      </c>
      <c r="S219" s="136">
        <v>504</v>
      </c>
      <c r="T219" s="136">
        <v>504</v>
      </c>
      <c r="U219" s="136">
        <f t="shared" si="93"/>
        <v>0</v>
      </c>
      <c r="V219" s="136">
        <v>504</v>
      </c>
    </row>
    <row r="220" spans="1:22" x14ac:dyDescent="0.3">
      <c r="A220" s="136" t="s">
        <v>179</v>
      </c>
      <c r="B220" s="136" t="s">
        <v>178</v>
      </c>
      <c r="C220" s="136" t="s">
        <v>682</v>
      </c>
      <c r="D220" s="143">
        <v>42966</v>
      </c>
      <c r="E220" s="136">
        <v>75877.399999999994</v>
      </c>
      <c r="F220" s="136" t="s">
        <v>14</v>
      </c>
      <c r="G220" s="140" t="s">
        <v>11</v>
      </c>
      <c r="H220" s="136" t="s">
        <v>12</v>
      </c>
      <c r="J220" s="139">
        <v>28</v>
      </c>
      <c r="K220" s="138">
        <v>59279.22</v>
      </c>
      <c r="L220" s="136">
        <v>0</v>
      </c>
      <c r="M220" s="136">
        <f t="shared" ref="M220" si="103">+J220/100*K220/2</f>
        <v>8299.0908000000018</v>
      </c>
      <c r="N220" s="136">
        <f t="shared" ref="N220" si="104">+J220/100*K220/2</f>
        <v>8299.0908000000018</v>
      </c>
      <c r="O220" s="136">
        <v>0</v>
      </c>
      <c r="P220" s="175">
        <v>85129000</v>
      </c>
      <c r="Q220" s="137" t="s">
        <v>22</v>
      </c>
      <c r="R220" s="136" t="s">
        <v>13</v>
      </c>
      <c r="S220" s="136">
        <v>882</v>
      </c>
      <c r="T220" s="136">
        <v>882</v>
      </c>
      <c r="U220" s="136">
        <f t="shared" si="93"/>
        <v>0</v>
      </c>
      <c r="V220" s="136">
        <v>882</v>
      </c>
    </row>
    <row r="221" spans="1:22" x14ac:dyDescent="0.3">
      <c r="A221" s="136" t="s">
        <v>6</v>
      </c>
      <c r="B221" s="136" t="s">
        <v>5</v>
      </c>
      <c r="C221" s="136" t="s">
        <v>683</v>
      </c>
      <c r="D221" s="143">
        <v>42966</v>
      </c>
      <c r="E221" s="136">
        <v>8081.88</v>
      </c>
      <c r="F221" s="136" t="s">
        <v>14</v>
      </c>
      <c r="G221" s="140" t="s">
        <v>11</v>
      </c>
      <c r="H221" s="136" t="s">
        <v>12</v>
      </c>
      <c r="J221" s="139">
        <v>28</v>
      </c>
      <c r="K221" s="138">
        <v>6313.96</v>
      </c>
      <c r="L221" s="136">
        <v>0</v>
      </c>
      <c r="M221" s="136">
        <f>+J221/100*K221/2+0.01</f>
        <v>883.96440000000007</v>
      </c>
      <c r="N221" s="136">
        <f>+J221/100*K221/2+0.01</f>
        <v>883.96440000000007</v>
      </c>
      <c r="O221" s="136">
        <v>0</v>
      </c>
      <c r="P221" s="175">
        <v>87081090</v>
      </c>
      <c r="Q221" s="137" t="s">
        <v>22</v>
      </c>
      <c r="R221" s="136" t="s">
        <v>13</v>
      </c>
      <c r="S221" s="136">
        <v>46</v>
      </c>
      <c r="T221" s="136">
        <v>46</v>
      </c>
      <c r="U221" s="136">
        <f t="shared" si="93"/>
        <v>0</v>
      </c>
      <c r="V221" s="136">
        <v>46</v>
      </c>
    </row>
    <row r="222" spans="1:22" x14ac:dyDescent="0.3">
      <c r="A222" s="136" t="s">
        <v>6</v>
      </c>
      <c r="B222" s="136" t="s">
        <v>5</v>
      </c>
      <c r="C222" s="136" t="s">
        <v>684</v>
      </c>
      <c r="D222" s="143">
        <v>42966</v>
      </c>
      <c r="E222" s="136">
        <v>35415.839999999997</v>
      </c>
      <c r="F222" s="136" t="s">
        <v>14</v>
      </c>
      <c r="G222" s="140" t="s">
        <v>11</v>
      </c>
      <c r="H222" s="136" t="s">
        <v>12</v>
      </c>
      <c r="J222" s="139">
        <v>28</v>
      </c>
      <c r="K222" s="138">
        <v>27668.639999999999</v>
      </c>
      <c r="L222" s="136">
        <v>0</v>
      </c>
      <c r="M222" s="136">
        <f>+J222/100*K222/2-0.01</f>
        <v>3873.5996</v>
      </c>
      <c r="N222" s="136">
        <f>+J222/100*K222/2-0.01</f>
        <v>3873.5996</v>
      </c>
      <c r="O222" s="136">
        <v>0</v>
      </c>
      <c r="P222" s="175">
        <v>87141090</v>
      </c>
      <c r="Q222" s="137" t="s">
        <v>22</v>
      </c>
      <c r="R222" s="136" t="s">
        <v>13</v>
      </c>
      <c r="S222" s="136">
        <v>236</v>
      </c>
      <c r="T222" s="136">
        <v>236</v>
      </c>
      <c r="U222" s="136">
        <f t="shared" si="93"/>
        <v>0</v>
      </c>
      <c r="V222" s="136">
        <v>236</v>
      </c>
    </row>
    <row r="223" spans="1:22" x14ac:dyDescent="0.3">
      <c r="A223" s="136" t="s">
        <v>6</v>
      </c>
      <c r="B223" s="136" t="s">
        <v>5</v>
      </c>
      <c r="C223" s="136" t="s">
        <v>685</v>
      </c>
      <c r="D223" s="143">
        <v>42966</v>
      </c>
      <c r="E223" s="136">
        <v>18990.72</v>
      </c>
      <c r="F223" s="136" t="s">
        <v>14</v>
      </c>
      <c r="G223" s="140" t="s">
        <v>11</v>
      </c>
      <c r="H223" s="136" t="s">
        <v>12</v>
      </c>
      <c r="J223" s="139">
        <v>28</v>
      </c>
      <c r="K223" s="138">
        <v>14836.5</v>
      </c>
      <c r="L223" s="136">
        <v>0</v>
      </c>
      <c r="M223" s="136">
        <f>+J223/100*K223/2</f>
        <v>2077.11</v>
      </c>
      <c r="N223" s="136">
        <f>+J223/100*K223/2</f>
        <v>2077.11</v>
      </c>
      <c r="O223" s="136">
        <v>0</v>
      </c>
      <c r="P223" s="175">
        <v>87081090</v>
      </c>
      <c r="Q223" s="137" t="s">
        <v>22</v>
      </c>
      <c r="R223" s="136" t="s">
        <v>13</v>
      </c>
      <c r="S223" s="136">
        <v>180</v>
      </c>
      <c r="T223" s="136">
        <v>180</v>
      </c>
      <c r="U223" s="136">
        <f t="shared" si="93"/>
        <v>0</v>
      </c>
      <c r="V223" s="136">
        <v>180</v>
      </c>
    </row>
    <row r="224" spans="1:22" x14ac:dyDescent="0.3">
      <c r="A224" s="136" t="s">
        <v>40</v>
      </c>
      <c r="B224" s="136" t="s">
        <v>39</v>
      </c>
      <c r="C224" s="136" t="s">
        <v>686</v>
      </c>
      <c r="D224" s="143">
        <v>42967</v>
      </c>
      <c r="E224" s="136">
        <v>10058.56</v>
      </c>
      <c r="F224" s="136" t="s">
        <v>14</v>
      </c>
      <c r="G224" s="140" t="s">
        <v>11</v>
      </c>
      <c r="H224" s="136" t="s">
        <v>12</v>
      </c>
      <c r="J224" s="139">
        <v>18</v>
      </c>
      <c r="K224" s="138">
        <v>8524.2000000000007</v>
      </c>
      <c r="L224" s="136">
        <v>0</v>
      </c>
      <c r="M224" s="136">
        <f t="shared" ref="M224" si="105">+J224/100*K224/2</f>
        <v>767.178</v>
      </c>
      <c r="N224" s="136">
        <f t="shared" ref="N224" si="106">+J224/100*K224/2</f>
        <v>767.178</v>
      </c>
      <c r="O224" s="136">
        <v>0</v>
      </c>
      <c r="P224" s="175">
        <v>998898</v>
      </c>
      <c r="Q224" s="137" t="s">
        <v>22</v>
      </c>
      <c r="R224" s="136" t="s">
        <v>13</v>
      </c>
      <c r="S224" s="136">
        <v>0</v>
      </c>
      <c r="T224" s="136">
        <v>0</v>
      </c>
      <c r="U224" s="136">
        <f t="shared" si="93"/>
        <v>0</v>
      </c>
      <c r="V224" s="136">
        <v>30</v>
      </c>
    </row>
    <row r="225" spans="1:22" x14ac:dyDescent="0.3">
      <c r="A225" s="136" t="s">
        <v>6</v>
      </c>
      <c r="B225" s="136" t="s">
        <v>5</v>
      </c>
      <c r="C225" s="136" t="s">
        <v>687</v>
      </c>
      <c r="D225" s="143">
        <v>42967</v>
      </c>
      <c r="E225" s="136">
        <v>42043.16</v>
      </c>
      <c r="F225" s="136" t="s">
        <v>14</v>
      </c>
      <c r="G225" s="140" t="s">
        <v>11</v>
      </c>
      <c r="H225" s="136" t="s">
        <v>12</v>
      </c>
      <c r="J225" s="139">
        <v>28</v>
      </c>
      <c r="K225" s="138">
        <v>32846.22</v>
      </c>
      <c r="L225" s="136">
        <v>0</v>
      </c>
      <c r="M225" s="136">
        <f>+J225/100*K225/2</f>
        <v>4598.470800000001</v>
      </c>
      <c r="N225" s="136">
        <f>+J225/100*K225/2</f>
        <v>4598.470800000001</v>
      </c>
      <c r="O225" s="136">
        <v>0</v>
      </c>
      <c r="P225" s="175">
        <v>87081090</v>
      </c>
      <c r="Q225" s="137" t="s">
        <v>22</v>
      </c>
      <c r="R225" s="136" t="s">
        <v>13</v>
      </c>
      <c r="S225" s="136">
        <v>396</v>
      </c>
      <c r="T225" s="136">
        <v>396</v>
      </c>
      <c r="U225" s="136">
        <f t="shared" si="93"/>
        <v>0</v>
      </c>
      <c r="V225" s="136">
        <v>396</v>
      </c>
    </row>
    <row r="226" spans="1:22" x14ac:dyDescent="0.3">
      <c r="A226" s="136" t="s">
        <v>657</v>
      </c>
      <c r="B226" s="136" t="s">
        <v>658</v>
      </c>
      <c r="C226" s="136" t="s">
        <v>688</v>
      </c>
      <c r="D226" s="143">
        <v>42967</v>
      </c>
      <c r="E226" s="136">
        <v>6962</v>
      </c>
      <c r="F226" s="136" t="s">
        <v>14</v>
      </c>
      <c r="G226" s="140" t="s">
        <v>11</v>
      </c>
      <c r="H226" s="136" t="s">
        <v>12</v>
      </c>
      <c r="J226" s="139">
        <v>18</v>
      </c>
      <c r="K226" s="138">
        <v>5900</v>
      </c>
      <c r="L226" s="136">
        <v>0</v>
      </c>
      <c r="M226" s="136">
        <f t="shared" ref="M226:M228" si="107">+J226/100*K226/2</f>
        <v>531</v>
      </c>
      <c r="N226" s="136">
        <f t="shared" ref="N226:N228" si="108">+J226/100*K226/2</f>
        <v>531</v>
      </c>
      <c r="O226" s="136">
        <v>0</v>
      </c>
      <c r="P226" s="175">
        <v>998873</v>
      </c>
      <c r="Q226" s="137" t="s">
        <v>22</v>
      </c>
      <c r="R226" s="136" t="s">
        <v>13</v>
      </c>
      <c r="S226" s="136">
        <v>200</v>
      </c>
      <c r="T226" s="136">
        <v>200</v>
      </c>
      <c r="U226" s="136">
        <f t="shared" si="93"/>
        <v>0</v>
      </c>
      <c r="V226" s="136">
        <v>200</v>
      </c>
    </row>
    <row r="227" spans="1:22" x14ac:dyDescent="0.3">
      <c r="A227" s="136" t="s">
        <v>657</v>
      </c>
      <c r="B227" s="136" t="s">
        <v>658</v>
      </c>
      <c r="C227" s="136" t="s">
        <v>689</v>
      </c>
      <c r="D227" s="143">
        <v>42967</v>
      </c>
      <c r="E227" s="136">
        <v>6962</v>
      </c>
      <c r="F227" s="136" t="s">
        <v>14</v>
      </c>
      <c r="G227" s="140" t="s">
        <v>11</v>
      </c>
      <c r="H227" s="136" t="s">
        <v>12</v>
      </c>
      <c r="J227" s="139">
        <v>18</v>
      </c>
      <c r="K227" s="138">
        <v>5900</v>
      </c>
      <c r="L227" s="136">
        <v>0</v>
      </c>
      <c r="M227" s="136">
        <f t="shared" si="107"/>
        <v>531</v>
      </c>
      <c r="N227" s="136">
        <f t="shared" si="108"/>
        <v>531</v>
      </c>
      <c r="O227" s="136">
        <v>0</v>
      </c>
      <c r="P227" s="175">
        <v>998873</v>
      </c>
      <c r="Q227" s="137" t="s">
        <v>22</v>
      </c>
      <c r="R227" s="136" t="s">
        <v>13</v>
      </c>
      <c r="S227" s="136">
        <v>200</v>
      </c>
      <c r="T227" s="136">
        <v>200</v>
      </c>
      <c r="U227" s="136">
        <f t="shared" si="93"/>
        <v>0</v>
      </c>
      <c r="V227" s="136">
        <v>200</v>
      </c>
    </row>
    <row r="228" spans="1:22" x14ac:dyDescent="0.3">
      <c r="A228" s="136" t="s">
        <v>180</v>
      </c>
      <c r="B228" s="136" t="s">
        <v>360</v>
      </c>
      <c r="C228" s="136" t="s">
        <v>690</v>
      </c>
      <c r="D228" s="143">
        <v>42968</v>
      </c>
      <c r="E228" s="136">
        <v>20886</v>
      </c>
      <c r="F228" s="136" t="s">
        <v>14</v>
      </c>
      <c r="G228" s="140" t="s">
        <v>11</v>
      </c>
      <c r="H228" s="136" t="s">
        <v>12</v>
      </c>
      <c r="J228" s="139">
        <v>28</v>
      </c>
      <c r="K228" s="138">
        <v>16317.18</v>
      </c>
      <c r="L228" s="136">
        <v>0</v>
      </c>
      <c r="M228" s="136">
        <f t="shared" si="107"/>
        <v>2284.4052000000001</v>
      </c>
      <c r="N228" s="136">
        <f t="shared" si="108"/>
        <v>2284.4052000000001</v>
      </c>
      <c r="O228" s="136">
        <v>0</v>
      </c>
      <c r="P228" s="175">
        <v>87089900</v>
      </c>
      <c r="Q228" s="137" t="s">
        <v>22</v>
      </c>
      <c r="R228" s="136" t="s">
        <v>13</v>
      </c>
      <c r="S228" s="136">
        <v>198</v>
      </c>
      <c r="T228" s="136">
        <v>198</v>
      </c>
      <c r="U228" s="136">
        <f t="shared" si="93"/>
        <v>0</v>
      </c>
      <c r="V228" s="136">
        <v>198</v>
      </c>
    </row>
    <row r="229" spans="1:22" x14ac:dyDescent="0.3">
      <c r="A229" s="136" t="s">
        <v>6</v>
      </c>
      <c r="B229" s="136" t="s">
        <v>5</v>
      </c>
      <c r="C229" s="136" t="s">
        <v>691</v>
      </c>
      <c r="D229" s="143">
        <v>42968</v>
      </c>
      <c r="E229" s="136">
        <v>63701.760000000002</v>
      </c>
      <c r="F229" s="136" t="s">
        <v>14</v>
      </c>
      <c r="G229" s="140" t="s">
        <v>11</v>
      </c>
      <c r="H229" s="136" t="s">
        <v>12</v>
      </c>
      <c r="J229" s="139">
        <v>28</v>
      </c>
      <c r="K229" s="138">
        <v>49767</v>
      </c>
      <c r="L229" s="136">
        <v>0</v>
      </c>
      <c r="M229" s="136">
        <f>+J229/100*K229/2</f>
        <v>6967.380000000001</v>
      </c>
      <c r="N229" s="136">
        <f>+J229/100*K229/2</f>
        <v>6967.380000000001</v>
      </c>
      <c r="O229" s="136">
        <v>0</v>
      </c>
      <c r="P229" s="175">
        <v>87081090</v>
      </c>
      <c r="Q229" s="137" t="s">
        <v>22</v>
      </c>
      <c r="R229" s="136" t="s">
        <v>13</v>
      </c>
      <c r="S229" s="136">
        <v>600</v>
      </c>
      <c r="T229" s="136">
        <v>600</v>
      </c>
      <c r="U229" s="136">
        <f t="shared" si="93"/>
        <v>0</v>
      </c>
      <c r="V229" s="136">
        <v>600</v>
      </c>
    </row>
    <row r="230" spans="1:22" x14ac:dyDescent="0.3">
      <c r="A230" s="136" t="s">
        <v>6</v>
      </c>
      <c r="B230" s="136" t="s">
        <v>5</v>
      </c>
      <c r="C230" s="136" t="s">
        <v>692</v>
      </c>
      <c r="D230" s="143">
        <v>42968</v>
      </c>
      <c r="E230" s="136">
        <v>50961.4</v>
      </c>
      <c r="F230" s="136" t="s">
        <v>14</v>
      </c>
      <c r="G230" s="140" t="s">
        <v>11</v>
      </c>
      <c r="H230" s="136" t="s">
        <v>12</v>
      </c>
      <c r="J230" s="139">
        <v>28</v>
      </c>
      <c r="K230" s="138">
        <v>39813.599999999999</v>
      </c>
      <c r="L230" s="136">
        <v>0</v>
      </c>
      <c r="M230" s="136">
        <f>+J230/100*K230/2</f>
        <v>5573.9040000000005</v>
      </c>
      <c r="N230" s="136">
        <f>+J230/100*K230/2</f>
        <v>5573.9040000000005</v>
      </c>
      <c r="O230" s="136">
        <v>0</v>
      </c>
      <c r="P230" s="175">
        <v>87081090</v>
      </c>
      <c r="Q230" s="137" t="s">
        <v>22</v>
      </c>
      <c r="R230" s="136" t="s">
        <v>13</v>
      </c>
      <c r="S230" s="136">
        <v>480</v>
      </c>
      <c r="T230" s="136">
        <v>480</v>
      </c>
      <c r="U230" s="136">
        <f t="shared" si="93"/>
        <v>0</v>
      </c>
      <c r="V230" s="136">
        <v>480</v>
      </c>
    </row>
    <row r="231" spans="1:22" x14ac:dyDescent="0.3">
      <c r="A231" s="136" t="s">
        <v>6</v>
      </c>
      <c r="B231" s="136" t="s">
        <v>5</v>
      </c>
      <c r="C231" s="136" t="s">
        <v>693</v>
      </c>
      <c r="D231" s="143">
        <v>42968</v>
      </c>
      <c r="E231" s="136">
        <v>3798.14</v>
      </c>
      <c r="F231" s="136" t="s">
        <v>14</v>
      </c>
      <c r="G231" s="140" t="s">
        <v>11</v>
      </c>
      <c r="H231" s="136" t="s">
        <v>12</v>
      </c>
      <c r="J231" s="139">
        <v>28</v>
      </c>
      <c r="K231" s="138">
        <v>2967.3</v>
      </c>
      <c r="L231" s="136">
        <v>0</v>
      </c>
      <c r="M231" s="136">
        <f t="shared" ref="M231" si="109">+J231/100*K231/2</f>
        <v>415.42200000000008</v>
      </c>
      <c r="N231" s="136">
        <f t="shared" ref="N231" si="110">+J231/100*K231/2</f>
        <v>415.42200000000008</v>
      </c>
      <c r="O231" s="136">
        <v>0</v>
      </c>
      <c r="P231" s="175">
        <v>87081090</v>
      </c>
      <c r="Q231" s="137" t="s">
        <v>22</v>
      </c>
      <c r="R231" s="136" t="s">
        <v>13</v>
      </c>
      <c r="S231" s="136">
        <v>36</v>
      </c>
      <c r="T231" s="136">
        <v>36</v>
      </c>
      <c r="U231" s="136">
        <f>+S231-T231</f>
        <v>0</v>
      </c>
      <c r="V231" s="136">
        <v>36</v>
      </c>
    </row>
    <row r="232" spans="1:22" x14ac:dyDescent="0.3">
      <c r="A232" s="136" t="s">
        <v>253</v>
      </c>
      <c r="B232" s="136" t="s">
        <v>252</v>
      </c>
      <c r="C232" s="136" t="s">
        <v>694</v>
      </c>
      <c r="D232" s="143">
        <v>42968</v>
      </c>
      <c r="E232" s="136">
        <v>7066.12</v>
      </c>
      <c r="F232" s="136" t="s">
        <v>14</v>
      </c>
      <c r="G232" s="140" t="s">
        <v>11</v>
      </c>
      <c r="H232" s="136" t="s">
        <v>12</v>
      </c>
      <c r="J232" s="139">
        <v>18</v>
      </c>
      <c r="K232" s="138">
        <v>5988.24</v>
      </c>
      <c r="L232" s="136">
        <v>0</v>
      </c>
      <c r="M232" s="136">
        <f>+J232/100*K232/2</f>
        <v>538.94159999999999</v>
      </c>
      <c r="N232" s="136">
        <f>+J232/100*K232/2</f>
        <v>538.94159999999999</v>
      </c>
      <c r="O232" s="136">
        <v>0</v>
      </c>
      <c r="P232" s="175">
        <v>998898</v>
      </c>
      <c r="Q232" s="137" t="s">
        <v>22</v>
      </c>
      <c r="R232" s="136" t="s">
        <v>13</v>
      </c>
      <c r="S232" s="136">
        <v>12</v>
      </c>
      <c r="T232" s="136">
        <v>12</v>
      </c>
      <c r="U232" s="136">
        <f t="shared" ref="U232:U238" si="111">+S232-T232</f>
        <v>0</v>
      </c>
      <c r="V232" s="136">
        <v>12</v>
      </c>
    </row>
    <row r="233" spans="1:22" x14ac:dyDescent="0.3">
      <c r="A233" s="136" t="s">
        <v>253</v>
      </c>
      <c r="B233" s="136" t="s">
        <v>252</v>
      </c>
      <c r="C233" s="136" t="s">
        <v>695</v>
      </c>
      <c r="D233" s="143">
        <v>42968</v>
      </c>
      <c r="E233" s="136">
        <v>5299.6</v>
      </c>
      <c r="F233" s="136" t="s">
        <v>14</v>
      </c>
      <c r="G233" s="140" t="s">
        <v>11</v>
      </c>
      <c r="H233" s="136" t="s">
        <v>12</v>
      </c>
      <c r="J233" s="139">
        <v>18</v>
      </c>
      <c r="K233" s="138">
        <v>4491.18</v>
      </c>
      <c r="L233" s="136">
        <v>0</v>
      </c>
      <c r="M233" s="136">
        <f>+J233/100*K233/2</f>
        <v>404.20620000000002</v>
      </c>
      <c r="N233" s="136">
        <f>+J233/100*K233/2</f>
        <v>404.20620000000002</v>
      </c>
      <c r="O233" s="136">
        <v>0</v>
      </c>
      <c r="P233" s="175">
        <v>998898</v>
      </c>
      <c r="Q233" s="137" t="s">
        <v>22</v>
      </c>
      <c r="R233" s="136" t="s">
        <v>13</v>
      </c>
      <c r="S233" s="136">
        <v>12</v>
      </c>
      <c r="T233" s="136">
        <v>12</v>
      </c>
      <c r="U233" s="136">
        <f t="shared" si="111"/>
        <v>0</v>
      </c>
      <c r="V233" s="136">
        <v>12</v>
      </c>
    </row>
    <row r="234" spans="1:22" x14ac:dyDescent="0.3">
      <c r="A234" s="136" t="s">
        <v>246</v>
      </c>
      <c r="B234" s="136" t="s">
        <v>245</v>
      </c>
      <c r="C234" s="136" t="s">
        <v>696</v>
      </c>
      <c r="D234" s="143">
        <v>42968</v>
      </c>
      <c r="E234" s="136">
        <v>57884.160000000003</v>
      </c>
      <c r="F234" s="136" t="s">
        <v>14</v>
      </c>
      <c r="G234" s="140" t="s">
        <v>11</v>
      </c>
      <c r="H234" s="136" t="s">
        <v>12</v>
      </c>
      <c r="J234" s="139">
        <v>28</v>
      </c>
      <c r="K234" s="138">
        <v>45222</v>
      </c>
      <c r="L234" s="136">
        <v>0</v>
      </c>
      <c r="M234" s="136">
        <f t="shared" ref="M234:M235" si="112">+J234/100*K234/2</f>
        <v>6331.0800000000008</v>
      </c>
      <c r="N234" s="136">
        <f t="shared" ref="N234:N235" si="113">+J234/100*K234/2</f>
        <v>6331.0800000000008</v>
      </c>
      <c r="O234" s="136">
        <v>0</v>
      </c>
      <c r="P234" s="175">
        <v>87141090</v>
      </c>
      <c r="Q234" s="137" t="s">
        <v>22</v>
      </c>
      <c r="R234" s="136" t="s">
        <v>13</v>
      </c>
      <c r="S234" s="136">
        <v>600</v>
      </c>
      <c r="T234" s="136">
        <v>600</v>
      </c>
      <c r="U234" s="136">
        <f t="shared" si="111"/>
        <v>0</v>
      </c>
      <c r="V234" s="136">
        <v>600</v>
      </c>
    </row>
    <row r="235" spans="1:22" x14ac:dyDescent="0.3">
      <c r="A235" s="136" t="s">
        <v>186</v>
      </c>
      <c r="B235" s="136" t="s">
        <v>187</v>
      </c>
      <c r="C235" s="136" t="s">
        <v>697</v>
      </c>
      <c r="D235" s="143">
        <v>42968</v>
      </c>
      <c r="E235" s="136">
        <v>75520</v>
      </c>
      <c r="F235" s="136" t="s">
        <v>14</v>
      </c>
      <c r="G235" s="140" t="s">
        <v>11</v>
      </c>
      <c r="H235" s="136" t="s">
        <v>12</v>
      </c>
      <c r="J235" s="139">
        <v>28</v>
      </c>
      <c r="K235" s="138">
        <v>59000</v>
      </c>
      <c r="L235" s="136">
        <v>0</v>
      </c>
      <c r="M235" s="136">
        <f t="shared" si="112"/>
        <v>8260</v>
      </c>
      <c r="N235" s="136">
        <f t="shared" si="113"/>
        <v>8260</v>
      </c>
      <c r="O235" s="136">
        <v>0</v>
      </c>
      <c r="P235" s="175">
        <v>85129000</v>
      </c>
      <c r="Q235" s="137" t="s">
        <v>22</v>
      </c>
      <c r="R235" s="136" t="s">
        <v>13</v>
      </c>
      <c r="S235" s="136">
        <v>2360</v>
      </c>
      <c r="T235" s="136">
        <v>2360</v>
      </c>
      <c r="U235" s="136">
        <f t="shared" si="111"/>
        <v>0</v>
      </c>
      <c r="V235" s="136">
        <v>2360</v>
      </c>
    </row>
    <row r="236" spans="1:22" x14ac:dyDescent="0.3">
      <c r="A236" s="136" t="s">
        <v>184</v>
      </c>
      <c r="B236" s="136" t="s">
        <v>183</v>
      </c>
      <c r="C236" s="136" t="s">
        <v>698</v>
      </c>
      <c r="D236" s="143">
        <v>42968</v>
      </c>
      <c r="E236" s="136">
        <v>4973.18</v>
      </c>
      <c r="F236" s="136" t="s">
        <v>185</v>
      </c>
      <c r="G236" s="140" t="s">
        <v>11</v>
      </c>
      <c r="H236" s="136" t="s">
        <v>12</v>
      </c>
      <c r="J236" s="139">
        <v>28</v>
      </c>
      <c r="K236" s="138">
        <v>3885.3</v>
      </c>
      <c r="L236" s="136">
        <f t="shared" ref="L236:L238" si="114">+J236/100*K236</f>
        <v>1087.8840000000002</v>
      </c>
      <c r="M236" s="136">
        <v>0</v>
      </c>
      <c r="N236" s="136">
        <v>0</v>
      </c>
      <c r="O236" s="136">
        <v>0</v>
      </c>
      <c r="P236" s="175">
        <v>87081090</v>
      </c>
      <c r="Q236" s="137" t="s">
        <v>22</v>
      </c>
      <c r="R236" s="136" t="s">
        <v>13</v>
      </c>
      <c r="S236" s="136">
        <v>3</v>
      </c>
      <c r="T236" s="136">
        <v>3</v>
      </c>
      <c r="U236" s="136">
        <f t="shared" si="111"/>
        <v>0</v>
      </c>
      <c r="V236" s="136">
        <v>3</v>
      </c>
    </row>
    <row r="237" spans="1:22" x14ac:dyDescent="0.3">
      <c r="A237" s="136" t="s">
        <v>184</v>
      </c>
      <c r="B237" s="136" t="s">
        <v>183</v>
      </c>
      <c r="C237" s="136" t="s">
        <v>699</v>
      </c>
      <c r="D237" s="143">
        <v>42968</v>
      </c>
      <c r="E237" s="136">
        <v>2436.35</v>
      </c>
      <c r="F237" s="136" t="s">
        <v>185</v>
      </c>
      <c r="G237" s="140" t="s">
        <v>11</v>
      </c>
      <c r="H237" s="136" t="s">
        <v>12</v>
      </c>
      <c r="J237" s="139">
        <v>28</v>
      </c>
      <c r="K237" s="138">
        <v>1903.4</v>
      </c>
      <c r="L237" s="136">
        <f t="shared" si="114"/>
        <v>532.95200000000011</v>
      </c>
      <c r="M237" s="136">
        <v>0</v>
      </c>
      <c r="N237" s="136">
        <v>0</v>
      </c>
      <c r="O237" s="136">
        <v>0</v>
      </c>
      <c r="P237" s="175">
        <v>87081090</v>
      </c>
      <c r="Q237" s="137" t="s">
        <v>22</v>
      </c>
      <c r="R237" s="136" t="s">
        <v>13</v>
      </c>
      <c r="S237" s="136">
        <v>1</v>
      </c>
      <c r="T237" s="136">
        <v>1</v>
      </c>
      <c r="U237" s="136">
        <f t="shared" si="111"/>
        <v>0</v>
      </c>
      <c r="V237" s="136">
        <v>1</v>
      </c>
    </row>
    <row r="238" spans="1:22" x14ac:dyDescent="0.3">
      <c r="A238" s="136" t="s">
        <v>184</v>
      </c>
      <c r="B238" s="136" t="s">
        <v>183</v>
      </c>
      <c r="C238" s="136" t="s">
        <v>700</v>
      </c>
      <c r="D238" s="143">
        <v>42968</v>
      </c>
      <c r="E238" s="136">
        <v>5342.98</v>
      </c>
      <c r="F238" s="136" t="s">
        <v>185</v>
      </c>
      <c r="G238" s="140" t="s">
        <v>11</v>
      </c>
      <c r="H238" s="136" t="s">
        <v>12</v>
      </c>
      <c r="J238" s="139">
        <v>28</v>
      </c>
      <c r="K238" s="138">
        <v>4174.2</v>
      </c>
      <c r="L238" s="136">
        <f t="shared" si="114"/>
        <v>1168.7760000000001</v>
      </c>
      <c r="M238" s="136">
        <v>0</v>
      </c>
      <c r="N238" s="136">
        <v>0</v>
      </c>
      <c r="O238" s="136">
        <v>0</v>
      </c>
      <c r="P238" s="175">
        <v>87081090</v>
      </c>
      <c r="Q238" s="137" t="s">
        <v>22</v>
      </c>
      <c r="R238" s="136" t="s">
        <v>13</v>
      </c>
      <c r="S238" s="136">
        <v>2</v>
      </c>
      <c r="T238" s="136">
        <v>2</v>
      </c>
      <c r="U238" s="136">
        <f t="shared" si="111"/>
        <v>0</v>
      </c>
      <c r="V238" s="136">
        <v>2</v>
      </c>
    </row>
    <row r="239" spans="1:22" x14ac:dyDescent="0.3">
      <c r="A239" s="136" t="s">
        <v>6</v>
      </c>
      <c r="B239" s="136" t="s">
        <v>5</v>
      </c>
      <c r="C239" s="136" t="s">
        <v>701</v>
      </c>
      <c r="D239" s="143">
        <v>42968</v>
      </c>
      <c r="E239" s="136">
        <v>41779.58</v>
      </c>
      <c r="F239" s="136" t="s">
        <v>14</v>
      </c>
      <c r="G239" s="140" t="s">
        <v>11</v>
      </c>
      <c r="H239" s="136" t="s">
        <v>12</v>
      </c>
      <c r="J239" s="139">
        <v>28</v>
      </c>
      <c r="K239" s="138">
        <v>32640.3</v>
      </c>
      <c r="L239" s="136">
        <v>0</v>
      </c>
      <c r="M239" s="136">
        <f t="shared" ref="M239:M247" si="115">+J239/100*K239/2</f>
        <v>4569.6420000000007</v>
      </c>
      <c r="N239" s="136">
        <f t="shared" ref="N239:N247" si="116">+J239/100*K239/2</f>
        <v>4569.6420000000007</v>
      </c>
      <c r="O239" s="136">
        <v>0</v>
      </c>
      <c r="P239" s="175">
        <v>87081090</v>
      </c>
      <c r="Q239" s="137" t="s">
        <v>22</v>
      </c>
      <c r="R239" s="136" t="s">
        <v>13</v>
      </c>
      <c r="S239" s="136">
        <v>396</v>
      </c>
      <c r="T239" s="136">
        <v>396</v>
      </c>
      <c r="U239" s="136">
        <f>+S239-T239</f>
        <v>0</v>
      </c>
      <c r="V239" s="136">
        <v>396</v>
      </c>
    </row>
    <row r="240" spans="1:22" x14ac:dyDescent="0.3">
      <c r="A240" s="136" t="s">
        <v>6</v>
      </c>
      <c r="B240" s="136" t="s">
        <v>5</v>
      </c>
      <c r="C240" s="136" t="s">
        <v>702</v>
      </c>
      <c r="D240" s="143">
        <v>42968</v>
      </c>
      <c r="E240" s="136">
        <v>15025.92</v>
      </c>
      <c r="F240" s="136" t="s">
        <v>14</v>
      </c>
      <c r="G240" s="140" t="s">
        <v>11</v>
      </c>
      <c r="H240" s="136" t="s">
        <v>12</v>
      </c>
      <c r="J240" s="139">
        <v>28</v>
      </c>
      <c r="K240" s="138">
        <v>11739</v>
      </c>
      <c r="L240" s="136">
        <v>0</v>
      </c>
      <c r="M240" s="136">
        <f t="shared" si="115"/>
        <v>1643.4600000000003</v>
      </c>
      <c r="N240" s="136">
        <f t="shared" si="116"/>
        <v>1643.4600000000003</v>
      </c>
      <c r="O240" s="136">
        <v>0</v>
      </c>
      <c r="P240" s="175">
        <v>87141090</v>
      </c>
      <c r="Q240" s="137" t="s">
        <v>22</v>
      </c>
      <c r="R240" s="136" t="s">
        <v>13</v>
      </c>
      <c r="S240" s="136">
        <v>156</v>
      </c>
      <c r="T240" s="136">
        <v>156</v>
      </c>
      <c r="U240" s="136">
        <f>+S240-T240</f>
        <v>0</v>
      </c>
      <c r="V240" s="136">
        <v>156</v>
      </c>
    </row>
    <row r="241" spans="1:22" x14ac:dyDescent="0.3">
      <c r="A241" s="136" t="s">
        <v>6</v>
      </c>
      <c r="B241" s="136" t="s">
        <v>5</v>
      </c>
      <c r="C241" s="136" t="s">
        <v>703</v>
      </c>
      <c r="D241" s="143">
        <v>42968</v>
      </c>
      <c r="E241" s="136">
        <v>12740.36</v>
      </c>
      <c r="F241" s="136" t="s">
        <v>14</v>
      </c>
      <c r="G241" s="140" t="s">
        <v>11</v>
      </c>
      <c r="H241" s="136" t="s">
        <v>12</v>
      </c>
      <c r="J241" s="139">
        <v>28</v>
      </c>
      <c r="K241" s="138">
        <v>9953.4</v>
      </c>
      <c r="L241" s="136">
        <v>0</v>
      </c>
      <c r="M241" s="136">
        <f t="shared" si="115"/>
        <v>1393.4760000000001</v>
      </c>
      <c r="N241" s="136">
        <f t="shared" si="116"/>
        <v>1393.4760000000001</v>
      </c>
      <c r="O241" s="136">
        <v>0</v>
      </c>
      <c r="P241" s="175">
        <v>87081090</v>
      </c>
      <c r="Q241" s="137" t="s">
        <v>22</v>
      </c>
      <c r="R241" s="136" t="s">
        <v>13</v>
      </c>
      <c r="S241" s="136">
        <v>120</v>
      </c>
      <c r="T241" s="136">
        <v>120</v>
      </c>
      <c r="U241" s="136">
        <f>+S241-T241</f>
        <v>0</v>
      </c>
      <c r="V241" s="136">
        <v>120</v>
      </c>
    </row>
    <row r="242" spans="1:22" x14ac:dyDescent="0.3">
      <c r="A242" s="136" t="s">
        <v>6</v>
      </c>
      <c r="B242" s="136" t="s">
        <v>5</v>
      </c>
      <c r="C242" s="136" t="s">
        <v>704</v>
      </c>
      <c r="D242" s="143">
        <v>42968</v>
      </c>
      <c r="E242" s="136">
        <v>18950.400000000001</v>
      </c>
      <c r="F242" s="136" t="s">
        <v>14</v>
      </c>
      <c r="G242" s="140" t="s">
        <v>11</v>
      </c>
      <c r="H242" s="136" t="s">
        <v>12</v>
      </c>
      <c r="J242" s="139">
        <v>28</v>
      </c>
      <c r="K242" s="138">
        <v>14805</v>
      </c>
      <c r="L242" s="136">
        <v>0</v>
      </c>
      <c r="M242" s="136">
        <f t="shared" si="115"/>
        <v>2072.7000000000003</v>
      </c>
      <c r="N242" s="136">
        <f t="shared" si="116"/>
        <v>2072.7000000000003</v>
      </c>
      <c r="O242" s="136">
        <v>0</v>
      </c>
      <c r="P242" s="175">
        <v>87141090</v>
      </c>
      <c r="Q242" s="137" t="s">
        <v>22</v>
      </c>
      <c r="R242" s="136" t="s">
        <v>13</v>
      </c>
      <c r="S242" s="136">
        <v>420</v>
      </c>
      <c r="T242" s="136">
        <v>420</v>
      </c>
      <c r="U242" s="136">
        <f>+S242-T242</f>
        <v>0</v>
      </c>
      <c r="V242" s="136">
        <v>420</v>
      </c>
    </row>
    <row r="243" spans="1:22" x14ac:dyDescent="0.3">
      <c r="A243" s="136" t="s">
        <v>40</v>
      </c>
      <c r="B243" s="136" t="s">
        <v>39</v>
      </c>
      <c r="C243" s="136" t="s">
        <v>705</v>
      </c>
      <c r="D243" s="143">
        <v>42969</v>
      </c>
      <c r="E243" s="136">
        <v>10058.56</v>
      </c>
      <c r="F243" s="136" t="s">
        <v>14</v>
      </c>
      <c r="G243" s="140" t="s">
        <v>11</v>
      </c>
      <c r="H243" s="136" t="s">
        <v>12</v>
      </c>
      <c r="J243" s="139">
        <v>18</v>
      </c>
      <c r="K243" s="138">
        <v>8524.2000000000007</v>
      </c>
      <c r="L243" s="136">
        <v>0</v>
      </c>
      <c r="M243" s="136">
        <f t="shared" si="115"/>
        <v>767.178</v>
      </c>
      <c r="N243" s="136">
        <f t="shared" si="116"/>
        <v>767.178</v>
      </c>
      <c r="O243" s="136">
        <v>0</v>
      </c>
      <c r="P243" s="175">
        <v>998898</v>
      </c>
      <c r="Q243" s="137" t="s">
        <v>22</v>
      </c>
      <c r="R243" s="136" t="s">
        <v>13</v>
      </c>
      <c r="S243" s="136">
        <v>0</v>
      </c>
      <c r="T243" s="136">
        <v>0</v>
      </c>
      <c r="U243" s="136">
        <f t="shared" ref="U243:U247" si="117">+S243-T243</f>
        <v>0</v>
      </c>
      <c r="V243" s="136">
        <v>30</v>
      </c>
    </row>
    <row r="244" spans="1:22" x14ac:dyDescent="0.3">
      <c r="A244" s="136" t="s">
        <v>180</v>
      </c>
      <c r="B244" s="136" t="s">
        <v>360</v>
      </c>
      <c r="C244" s="136" t="s">
        <v>706</v>
      </c>
      <c r="D244" s="143">
        <v>42969</v>
      </c>
      <c r="E244" s="136">
        <v>18432</v>
      </c>
      <c r="F244" s="136" t="s">
        <v>14</v>
      </c>
      <c r="G244" s="140" t="s">
        <v>11</v>
      </c>
      <c r="H244" s="136" t="s">
        <v>12</v>
      </c>
      <c r="J244" s="139">
        <v>28</v>
      </c>
      <c r="K244" s="138">
        <v>14400</v>
      </c>
      <c r="L244" s="136">
        <v>0</v>
      </c>
      <c r="M244" s="136">
        <f t="shared" si="115"/>
        <v>2016.0000000000002</v>
      </c>
      <c r="N244" s="136">
        <f t="shared" si="116"/>
        <v>2016.0000000000002</v>
      </c>
      <c r="O244" s="136">
        <v>0</v>
      </c>
      <c r="P244" s="175">
        <v>87089900</v>
      </c>
      <c r="Q244" s="137" t="s">
        <v>22</v>
      </c>
      <c r="R244" s="136" t="s">
        <v>13</v>
      </c>
      <c r="S244" s="136">
        <v>32</v>
      </c>
      <c r="T244" s="136">
        <v>32</v>
      </c>
      <c r="U244" s="136">
        <f t="shared" si="117"/>
        <v>0</v>
      </c>
      <c r="V244" s="136">
        <v>32</v>
      </c>
    </row>
    <row r="245" spans="1:22" x14ac:dyDescent="0.3">
      <c r="A245" s="136" t="s">
        <v>180</v>
      </c>
      <c r="B245" s="136" t="s">
        <v>360</v>
      </c>
      <c r="C245" s="136" t="s">
        <v>707</v>
      </c>
      <c r="D245" s="143">
        <v>42969</v>
      </c>
      <c r="E245" s="136">
        <v>34302.980000000003</v>
      </c>
      <c r="F245" s="136" t="s">
        <v>14</v>
      </c>
      <c r="G245" s="140" t="s">
        <v>11</v>
      </c>
      <c r="H245" s="136" t="s">
        <v>12</v>
      </c>
      <c r="J245" s="139">
        <v>28</v>
      </c>
      <c r="K245" s="138">
        <v>26799.200000000001</v>
      </c>
      <c r="L245" s="136">
        <v>0</v>
      </c>
      <c r="M245" s="136">
        <f t="shared" si="115"/>
        <v>3751.8880000000004</v>
      </c>
      <c r="N245" s="136">
        <f t="shared" si="116"/>
        <v>3751.8880000000004</v>
      </c>
      <c r="O245" s="136">
        <v>0</v>
      </c>
      <c r="P245" s="175">
        <v>87089900</v>
      </c>
      <c r="Q245" s="137" t="s">
        <v>22</v>
      </c>
      <c r="R245" s="136" t="s">
        <v>13</v>
      </c>
      <c r="S245" s="136">
        <v>80</v>
      </c>
      <c r="T245" s="136">
        <v>80</v>
      </c>
      <c r="U245" s="136">
        <f t="shared" si="117"/>
        <v>0</v>
      </c>
      <c r="V245" s="136">
        <v>80</v>
      </c>
    </row>
    <row r="246" spans="1:22" x14ac:dyDescent="0.3">
      <c r="A246" s="136" t="s">
        <v>180</v>
      </c>
      <c r="B246" s="136" t="s">
        <v>360</v>
      </c>
      <c r="C246" s="136" t="s">
        <v>708</v>
      </c>
      <c r="D246" s="143">
        <v>42969</v>
      </c>
      <c r="E246" s="136">
        <v>15769.6</v>
      </c>
      <c r="F246" s="136" t="s">
        <v>14</v>
      </c>
      <c r="G246" s="140" t="s">
        <v>11</v>
      </c>
      <c r="H246" s="136" t="s">
        <v>12</v>
      </c>
      <c r="J246" s="139">
        <v>28</v>
      </c>
      <c r="K246" s="138">
        <v>12320</v>
      </c>
      <c r="L246" s="136">
        <v>0</v>
      </c>
      <c r="M246" s="136">
        <f t="shared" si="115"/>
        <v>1724.8000000000002</v>
      </c>
      <c r="N246" s="136">
        <f t="shared" si="116"/>
        <v>1724.8000000000002</v>
      </c>
      <c r="O246" s="136">
        <v>0</v>
      </c>
      <c r="P246" s="175">
        <v>87089900</v>
      </c>
      <c r="Q246" s="137" t="s">
        <v>22</v>
      </c>
      <c r="R246" s="136" t="s">
        <v>13</v>
      </c>
      <c r="S246" s="136">
        <v>80</v>
      </c>
      <c r="T246" s="136">
        <v>80</v>
      </c>
      <c r="U246" s="136">
        <f t="shared" si="117"/>
        <v>0</v>
      </c>
      <c r="V246" s="136">
        <v>80</v>
      </c>
    </row>
    <row r="247" spans="1:22" x14ac:dyDescent="0.3">
      <c r="A247" s="136" t="s">
        <v>180</v>
      </c>
      <c r="B247" s="136" t="s">
        <v>360</v>
      </c>
      <c r="C247" s="136" t="s">
        <v>709</v>
      </c>
      <c r="D247" s="143">
        <v>42969</v>
      </c>
      <c r="E247" s="136">
        <v>14680.32</v>
      </c>
      <c r="F247" s="136" t="s">
        <v>14</v>
      </c>
      <c r="G247" s="140" t="s">
        <v>11</v>
      </c>
      <c r="H247" s="136" t="s">
        <v>12</v>
      </c>
      <c r="J247" s="139">
        <v>28</v>
      </c>
      <c r="K247" s="138">
        <v>11469</v>
      </c>
      <c r="L247" s="136">
        <v>0</v>
      </c>
      <c r="M247" s="136">
        <f t="shared" si="115"/>
        <v>1605.66</v>
      </c>
      <c r="N247" s="136">
        <f t="shared" si="116"/>
        <v>1605.66</v>
      </c>
      <c r="O247" s="136">
        <v>0</v>
      </c>
      <c r="P247" s="175">
        <v>87089900</v>
      </c>
      <c r="Q247" s="137" t="s">
        <v>22</v>
      </c>
      <c r="R247" s="136" t="s">
        <v>13</v>
      </c>
      <c r="S247" s="136">
        <v>200</v>
      </c>
      <c r="T247" s="136">
        <v>200</v>
      </c>
      <c r="U247" s="136">
        <f t="shared" si="117"/>
        <v>0</v>
      </c>
      <c r="V247" s="136">
        <v>200</v>
      </c>
    </row>
    <row r="248" spans="1:22" x14ac:dyDescent="0.3">
      <c r="A248" s="136" t="s">
        <v>6</v>
      </c>
      <c r="B248" s="136" t="s">
        <v>5</v>
      </c>
      <c r="C248" s="136" t="s">
        <v>710</v>
      </c>
      <c r="D248" s="143">
        <v>42969</v>
      </c>
      <c r="E248" s="136">
        <v>70071.92</v>
      </c>
      <c r="F248" s="136" t="s">
        <v>14</v>
      </c>
      <c r="G248" s="140" t="s">
        <v>11</v>
      </c>
      <c r="H248" s="136" t="s">
        <v>12</v>
      </c>
      <c r="J248" s="139">
        <v>28</v>
      </c>
      <c r="K248" s="138">
        <v>54743.7</v>
      </c>
      <c r="L248" s="136">
        <v>0</v>
      </c>
      <c r="M248" s="136">
        <f>+J248/100*K248/2-0.01</f>
        <v>7664.1080000000002</v>
      </c>
      <c r="N248" s="136">
        <f>+J248/100*K248/2-0.01</f>
        <v>7664.1080000000002</v>
      </c>
      <c r="O248" s="136">
        <v>0</v>
      </c>
      <c r="P248" s="175">
        <v>87081090</v>
      </c>
      <c r="Q248" s="137" t="s">
        <v>22</v>
      </c>
      <c r="R248" s="136" t="s">
        <v>13</v>
      </c>
      <c r="S248" s="136">
        <v>660</v>
      </c>
      <c r="T248" s="136">
        <v>660</v>
      </c>
      <c r="U248" s="136">
        <f>+S248-T248</f>
        <v>0</v>
      </c>
      <c r="V248" s="136">
        <v>660</v>
      </c>
    </row>
    <row r="249" spans="1:22" x14ac:dyDescent="0.3">
      <c r="A249" s="136" t="s">
        <v>253</v>
      </c>
      <c r="B249" s="136" t="s">
        <v>252</v>
      </c>
      <c r="C249" s="136" t="s">
        <v>711</v>
      </c>
      <c r="D249" s="143">
        <v>42969</v>
      </c>
      <c r="E249" s="136">
        <v>7066.12</v>
      </c>
      <c r="F249" s="136" t="s">
        <v>14</v>
      </c>
      <c r="G249" s="140" t="s">
        <v>11</v>
      </c>
      <c r="H249" s="136" t="s">
        <v>12</v>
      </c>
      <c r="J249" s="139">
        <v>18</v>
      </c>
      <c r="K249" s="138">
        <v>5988.24</v>
      </c>
      <c r="L249" s="136">
        <v>0</v>
      </c>
      <c r="M249" s="136">
        <f>+J249/100*K249/2</f>
        <v>538.94159999999999</v>
      </c>
      <c r="N249" s="136">
        <f>+J249/100*K249/2</f>
        <v>538.94159999999999</v>
      </c>
      <c r="O249" s="136">
        <v>0</v>
      </c>
      <c r="P249" s="175">
        <v>998898</v>
      </c>
      <c r="Q249" s="137" t="s">
        <v>22</v>
      </c>
      <c r="R249" s="136" t="s">
        <v>13</v>
      </c>
      <c r="S249" s="136">
        <v>12</v>
      </c>
      <c r="T249" s="136">
        <v>12</v>
      </c>
      <c r="U249" s="136">
        <f t="shared" ref="U249" si="118">+S249-T249</f>
        <v>0</v>
      </c>
      <c r="V249" s="136">
        <v>12</v>
      </c>
    </row>
    <row r="250" spans="1:22" x14ac:dyDescent="0.3">
      <c r="A250" s="136" t="s">
        <v>6</v>
      </c>
      <c r="B250" s="136" t="s">
        <v>5</v>
      </c>
      <c r="C250" s="136" t="s">
        <v>712</v>
      </c>
      <c r="D250" s="143">
        <v>42969</v>
      </c>
      <c r="E250" s="136">
        <v>44591.24</v>
      </c>
      <c r="F250" s="136" t="s">
        <v>14</v>
      </c>
      <c r="G250" s="140" t="s">
        <v>11</v>
      </c>
      <c r="H250" s="136" t="s">
        <v>12</v>
      </c>
      <c r="J250" s="139">
        <v>28</v>
      </c>
      <c r="K250" s="138">
        <v>34836.9</v>
      </c>
      <c r="L250" s="136">
        <v>0</v>
      </c>
      <c r="M250" s="136">
        <f>+J250/100*K250/2</f>
        <v>4877.1660000000011</v>
      </c>
      <c r="N250" s="136">
        <f>+J250/100*K250/2</f>
        <v>4877.1660000000011</v>
      </c>
      <c r="O250" s="136">
        <v>0</v>
      </c>
      <c r="P250" s="175">
        <v>87081090</v>
      </c>
      <c r="Q250" s="137" t="s">
        <v>22</v>
      </c>
      <c r="R250" s="136" t="s">
        <v>13</v>
      </c>
      <c r="S250" s="136">
        <v>420</v>
      </c>
      <c r="T250" s="136">
        <v>420</v>
      </c>
      <c r="U250" s="136">
        <f>+S250-T250</f>
        <v>0</v>
      </c>
      <c r="V250" s="136">
        <v>420</v>
      </c>
    </row>
    <row r="251" spans="1:22" x14ac:dyDescent="0.3">
      <c r="A251" s="136" t="s">
        <v>255</v>
      </c>
      <c r="B251" s="136" t="s">
        <v>254</v>
      </c>
      <c r="C251" s="136" t="s">
        <v>713</v>
      </c>
      <c r="D251" s="143">
        <v>42969</v>
      </c>
      <c r="E251" s="136">
        <v>1939.92</v>
      </c>
      <c r="F251" s="136" t="s">
        <v>14</v>
      </c>
      <c r="G251" s="140" t="s">
        <v>11</v>
      </c>
      <c r="H251" s="136" t="s">
        <v>12</v>
      </c>
      <c r="J251" s="139">
        <v>18</v>
      </c>
      <c r="K251" s="138">
        <v>1644</v>
      </c>
      <c r="L251" s="136">
        <v>0</v>
      </c>
      <c r="M251" s="136">
        <f t="shared" ref="M251" si="119">+J251/100*K251/2</f>
        <v>147.96</v>
      </c>
      <c r="N251" s="136">
        <f t="shared" ref="N251" si="120">+J251/100*K251/2</f>
        <v>147.96</v>
      </c>
      <c r="O251" s="136">
        <v>0</v>
      </c>
      <c r="P251" s="175">
        <v>998898</v>
      </c>
      <c r="Q251" s="137" t="s">
        <v>22</v>
      </c>
      <c r="R251" s="136" t="s">
        <v>13</v>
      </c>
      <c r="S251" s="136">
        <v>0</v>
      </c>
      <c r="T251" s="136">
        <v>0</v>
      </c>
      <c r="U251" s="136">
        <f t="shared" ref="U251:U252" si="121">+S251-T251</f>
        <v>0</v>
      </c>
      <c r="V251" s="136">
        <v>200</v>
      </c>
    </row>
    <row r="252" spans="1:22" x14ac:dyDescent="0.3">
      <c r="A252" s="136" t="s">
        <v>253</v>
      </c>
      <c r="B252" s="136" t="s">
        <v>252</v>
      </c>
      <c r="C252" s="136" t="s">
        <v>714</v>
      </c>
      <c r="D252" s="143">
        <v>42969</v>
      </c>
      <c r="E252" s="136">
        <v>6477.28</v>
      </c>
      <c r="F252" s="136" t="s">
        <v>14</v>
      </c>
      <c r="G252" s="140" t="s">
        <v>11</v>
      </c>
      <c r="H252" s="136" t="s">
        <v>12</v>
      </c>
      <c r="J252" s="139">
        <v>18</v>
      </c>
      <c r="K252" s="138">
        <v>5489.22</v>
      </c>
      <c r="L252" s="136">
        <v>0</v>
      </c>
      <c r="M252" s="136">
        <f>+J252/100*K252/2</f>
        <v>494.02980000000002</v>
      </c>
      <c r="N252" s="136">
        <f>+J252/100*K252/2</f>
        <v>494.02980000000002</v>
      </c>
      <c r="O252" s="136">
        <v>0</v>
      </c>
      <c r="P252" s="175">
        <v>998898</v>
      </c>
      <c r="Q252" s="137" t="s">
        <v>22</v>
      </c>
      <c r="R252" s="136" t="s">
        <v>13</v>
      </c>
      <c r="S252" s="136">
        <v>11</v>
      </c>
      <c r="T252" s="136">
        <v>11</v>
      </c>
      <c r="U252" s="136">
        <f t="shared" si="121"/>
        <v>0</v>
      </c>
      <c r="V252" s="136">
        <v>11</v>
      </c>
    </row>
    <row r="253" spans="1:22" x14ac:dyDescent="0.3">
      <c r="A253" s="136" t="s">
        <v>6</v>
      </c>
      <c r="B253" s="136" t="s">
        <v>5</v>
      </c>
      <c r="C253" s="136" t="s">
        <v>715</v>
      </c>
      <c r="D253" s="143">
        <v>42969</v>
      </c>
      <c r="E253" s="136">
        <v>38021.360000000001</v>
      </c>
      <c r="F253" s="136" t="s">
        <v>14</v>
      </c>
      <c r="G253" s="140" t="s">
        <v>11</v>
      </c>
      <c r="H253" s="136" t="s">
        <v>12</v>
      </c>
      <c r="J253" s="139">
        <v>28</v>
      </c>
      <c r="K253" s="138">
        <v>29704.2</v>
      </c>
      <c r="L253" s="136">
        <v>0</v>
      </c>
      <c r="M253" s="136">
        <f>+J253/100*K253/2-0.01</f>
        <v>4158.5780000000004</v>
      </c>
      <c r="N253" s="136">
        <f>+J253/100*K253/2-0.01</f>
        <v>4158.5780000000004</v>
      </c>
      <c r="O253" s="136">
        <v>0</v>
      </c>
      <c r="P253" s="175">
        <v>87081090</v>
      </c>
      <c r="Q253" s="137" t="s">
        <v>22</v>
      </c>
      <c r="R253" s="136" t="s">
        <v>13</v>
      </c>
      <c r="S253" s="136">
        <v>360</v>
      </c>
      <c r="T253" s="136">
        <v>360</v>
      </c>
      <c r="U253" s="136">
        <f>+S253-T253</f>
        <v>0</v>
      </c>
      <c r="V253" s="136">
        <v>360</v>
      </c>
    </row>
    <row r="254" spans="1:22" x14ac:dyDescent="0.3">
      <c r="A254" s="136" t="s">
        <v>6</v>
      </c>
      <c r="B254" s="136" t="s">
        <v>5</v>
      </c>
      <c r="C254" s="136" t="s">
        <v>716</v>
      </c>
      <c r="D254" s="143">
        <v>42969</v>
      </c>
      <c r="E254" s="136">
        <v>15160.32</v>
      </c>
      <c r="F254" s="136" t="s">
        <v>14</v>
      </c>
      <c r="G254" s="140" t="s">
        <v>11</v>
      </c>
      <c r="H254" s="136" t="s">
        <v>12</v>
      </c>
      <c r="J254" s="139">
        <v>28</v>
      </c>
      <c r="K254" s="138">
        <v>11844</v>
      </c>
      <c r="L254" s="136">
        <v>0</v>
      </c>
      <c r="M254" s="136">
        <f>+J254/100*K254/2</f>
        <v>1658.16</v>
      </c>
      <c r="N254" s="136">
        <f>+J254/100*K254/2</f>
        <v>1658.16</v>
      </c>
      <c r="O254" s="136">
        <v>0</v>
      </c>
      <c r="P254" s="175">
        <v>87141090</v>
      </c>
      <c r="Q254" s="137" t="s">
        <v>22</v>
      </c>
      <c r="R254" s="136" t="s">
        <v>13</v>
      </c>
      <c r="S254" s="136">
        <v>336</v>
      </c>
      <c r="T254" s="136">
        <v>336</v>
      </c>
      <c r="U254" s="136">
        <f>+S254-T254</f>
        <v>0</v>
      </c>
      <c r="V254" s="136">
        <v>336</v>
      </c>
    </row>
    <row r="255" spans="1:22" x14ac:dyDescent="0.3">
      <c r="A255" s="136" t="s">
        <v>40</v>
      </c>
      <c r="B255" s="136" t="s">
        <v>39</v>
      </c>
      <c r="C255" s="136" t="s">
        <v>717</v>
      </c>
      <c r="D255" s="143">
        <v>42970</v>
      </c>
      <c r="E255" s="136">
        <v>10058.56</v>
      </c>
      <c r="F255" s="136" t="s">
        <v>14</v>
      </c>
      <c r="G255" s="140" t="s">
        <v>11</v>
      </c>
      <c r="H255" s="136" t="s">
        <v>12</v>
      </c>
      <c r="J255" s="139">
        <v>18</v>
      </c>
      <c r="K255" s="138">
        <v>8524.2000000000007</v>
      </c>
      <c r="L255" s="136">
        <v>0</v>
      </c>
      <c r="M255" s="136">
        <f t="shared" ref="M255" si="122">+J255/100*K255/2</f>
        <v>767.178</v>
      </c>
      <c r="N255" s="136">
        <f t="shared" ref="N255" si="123">+J255/100*K255/2</f>
        <v>767.178</v>
      </c>
      <c r="O255" s="136">
        <v>0</v>
      </c>
      <c r="P255" s="175">
        <v>998898</v>
      </c>
      <c r="Q255" s="137" t="s">
        <v>22</v>
      </c>
      <c r="R255" s="136" t="s">
        <v>13</v>
      </c>
      <c r="S255" s="136">
        <v>0</v>
      </c>
      <c r="T255" s="136">
        <v>0</v>
      </c>
      <c r="U255" s="136">
        <f t="shared" ref="U255" si="124">+S255-T255</f>
        <v>0</v>
      </c>
      <c r="V255" s="136">
        <v>30</v>
      </c>
    </row>
    <row r="256" spans="1:22" x14ac:dyDescent="0.3">
      <c r="A256" s="136" t="s">
        <v>6</v>
      </c>
      <c r="B256" s="136" t="s">
        <v>5</v>
      </c>
      <c r="C256" s="136" t="s">
        <v>718</v>
      </c>
      <c r="D256" s="143">
        <v>42970</v>
      </c>
      <c r="E256" s="136">
        <v>28028.76</v>
      </c>
      <c r="F256" s="136" t="s">
        <v>14</v>
      </c>
      <c r="G256" s="140" t="s">
        <v>11</v>
      </c>
      <c r="H256" s="136" t="s">
        <v>12</v>
      </c>
      <c r="J256" s="139">
        <v>28</v>
      </c>
      <c r="K256" s="138">
        <v>21897.48</v>
      </c>
      <c r="L256" s="136">
        <v>0</v>
      </c>
      <c r="M256" s="136">
        <f>+J256/100*K256/2-0.01</f>
        <v>3065.6372000000001</v>
      </c>
      <c r="N256" s="136">
        <f>+J256/100*K256/2-0.01</f>
        <v>3065.6372000000001</v>
      </c>
      <c r="O256" s="136">
        <v>0</v>
      </c>
      <c r="P256" s="175">
        <v>87081090</v>
      </c>
      <c r="Q256" s="137" t="s">
        <v>22</v>
      </c>
      <c r="R256" s="136" t="s">
        <v>13</v>
      </c>
      <c r="S256" s="136">
        <v>264</v>
      </c>
      <c r="T256" s="136">
        <v>264</v>
      </c>
      <c r="U256" s="136">
        <f>+S256-T256</f>
        <v>0</v>
      </c>
      <c r="V256" s="136">
        <v>264</v>
      </c>
    </row>
    <row r="257" spans="1:22" x14ac:dyDescent="0.3">
      <c r="A257" s="136" t="s">
        <v>6</v>
      </c>
      <c r="B257" s="136" t="s">
        <v>5</v>
      </c>
      <c r="C257" s="136" t="s">
        <v>719</v>
      </c>
      <c r="D257" s="143">
        <v>42970</v>
      </c>
      <c r="E257" s="136">
        <v>17264.64</v>
      </c>
      <c r="F257" s="136" t="s">
        <v>14</v>
      </c>
      <c r="G257" s="140" t="s">
        <v>11</v>
      </c>
      <c r="H257" s="136" t="s">
        <v>12</v>
      </c>
      <c r="J257" s="139">
        <v>28</v>
      </c>
      <c r="K257" s="138">
        <v>13488</v>
      </c>
      <c r="L257" s="136">
        <v>0</v>
      </c>
      <c r="M257" s="136">
        <f>+J257/100*K257/2</f>
        <v>1888.3200000000002</v>
      </c>
      <c r="N257" s="136">
        <f>+J257/100*K257/2</f>
        <v>1888.3200000000002</v>
      </c>
      <c r="O257" s="136">
        <v>0</v>
      </c>
      <c r="P257" s="175">
        <v>87141090</v>
      </c>
      <c r="Q257" s="137" t="s">
        <v>22</v>
      </c>
      <c r="R257" s="136" t="s">
        <v>13</v>
      </c>
      <c r="S257" s="136">
        <v>192</v>
      </c>
      <c r="T257" s="136">
        <v>192</v>
      </c>
      <c r="U257" s="136">
        <f>+S257-T257</f>
        <v>0</v>
      </c>
      <c r="V257" s="136">
        <v>192</v>
      </c>
    </row>
    <row r="258" spans="1:22" x14ac:dyDescent="0.3">
      <c r="A258" s="136" t="s">
        <v>246</v>
      </c>
      <c r="B258" s="136" t="s">
        <v>245</v>
      </c>
      <c r="C258" s="136" t="s">
        <v>720</v>
      </c>
      <c r="D258" s="143">
        <v>42970</v>
      </c>
      <c r="E258" s="136">
        <v>65602.039999999994</v>
      </c>
      <c r="F258" s="136" t="s">
        <v>14</v>
      </c>
      <c r="G258" s="140" t="s">
        <v>11</v>
      </c>
      <c r="H258" s="136" t="s">
        <v>12</v>
      </c>
      <c r="J258" s="139">
        <v>28</v>
      </c>
      <c r="K258" s="138">
        <v>51251.6</v>
      </c>
      <c r="L258" s="136">
        <v>0</v>
      </c>
      <c r="M258" s="136">
        <f t="shared" ref="M258:M260" si="125">+J258/100*K258/2</f>
        <v>7175.2240000000002</v>
      </c>
      <c r="N258" s="136">
        <f t="shared" ref="N258:N260" si="126">+J258/100*K258/2</f>
        <v>7175.2240000000002</v>
      </c>
      <c r="O258" s="136">
        <v>0</v>
      </c>
      <c r="P258" s="175">
        <v>87141090</v>
      </c>
      <c r="Q258" s="137" t="s">
        <v>22</v>
      </c>
      <c r="R258" s="136" t="s">
        <v>13</v>
      </c>
      <c r="S258" s="136">
        <v>680</v>
      </c>
      <c r="T258" s="136">
        <v>680</v>
      </c>
      <c r="U258" s="136">
        <f t="shared" ref="U258:U260" si="127">+S258-T258</f>
        <v>0</v>
      </c>
      <c r="V258" s="136">
        <v>680</v>
      </c>
    </row>
    <row r="259" spans="1:22" x14ac:dyDescent="0.3">
      <c r="A259" s="136" t="s">
        <v>180</v>
      </c>
      <c r="B259" s="136" t="s">
        <v>360</v>
      </c>
      <c r="C259" s="136" t="s">
        <v>721</v>
      </c>
      <c r="D259" s="143">
        <v>42970</v>
      </c>
      <c r="E259" s="136">
        <v>56000</v>
      </c>
      <c r="F259" s="136" t="s">
        <v>14</v>
      </c>
      <c r="G259" s="140" t="s">
        <v>11</v>
      </c>
      <c r="H259" s="136" t="s">
        <v>12</v>
      </c>
      <c r="J259" s="139">
        <v>28</v>
      </c>
      <c r="K259" s="138">
        <v>43750</v>
      </c>
      <c r="L259" s="136">
        <v>0</v>
      </c>
      <c r="M259" s="136">
        <f t="shared" si="125"/>
        <v>6125.0000000000009</v>
      </c>
      <c r="N259" s="136">
        <f t="shared" si="126"/>
        <v>6125.0000000000009</v>
      </c>
      <c r="O259" s="136">
        <v>0</v>
      </c>
      <c r="P259" s="175">
        <v>87089900</v>
      </c>
      <c r="Q259" s="137" t="s">
        <v>22</v>
      </c>
      <c r="R259" s="136" t="s">
        <v>13</v>
      </c>
      <c r="S259" s="136">
        <v>91</v>
      </c>
      <c r="T259" s="136">
        <v>91</v>
      </c>
      <c r="U259" s="136">
        <f t="shared" si="127"/>
        <v>0</v>
      </c>
      <c r="V259" s="136">
        <v>91</v>
      </c>
    </row>
    <row r="260" spans="1:22" x14ac:dyDescent="0.3">
      <c r="A260" s="136" t="s">
        <v>180</v>
      </c>
      <c r="B260" s="136" t="s">
        <v>360</v>
      </c>
      <c r="C260" s="136" t="s">
        <v>722</v>
      </c>
      <c r="D260" s="143">
        <v>42970</v>
      </c>
      <c r="E260" s="136">
        <v>12331</v>
      </c>
      <c r="F260" s="136" t="s">
        <v>14</v>
      </c>
      <c r="G260" s="140" t="s">
        <v>11</v>
      </c>
      <c r="H260" s="136" t="s">
        <v>12</v>
      </c>
      <c r="J260" s="139">
        <v>28</v>
      </c>
      <c r="K260" s="138">
        <v>9633.6</v>
      </c>
      <c r="L260" s="136">
        <v>0</v>
      </c>
      <c r="M260" s="136">
        <f t="shared" si="125"/>
        <v>1348.7040000000002</v>
      </c>
      <c r="N260" s="136">
        <f t="shared" si="126"/>
        <v>1348.7040000000002</v>
      </c>
      <c r="O260" s="136">
        <v>0</v>
      </c>
      <c r="P260" s="175">
        <v>87089900</v>
      </c>
      <c r="Q260" s="137" t="s">
        <v>22</v>
      </c>
      <c r="R260" s="136" t="s">
        <v>13</v>
      </c>
      <c r="S260" s="136">
        <v>20</v>
      </c>
      <c r="T260" s="136">
        <v>20</v>
      </c>
      <c r="U260" s="136">
        <f t="shared" si="127"/>
        <v>0</v>
      </c>
      <c r="V260" s="136">
        <v>20</v>
      </c>
    </row>
    <row r="261" spans="1:22" x14ac:dyDescent="0.3">
      <c r="A261" s="136" t="s">
        <v>6</v>
      </c>
      <c r="B261" s="136" t="s">
        <v>5</v>
      </c>
      <c r="C261" s="136" t="s">
        <v>723</v>
      </c>
      <c r="D261" s="143">
        <v>42970</v>
      </c>
      <c r="E261" s="136">
        <v>66130.039999999994</v>
      </c>
      <c r="F261" s="136" t="s">
        <v>14</v>
      </c>
      <c r="G261" s="140" t="s">
        <v>11</v>
      </c>
      <c r="H261" s="136" t="s">
        <v>12</v>
      </c>
      <c r="J261" s="139">
        <v>28</v>
      </c>
      <c r="K261" s="138">
        <v>51664.08</v>
      </c>
      <c r="L261" s="136">
        <v>0</v>
      </c>
      <c r="M261" s="136">
        <f>+J261/100*K261/2+0.01</f>
        <v>7232.9812000000011</v>
      </c>
      <c r="N261" s="136">
        <f>+J261/100*K261/2+0.01</f>
        <v>7232.9812000000011</v>
      </c>
      <c r="O261" s="136">
        <v>0</v>
      </c>
      <c r="P261" s="175">
        <v>87081090</v>
      </c>
      <c r="Q261" s="137" t="s">
        <v>22</v>
      </c>
      <c r="R261" s="136" t="s">
        <v>13</v>
      </c>
      <c r="S261" s="136">
        <v>624</v>
      </c>
      <c r="T261" s="136">
        <v>624</v>
      </c>
      <c r="U261" s="136">
        <f>+S261-T261</f>
        <v>0</v>
      </c>
      <c r="V261" s="136">
        <v>624</v>
      </c>
    </row>
    <row r="262" spans="1:22" x14ac:dyDescent="0.3">
      <c r="A262" s="136" t="s">
        <v>253</v>
      </c>
      <c r="B262" s="136" t="s">
        <v>252</v>
      </c>
      <c r="C262" s="136" t="s">
        <v>724</v>
      </c>
      <c r="D262" s="143">
        <v>42970</v>
      </c>
      <c r="E262" s="136">
        <v>7066.12</v>
      </c>
      <c r="F262" s="136" t="s">
        <v>14</v>
      </c>
      <c r="G262" s="140" t="s">
        <v>11</v>
      </c>
      <c r="H262" s="136" t="s">
        <v>12</v>
      </c>
      <c r="J262" s="139">
        <v>18</v>
      </c>
      <c r="K262" s="138">
        <v>5988.24</v>
      </c>
      <c r="L262" s="136">
        <v>0</v>
      </c>
      <c r="M262" s="136">
        <f>+J262/100*K262/2</f>
        <v>538.94159999999999</v>
      </c>
      <c r="N262" s="136">
        <f>+J262/100*K262/2</f>
        <v>538.94159999999999</v>
      </c>
      <c r="O262" s="136">
        <v>0</v>
      </c>
      <c r="P262" s="175">
        <v>998898</v>
      </c>
      <c r="Q262" s="137" t="s">
        <v>22</v>
      </c>
      <c r="R262" s="136" t="s">
        <v>13</v>
      </c>
      <c r="S262" s="136">
        <v>12</v>
      </c>
      <c r="T262" s="136">
        <v>12</v>
      </c>
      <c r="U262" s="136">
        <f t="shared" ref="U262:U266" si="128">+S262-T262</f>
        <v>0</v>
      </c>
      <c r="V262" s="136">
        <v>12</v>
      </c>
    </row>
    <row r="263" spans="1:22" x14ac:dyDescent="0.3">
      <c r="A263" s="136" t="s">
        <v>255</v>
      </c>
      <c r="B263" s="136" t="s">
        <v>254</v>
      </c>
      <c r="C263" s="136" t="s">
        <v>725</v>
      </c>
      <c r="D263" s="143">
        <v>42970</v>
      </c>
      <c r="E263" s="136">
        <v>2230.92</v>
      </c>
      <c r="F263" s="136" t="s">
        <v>14</v>
      </c>
      <c r="G263" s="140" t="s">
        <v>11</v>
      </c>
      <c r="H263" s="136" t="s">
        <v>12</v>
      </c>
      <c r="J263" s="139">
        <v>18</v>
      </c>
      <c r="K263" s="138">
        <v>1890.6</v>
      </c>
      <c r="L263" s="136">
        <v>0</v>
      </c>
      <c r="M263" s="136">
        <f>+J263/100*K263/2+0.01</f>
        <v>170.16399999999999</v>
      </c>
      <c r="N263" s="136">
        <f>+J263/100*K263/2+0.01</f>
        <v>170.16399999999999</v>
      </c>
      <c r="O263" s="136">
        <v>0</v>
      </c>
      <c r="P263" s="175">
        <v>998898</v>
      </c>
      <c r="Q263" s="137" t="s">
        <v>22</v>
      </c>
      <c r="R263" s="136" t="s">
        <v>13</v>
      </c>
      <c r="S263" s="136">
        <v>230</v>
      </c>
      <c r="T263" s="136">
        <v>230</v>
      </c>
      <c r="U263" s="136">
        <f t="shared" si="128"/>
        <v>0</v>
      </c>
      <c r="V263" s="136">
        <v>230</v>
      </c>
    </row>
    <row r="264" spans="1:22" x14ac:dyDescent="0.3">
      <c r="A264" s="136" t="s">
        <v>253</v>
      </c>
      <c r="B264" s="136" t="s">
        <v>252</v>
      </c>
      <c r="C264" s="136" t="s">
        <v>726</v>
      </c>
      <c r="D264" s="143">
        <v>42970</v>
      </c>
      <c r="E264" s="136">
        <v>7066.12</v>
      </c>
      <c r="F264" s="136" t="s">
        <v>14</v>
      </c>
      <c r="G264" s="140" t="s">
        <v>11</v>
      </c>
      <c r="H264" s="136" t="s">
        <v>12</v>
      </c>
      <c r="J264" s="139">
        <v>18</v>
      </c>
      <c r="K264" s="138">
        <v>5988.24</v>
      </c>
      <c r="L264" s="136">
        <v>0</v>
      </c>
      <c r="M264" s="136">
        <f>+J264/100*K264/2</f>
        <v>538.94159999999999</v>
      </c>
      <c r="N264" s="136">
        <f>+J264/100*K264/2</f>
        <v>538.94159999999999</v>
      </c>
      <c r="O264" s="136">
        <v>0</v>
      </c>
      <c r="P264" s="175">
        <v>998898</v>
      </c>
      <c r="Q264" s="137" t="s">
        <v>22</v>
      </c>
      <c r="R264" s="136" t="s">
        <v>13</v>
      </c>
      <c r="S264" s="136">
        <v>12</v>
      </c>
      <c r="T264" s="136">
        <v>12</v>
      </c>
      <c r="U264" s="136">
        <f t="shared" si="128"/>
        <v>0</v>
      </c>
      <c r="V264" s="136">
        <v>12</v>
      </c>
    </row>
    <row r="265" spans="1:22" x14ac:dyDescent="0.3">
      <c r="A265" s="136" t="s">
        <v>179</v>
      </c>
      <c r="B265" s="136" t="s">
        <v>178</v>
      </c>
      <c r="C265" s="136" t="s">
        <v>727</v>
      </c>
      <c r="D265" s="143">
        <v>42970</v>
      </c>
      <c r="E265" s="136">
        <v>160045.6</v>
      </c>
      <c r="F265" s="136" t="s">
        <v>14</v>
      </c>
      <c r="G265" s="140" t="s">
        <v>11</v>
      </c>
      <c r="H265" s="136" t="s">
        <v>12</v>
      </c>
      <c r="J265" s="139">
        <v>28</v>
      </c>
      <c r="K265" s="138">
        <v>125035.62</v>
      </c>
      <c r="L265" s="136">
        <v>0</v>
      </c>
      <c r="M265" s="136">
        <f t="shared" ref="M265:M266" si="129">+J265/100*K265/2</f>
        <v>17504.986800000002</v>
      </c>
      <c r="N265" s="136">
        <f t="shared" ref="N265:N266" si="130">+J265/100*K265/2</f>
        <v>17504.986800000002</v>
      </c>
      <c r="O265" s="136">
        <v>0</v>
      </c>
      <c r="P265" s="175">
        <v>85129000</v>
      </c>
      <c r="Q265" s="137" t="s">
        <v>22</v>
      </c>
      <c r="R265" s="136" t="s">
        <v>13</v>
      </c>
      <c r="S265" s="136">
        <v>17294</v>
      </c>
      <c r="T265" s="136">
        <v>17294</v>
      </c>
      <c r="U265" s="136">
        <f t="shared" si="128"/>
        <v>0</v>
      </c>
      <c r="V265" s="136">
        <v>17294</v>
      </c>
    </row>
    <row r="266" spans="1:22" x14ac:dyDescent="0.3">
      <c r="A266" s="136" t="s">
        <v>181</v>
      </c>
      <c r="B266" s="136" t="s">
        <v>182</v>
      </c>
      <c r="C266" s="136" t="s">
        <v>728</v>
      </c>
      <c r="D266" s="143">
        <v>42970</v>
      </c>
      <c r="E266" s="136">
        <v>84536.320000000007</v>
      </c>
      <c r="F266" s="136" t="s">
        <v>14</v>
      </c>
      <c r="G266" s="140" t="s">
        <v>11</v>
      </c>
      <c r="H266" s="136" t="s">
        <v>12</v>
      </c>
      <c r="J266" s="139">
        <v>28</v>
      </c>
      <c r="K266" s="138">
        <v>66044</v>
      </c>
      <c r="L266" s="136">
        <v>0</v>
      </c>
      <c r="M266" s="136">
        <f t="shared" si="129"/>
        <v>9246.1600000000017</v>
      </c>
      <c r="N266" s="136">
        <f t="shared" si="130"/>
        <v>9246.1600000000017</v>
      </c>
      <c r="O266" s="136">
        <v>0</v>
      </c>
      <c r="P266" s="175">
        <v>87141090</v>
      </c>
      <c r="Q266" s="137" t="s">
        <v>22</v>
      </c>
      <c r="R266" s="136" t="s">
        <v>13</v>
      </c>
      <c r="S266" s="136">
        <v>110073</v>
      </c>
      <c r="T266" s="136">
        <v>110073</v>
      </c>
      <c r="U266" s="136">
        <f t="shared" si="128"/>
        <v>0</v>
      </c>
      <c r="V266" s="136">
        <v>110073</v>
      </c>
    </row>
    <row r="267" spans="1:22" x14ac:dyDescent="0.3">
      <c r="A267" s="136" t="s">
        <v>6</v>
      </c>
      <c r="B267" s="136" t="s">
        <v>5</v>
      </c>
      <c r="C267" s="136" t="s">
        <v>729</v>
      </c>
      <c r="D267" s="143">
        <v>42970</v>
      </c>
      <c r="E267" s="136">
        <v>52131.62</v>
      </c>
      <c r="F267" s="136" t="s">
        <v>14</v>
      </c>
      <c r="G267" s="140" t="s">
        <v>11</v>
      </c>
      <c r="H267" s="136" t="s">
        <v>12</v>
      </c>
      <c r="J267" s="139">
        <v>28</v>
      </c>
      <c r="K267" s="138">
        <v>40727.82</v>
      </c>
      <c r="L267" s="136">
        <v>0</v>
      </c>
      <c r="M267" s="136">
        <f>+J267/100*K267/2+0.01</f>
        <v>5701.9048000000012</v>
      </c>
      <c r="N267" s="136">
        <f>+J267/100*K267/2+0.01</f>
        <v>5701.9048000000012</v>
      </c>
      <c r="O267" s="136">
        <v>0</v>
      </c>
      <c r="P267" s="175">
        <v>87081090</v>
      </c>
      <c r="Q267" s="137" t="s">
        <v>22</v>
      </c>
      <c r="R267" s="136" t="s">
        <v>13</v>
      </c>
      <c r="S267" s="136">
        <v>492</v>
      </c>
      <c r="T267" s="136">
        <v>492</v>
      </c>
      <c r="U267" s="136">
        <f>+S267-T267</f>
        <v>0</v>
      </c>
      <c r="V267" s="136">
        <v>492</v>
      </c>
    </row>
    <row r="268" spans="1:22" x14ac:dyDescent="0.3">
      <c r="A268" s="136" t="s">
        <v>6</v>
      </c>
      <c r="B268" s="136" t="s">
        <v>5</v>
      </c>
      <c r="C268" s="136" t="s">
        <v>730</v>
      </c>
      <c r="D268" s="143">
        <v>42970</v>
      </c>
      <c r="E268" s="136">
        <v>57195.82</v>
      </c>
      <c r="F268" s="136" t="s">
        <v>14</v>
      </c>
      <c r="G268" s="140" t="s">
        <v>11</v>
      </c>
      <c r="H268" s="136" t="s">
        <v>12</v>
      </c>
      <c r="J268" s="139">
        <v>28</v>
      </c>
      <c r="K268" s="138">
        <v>44684.22</v>
      </c>
      <c r="L268" s="136">
        <v>0</v>
      </c>
      <c r="M268" s="136">
        <f>+J268/100*K268/2+0.01</f>
        <v>6255.8008000000009</v>
      </c>
      <c r="N268" s="136">
        <f>+J268/100*K268/2+0.01</f>
        <v>6255.8008000000009</v>
      </c>
      <c r="O268" s="136">
        <v>0</v>
      </c>
      <c r="P268" s="175">
        <v>87081090</v>
      </c>
      <c r="Q268" s="137" t="s">
        <v>22</v>
      </c>
      <c r="R268" s="136" t="s">
        <v>13</v>
      </c>
      <c r="S268" s="136">
        <v>540</v>
      </c>
      <c r="T268" s="136">
        <v>540</v>
      </c>
      <c r="U268" s="136">
        <f>+S268-T268</f>
        <v>0</v>
      </c>
      <c r="V268" s="136">
        <v>540</v>
      </c>
    </row>
    <row r="269" spans="1:22" x14ac:dyDescent="0.3">
      <c r="A269" s="136" t="s">
        <v>6</v>
      </c>
      <c r="B269" s="136" t="s">
        <v>5</v>
      </c>
      <c r="C269" s="136" t="s">
        <v>731</v>
      </c>
      <c r="D269" s="143">
        <v>42971</v>
      </c>
      <c r="E269" s="136">
        <v>75168.08</v>
      </c>
      <c r="F269" s="136" t="s">
        <v>14</v>
      </c>
      <c r="G269" s="140" t="s">
        <v>11</v>
      </c>
      <c r="H269" s="136" t="s">
        <v>12</v>
      </c>
      <c r="J269" s="139">
        <v>28</v>
      </c>
      <c r="K269" s="138">
        <v>58725.06</v>
      </c>
      <c r="L269" s="136">
        <v>0</v>
      </c>
      <c r="M269" s="136">
        <f>+J269/100*K269/2</f>
        <v>8221.5084000000006</v>
      </c>
      <c r="N269" s="136">
        <f>+J269/100*K269/2</f>
        <v>8221.5084000000006</v>
      </c>
      <c r="O269" s="136">
        <v>0</v>
      </c>
      <c r="P269" s="175">
        <v>87081090</v>
      </c>
      <c r="Q269" s="137" t="s">
        <v>22</v>
      </c>
      <c r="R269" s="136" t="s">
        <v>13</v>
      </c>
      <c r="S269" s="136">
        <v>708</v>
      </c>
      <c r="T269" s="136">
        <v>708</v>
      </c>
      <c r="U269" s="136">
        <f>+S269-T269</f>
        <v>0</v>
      </c>
      <c r="V269" s="136">
        <v>708</v>
      </c>
    </row>
    <row r="270" spans="1:22" x14ac:dyDescent="0.3">
      <c r="A270" s="136" t="s">
        <v>180</v>
      </c>
      <c r="B270" s="136" t="s">
        <v>360</v>
      </c>
      <c r="C270" s="136" t="s">
        <v>732</v>
      </c>
      <c r="D270" s="143">
        <v>42971</v>
      </c>
      <c r="E270" s="136">
        <v>44853.8</v>
      </c>
      <c r="F270" s="136" t="s">
        <v>14</v>
      </c>
      <c r="G270" s="140" t="s">
        <v>11</v>
      </c>
      <c r="H270" s="136" t="s">
        <v>12</v>
      </c>
      <c r="J270" s="139">
        <v>28</v>
      </c>
      <c r="K270" s="138">
        <v>35042.04</v>
      </c>
      <c r="L270" s="136">
        <v>0</v>
      </c>
      <c r="M270" s="136">
        <f>+J270/100*K270/2-0.01</f>
        <v>4905.8756000000003</v>
      </c>
      <c r="N270" s="136">
        <f>+J270/100*K270/2-0.01</f>
        <v>4905.8756000000003</v>
      </c>
      <c r="O270" s="136">
        <v>0</v>
      </c>
      <c r="P270" s="175">
        <v>87089900</v>
      </c>
      <c r="Q270" s="137" t="s">
        <v>22</v>
      </c>
      <c r="R270" s="136" t="s">
        <v>13</v>
      </c>
      <c r="S270" s="136">
        <v>84</v>
      </c>
      <c r="T270" s="136">
        <v>84</v>
      </c>
      <c r="U270" s="136">
        <f t="shared" ref="U270" si="131">+S270-T270</f>
        <v>0</v>
      </c>
      <c r="V270" s="136">
        <v>84</v>
      </c>
    </row>
    <row r="271" spans="1:22" x14ac:dyDescent="0.3">
      <c r="A271" s="136" t="s">
        <v>6</v>
      </c>
      <c r="B271" s="136" t="s">
        <v>5</v>
      </c>
      <c r="C271" s="136" t="s">
        <v>733</v>
      </c>
      <c r="D271" s="143">
        <v>42971</v>
      </c>
      <c r="E271" s="136">
        <v>45865.279999999999</v>
      </c>
      <c r="F271" s="136" t="s">
        <v>14</v>
      </c>
      <c r="G271" s="140" t="s">
        <v>11</v>
      </c>
      <c r="H271" s="136" t="s">
        <v>12</v>
      </c>
      <c r="J271" s="139">
        <v>28</v>
      </c>
      <c r="K271" s="138">
        <v>35832.239999999998</v>
      </c>
      <c r="L271" s="136">
        <v>0</v>
      </c>
      <c r="M271" s="136">
        <f>+J271/100*K271/2+0.01</f>
        <v>5016.5236000000004</v>
      </c>
      <c r="N271" s="136">
        <f>+J271/100*K271/2+0.01</f>
        <v>5016.5236000000004</v>
      </c>
      <c r="O271" s="136">
        <v>0</v>
      </c>
      <c r="P271" s="175">
        <v>87081090</v>
      </c>
      <c r="Q271" s="137" t="s">
        <v>22</v>
      </c>
      <c r="R271" s="136" t="s">
        <v>13</v>
      </c>
      <c r="S271" s="136">
        <v>432</v>
      </c>
      <c r="T271" s="136">
        <v>432</v>
      </c>
      <c r="U271" s="136">
        <f>+S271-T271</f>
        <v>0</v>
      </c>
      <c r="V271" s="136">
        <v>432</v>
      </c>
    </row>
    <row r="272" spans="1:22" x14ac:dyDescent="0.3">
      <c r="A272" s="136" t="s">
        <v>40</v>
      </c>
      <c r="B272" s="136" t="s">
        <v>39</v>
      </c>
      <c r="C272" s="136" t="s">
        <v>734</v>
      </c>
      <c r="D272" s="143">
        <v>42971</v>
      </c>
      <c r="E272" s="136">
        <v>10058.56</v>
      </c>
      <c r="F272" s="136" t="s">
        <v>14</v>
      </c>
      <c r="G272" s="140" t="s">
        <v>11</v>
      </c>
      <c r="H272" s="136" t="s">
        <v>12</v>
      </c>
      <c r="J272" s="139">
        <v>18</v>
      </c>
      <c r="K272" s="138">
        <v>8524.2000000000007</v>
      </c>
      <c r="L272" s="136">
        <v>0</v>
      </c>
      <c r="M272" s="136">
        <f t="shared" ref="M272:M273" si="132">+J272/100*K272/2</f>
        <v>767.178</v>
      </c>
      <c r="N272" s="136">
        <f t="shared" ref="N272:N273" si="133">+J272/100*K272/2</f>
        <v>767.178</v>
      </c>
      <c r="O272" s="136">
        <v>0</v>
      </c>
      <c r="P272" s="175">
        <v>998898</v>
      </c>
      <c r="Q272" s="137" t="s">
        <v>22</v>
      </c>
      <c r="R272" s="136" t="s">
        <v>13</v>
      </c>
      <c r="S272" s="136">
        <v>0</v>
      </c>
      <c r="T272" s="136">
        <v>0</v>
      </c>
      <c r="U272" s="136">
        <f t="shared" ref="U272:U276" si="134">+S272-T272</f>
        <v>0</v>
      </c>
      <c r="V272" s="136">
        <v>30</v>
      </c>
    </row>
    <row r="273" spans="1:22" x14ac:dyDescent="0.3">
      <c r="A273" s="136" t="s">
        <v>179</v>
      </c>
      <c r="B273" s="136" t="s">
        <v>178</v>
      </c>
      <c r="C273" s="136" t="s">
        <v>735</v>
      </c>
      <c r="D273" s="143">
        <v>42971</v>
      </c>
      <c r="E273" s="136">
        <v>77425.919999999998</v>
      </c>
      <c r="F273" s="136" t="s">
        <v>14</v>
      </c>
      <c r="G273" s="140" t="s">
        <v>11</v>
      </c>
      <c r="H273" s="136" t="s">
        <v>12</v>
      </c>
      <c r="J273" s="139">
        <v>28</v>
      </c>
      <c r="K273" s="138">
        <v>60489</v>
      </c>
      <c r="L273" s="136">
        <v>0</v>
      </c>
      <c r="M273" s="136">
        <f t="shared" si="132"/>
        <v>8468.4600000000009</v>
      </c>
      <c r="N273" s="136">
        <f t="shared" si="133"/>
        <v>8468.4600000000009</v>
      </c>
      <c r="O273" s="136">
        <v>0</v>
      </c>
      <c r="P273" s="175">
        <v>85129000</v>
      </c>
      <c r="Q273" s="137" t="s">
        <v>22</v>
      </c>
      <c r="R273" s="136" t="s">
        <v>13</v>
      </c>
      <c r="S273" s="136">
        <v>900</v>
      </c>
      <c r="T273" s="136">
        <v>900</v>
      </c>
      <c r="U273" s="136">
        <f t="shared" si="134"/>
        <v>0</v>
      </c>
      <c r="V273" s="136">
        <v>900</v>
      </c>
    </row>
    <row r="274" spans="1:22" x14ac:dyDescent="0.3">
      <c r="A274" s="136" t="s">
        <v>253</v>
      </c>
      <c r="B274" s="136" t="s">
        <v>252</v>
      </c>
      <c r="C274" s="136" t="s">
        <v>736</v>
      </c>
      <c r="D274" s="143">
        <v>42971</v>
      </c>
      <c r="E274" s="136">
        <v>7066.12</v>
      </c>
      <c r="F274" s="136" t="s">
        <v>14</v>
      </c>
      <c r="G274" s="140" t="s">
        <v>11</v>
      </c>
      <c r="H274" s="136" t="s">
        <v>12</v>
      </c>
      <c r="J274" s="139">
        <v>18</v>
      </c>
      <c r="K274" s="138">
        <v>5988.24</v>
      </c>
      <c r="L274" s="136">
        <v>0</v>
      </c>
      <c r="M274" s="136">
        <f>+J274/100*K274/2</f>
        <v>538.94159999999999</v>
      </c>
      <c r="N274" s="136">
        <f>+J274/100*K274/2</f>
        <v>538.94159999999999</v>
      </c>
      <c r="O274" s="136">
        <v>0</v>
      </c>
      <c r="P274" s="175">
        <v>998898</v>
      </c>
      <c r="Q274" s="137" t="s">
        <v>22</v>
      </c>
      <c r="R274" s="136" t="s">
        <v>13</v>
      </c>
      <c r="S274" s="136">
        <v>12</v>
      </c>
      <c r="T274" s="136">
        <v>12</v>
      </c>
      <c r="U274" s="136">
        <f t="shared" si="134"/>
        <v>0</v>
      </c>
      <c r="V274" s="136">
        <v>12</v>
      </c>
    </row>
    <row r="275" spans="1:22" x14ac:dyDescent="0.3">
      <c r="A275" s="136" t="s">
        <v>186</v>
      </c>
      <c r="B275" s="136" t="s">
        <v>187</v>
      </c>
      <c r="C275" s="136" t="s">
        <v>737</v>
      </c>
      <c r="D275" s="143">
        <v>42971</v>
      </c>
      <c r="E275" s="136">
        <v>107520</v>
      </c>
      <c r="F275" s="136" t="s">
        <v>14</v>
      </c>
      <c r="G275" s="140" t="s">
        <v>11</v>
      </c>
      <c r="H275" s="136" t="s">
        <v>12</v>
      </c>
      <c r="J275" s="139">
        <v>28</v>
      </c>
      <c r="K275" s="138">
        <v>84000</v>
      </c>
      <c r="L275" s="136">
        <v>0</v>
      </c>
      <c r="M275" s="136">
        <f t="shared" ref="M275" si="135">+J275/100*K275/2</f>
        <v>11760.000000000002</v>
      </c>
      <c r="N275" s="136">
        <f t="shared" ref="N275" si="136">+J275/100*K275/2</f>
        <v>11760.000000000002</v>
      </c>
      <c r="O275" s="136">
        <v>0</v>
      </c>
      <c r="P275" s="175">
        <v>85129000</v>
      </c>
      <c r="Q275" s="137" t="s">
        <v>22</v>
      </c>
      <c r="R275" s="136" t="s">
        <v>13</v>
      </c>
      <c r="S275" s="136">
        <v>3360</v>
      </c>
      <c r="T275" s="136">
        <v>3360</v>
      </c>
      <c r="U275" s="136">
        <f t="shared" si="134"/>
        <v>0</v>
      </c>
      <c r="V275" s="136">
        <v>3360</v>
      </c>
    </row>
    <row r="276" spans="1:22" x14ac:dyDescent="0.3">
      <c r="A276" s="136" t="s">
        <v>253</v>
      </c>
      <c r="B276" s="136" t="s">
        <v>252</v>
      </c>
      <c r="C276" s="136" t="s">
        <v>738</v>
      </c>
      <c r="D276" s="143">
        <v>42971</v>
      </c>
      <c r="E276" s="136">
        <v>7066.12</v>
      </c>
      <c r="F276" s="136" t="s">
        <v>14</v>
      </c>
      <c r="G276" s="140" t="s">
        <v>11</v>
      </c>
      <c r="H276" s="136" t="s">
        <v>12</v>
      </c>
      <c r="J276" s="139">
        <v>18</v>
      </c>
      <c r="K276" s="138">
        <v>5988.24</v>
      </c>
      <c r="L276" s="136">
        <v>0</v>
      </c>
      <c r="M276" s="136">
        <f>+J276/100*K276/2</f>
        <v>538.94159999999999</v>
      </c>
      <c r="N276" s="136">
        <f>+J276/100*K276/2</f>
        <v>538.94159999999999</v>
      </c>
      <c r="O276" s="136">
        <v>0</v>
      </c>
      <c r="P276" s="175">
        <v>998898</v>
      </c>
      <c r="Q276" s="137" t="s">
        <v>22</v>
      </c>
      <c r="R276" s="136" t="s">
        <v>13</v>
      </c>
      <c r="S276" s="136">
        <v>12</v>
      </c>
      <c r="T276" s="136">
        <v>12</v>
      </c>
      <c r="U276" s="136">
        <f t="shared" si="134"/>
        <v>0</v>
      </c>
      <c r="V276" s="136">
        <v>12</v>
      </c>
    </row>
    <row r="277" spans="1:22" x14ac:dyDescent="0.3">
      <c r="A277" s="136" t="s">
        <v>6</v>
      </c>
      <c r="B277" s="136" t="s">
        <v>5</v>
      </c>
      <c r="C277" s="136" t="s">
        <v>739</v>
      </c>
      <c r="D277" s="143">
        <v>42971</v>
      </c>
      <c r="E277" s="136">
        <v>13536</v>
      </c>
      <c r="F277" s="136" t="s">
        <v>14</v>
      </c>
      <c r="G277" s="140" t="s">
        <v>11</v>
      </c>
      <c r="H277" s="136" t="s">
        <v>12</v>
      </c>
      <c r="J277" s="139">
        <v>28</v>
      </c>
      <c r="K277" s="138">
        <v>10575</v>
      </c>
      <c r="L277" s="136">
        <v>0</v>
      </c>
      <c r="M277" s="136">
        <f>+J277/100*K277/2</f>
        <v>1480.5000000000002</v>
      </c>
      <c r="N277" s="136">
        <f>+J277/100*K277/2</f>
        <v>1480.5000000000002</v>
      </c>
      <c r="O277" s="136">
        <v>0</v>
      </c>
      <c r="P277" s="175">
        <v>87141090</v>
      </c>
      <c r="Q277" s="137" t="s">
        <v>22</v>
      </c>
      <c r="R277" s="136" t="s">
        <v>13</v>
      </c>
      <c r="S277" s="136">
        <v>300</v>
      </c>
      <c r="T277" s="136">
        <v>300</v>
      </c>
      <c r="U277" s="136">
        <f>+S277-T277</f>
        <v>0</v>
      </c>
      <c r="V277" s="136">
        <v>300</v>
      </c>
    </row>
    <row r="278" spans="1:22" x14ac:dyDescent="0.3">
      <c r="A278" s="136" t="s">
        <v>6</v>
      </c>
      <c r="B278" s="136" t="s">
        <v>5</v>
      </c>
      <c r="C278" s="136" t="s">
        <v>740</v>
      </c>
      <c r="D278" s="143">
        <v>42971</v>
      </c>
      <c r="E278" s="136">
        <v>44407.56</v>
      </c>
      <c r="F278" s="136" t="s">
        <v>14</v>
      </c>
      <c r="G278" s="140" t="s">
        <v>11</v>
      </c>
      <c r="H278" s="136" t="s">
        <v>12</v>
      </c>
      <c r="J278" s="139">
        <v>28</v>
      </c>
      <c r="K278" s="138">
        <v>34693.379999999997</v>
      </c>
      <c r="L278" s="136">
        <v>0</v>
      </c>
      <c r="M278" s="136">
        <f>+J278/100*K278/2+0.02</f>
        <v>4857.0932000000003</v>
      </c>
      <c r="N278" s="136">
        <f>+J278/100*K278/2+0.02</f>
        <v>4857.0932000000003</v>
      </c>
      <c r="O278" s="136">
        <v>0</v>
      </c>
      <c r="P278" s="175">
        <v>87081090</v>
      </c>
      <c r="Q278" s="137" t="s">
        <v>22</v>
      </c>
      <c r="R278" s="136" t="s">
        <v>13</v>
      </c>
      <c r="S278" s="136">
        <v>420</v>
      </c>
      <c r="T278" s="136">
        <v>420</v>
      </c>
      <c r="U278" s="136">
        <f>+S278-T278</f>
        <v>0</v>
      </c>
      <c r="V278" s="136">
        <v>420</v>
      </c>
    </row>
    <row r="279" spans="1:22" x14ac:dyDescent="0.3">
      <c r="A279" s="136" t="s">
        <v>6</v>
      </c>
      <c r="B279" s="136" t="s">
        <v>5</v>
      </c>
      <c r="C279" s="136" t="s">
        <v>741</v>
      </c>
      <c r="D279" s="143">
        <v>42971</v>
      </c>
      <c r="E279" s="136">
        <v>50961.4</v>
      </c>
      <c r="F279" s="136" t="s">
        <v>14</v>
      </c>
      <c r="G279" s="140" t="s">
        <v>11</v>
      </c>
      <c r="H279" s="136" t="s">
        <v>12</v>
      </c>
      <c r="J279" s="139">
        <v>28</v>
      </c>
      <c r="K279" s="138">
        <v>39813.599999999999</v>
      </c>
      <c r="L279" s="136">
        <v>0</v>
      </c>
      <c r="M279" s="136">
        <f>+J279/100*K279/2</f>
        <v>5573.9040000000005</v>
      </c>
      <c r="N279" s="136">
        <f>+J279/100*K279/2</f>
        <v>5573.9040000000005</v>
      </c>
      <c r="O279" s="136">
        <v>0</v>
      </c>
      <c r="P279" s="175">
        <v>87081090</v>
      </c>
      <c r="Q279" s="137" t="s">
        <v>22</v>
      </c>
      <c r="R279" s="136" t="s">
        <v>13</v>
      </c>
      <c r="S279" s="136">
        <v>480</v>
      </c>
      <c r="T279" s="136">
        <v>480</v>
      </c>
      <c r="U279" s="136">
        <f>+S279-T279</f>
        <v>0</v>
      </c>
      <c r="V279" s="136">
        <v>480</v>
      </c>
    </row>
    <row r="280" spans="1:22" x14ac:dyDescent="0.3">
      <c r="A280" s="136" t="s">
        <v>551</v>
      </c>
      <c r="B280" s="136" t="s">
        <v>552</v>
      </c>
      <c r="C280" s="136" t="s">
        <v>742</v>
      </c>
      <c r="D280" s="143">
        <v>42973</v>
      </c>
      <c r="E280" s="136">
        <v>26880</v>
      </c>
      <c r="F280" s="136" t="s">
        <v>14</v>
      </c>
      <c r="G280" s="140" t="s">
        <v>11</v>
      </c>
      <c r="H280" s="136" t="s">
        <v>12</v>
      </c>
      <c r="J280" s="139">
        <v>28</v>
      </c>
      <c r="K280" s="138">
        <v>21000</v>
      </c>
      <c r="L280" s="136">
        <v>0</v>
      </c>
      <c r="M280" s="136">
        <f t="shared" ref="M280:M281" si="137">+J280/100*K280/2</f>
        <v>2940.0000000000005</v>
      </c>
      <c r="N280" s="136">
        <f t="shared" ref="N280:N281" si="138">+J280/100*K280/2</f>
        <v>2940.0000000000005</v>
      </c>
      <c r="O280" s="136">
        <v>0</v>
      </c>
      <c r="P280" s="175">
        <v>32082090</v>
      </c>
      <c r="Q280" s="137" t="s">
        <v>22</v>
      </c>
      <c r="R280" s="136" t="s">
        <v>197</v>
      </c>
      <c r="S280" s="136">
        <v>40</v>
      </c>
      <c r="T280" s="136">
        <v>40</v>
      </c>
      <c r="U280" s="136">
        <f t="shared" ref="U280:U282" si="139">+S280-T280</f>
        <v>0</v>
      </c>
      <c r="V280" s="136">
        <v>40</v>
      </c>
    </row>
    <row r="281" spans="1:22" x14ac:dyDescent="0.3">
      <c r="A281" s="136" t="s">
        <v>246</v>
      </c>
      <c r="B281" s="136" t="s">
        <v>245</v>
      </c>
      <c r="C281" s="136" t="s">
        <v>743</v>
      </c>
      <c r="D281" s="143">
        <v>42973</v>
      </c>
      <c r="E281" s="136">
        <v>52095.74</v>
      </c>
      <c r="F281" s="136" t="s">
        <v>14</v>
      </c>
      <c r="G281" s="140" t="s">
        <v>11</v>
      </c>
      <c r="H281" s="136" t="s">
        <v>12</v>
      </c>
      <c r="J281" s="139">
        <v>28</v>
      </c>
      <c r="K281" s="138">
        <v>40699.800000000003</v>
      </c>
      <c r="L281" s="136">
        <v>0</v>
      </c>
      <c r="M281" s="136">
        <f t="shared" si="137"/>
        <v>5697.9720000000007</v>
      </c>
      <c r="N281" s="136">
        <f t="shared" si="138"/>
        <v>5697.9720000000007</v>
      </c>
      <c r="O281" s="136">
        <v>0</v>
      </c>
      <c r="P281" s="175">
        <v>87141090</v>
      </c>
      <c r="Q281" s="137" t="s">
        <v>22</v>
      </c>
      <c r="R281" s="136" t="s">
        <v>13</v>
      </c>
      <c r="S281" s="136">
        <v>540</v>
      </c>
      <c r="T281" s="136">
        <v>540</v>
      </c>
      <c r="U281" s="136">
        <f t="shared" si="139"/>
        <v>0</v>
      </c>
      <c r="V281" s="136">
        <v>540</v>
      </c>
    </row>
    <row r="282" spans="1:22" x14ac:dyDescent="0.3">
      <c r="A282" s="136" t="s">
        <v>180</v>
      </c>
      <c r="B282" s="136" t="s">
        <v>360</v>
      </c>
      <c r="C282" s="136" t="s">
        <v>744</v>
      </c>
      <c r="D282" s="143">
        <v>42973</v>
      </c>
      <c r="E282" s="136">
        <v>38767.06</v>
      </c>
      <c r="F282" s="136" t="s">
        <v>14</v>
      </c>
      <c r="G282" s="140" t="s">
        <v>11</v>
      </c>
      <c r="H282" s="136" t="s">
        <v>12</v>
      </c>
      <c r="J282" s="139">
        <v>28</v>
      </c>
      <c r="K282" s="138">
        <v>30286.76</v>
      </c>
      <c r="L282" s="136">
        <v>0</v>
      </c>
      <c r="M282" s="136">
        <f>+J282/100*K282/2</f>
        <v>4240.1464000000005</v>
      </c>
      <c r="N282" s="136">
        <f>+J282/100*K282/2</f>
        <v>4240.1464000000005</v>
      </c>
      <c r="O282" s="136">
        <v>0</v>
      </c>
      <c r="P282" s="175">
        <v>87089900</v>
      </c>
      <c r="Q282" s="137" t="s">
        <v>22</v>
      </c>
      <c r="R282" s="136" t="s">
        <v>13</v>
      </c>
      <c r="S282" s="136">
        <v>448</v>
      </c>
      <c r="T282" s="136">
        <v>448</v>
      </c>
      <c r="U282" s="136">
        <f t="shared" si="139"/>
        <v>0</v>
      </c>
      <c r="V282" s="136">
        <v>448</v>
      </c>
    </row>
    <row r="283" spans="1:22" x14ac:dyDescent="0.3">
      <c r="A283" s="136" t="s">
        <v>6</v>
      </c>
      <c r="B283" s="136" t="s">
        <v>5</v>
      </c>
      <c r="C283" s="136" t="s">
        <v>745</v>
      </c>
      <c r="D283" s="143">
        <v>42973</v>
      </c>
      <c r="E283" s="136">
        <v>39495.08</v>
      </c>
      <c r="F283" s="136" t="s">
        <v>14</v>
      </c>
      <c r="G283" s="140" t="s">
        <v>11</v>
      </c>
      <c r="H283" s="136" t="s">
        <v>12</v>
      </c>
      <c r="J283" s="139">
        <v>28</v>
      </c>
      <c r="K283" s="138">
        <v>30855.54</v>
      </c>
      <c r="L283" s="136">
        <v>0</v>
      </c>
      <c r="M283" s="136">
        <f>+J283/100*K283/2-0.01</f>
        <v>4319.7656000000006</v>
      </c>
      <c r="N283" s="136">
        <f>+J283/100*K283/2-0.01</f>
        <v>4319.7656000000006</v>
      </c>
      <c r="O283" s="136">
        <v>0</v>
      </c>
      <c r="P283" s="175">
        <v>87081090</v>
      </c>
      <c r="Q283" s="137" t="s">
        <v>22</v>
      </c>
      <c r="R283" s="136" t="s">
        <v>13</v>
      </c>
      <c r="S283" s="136">
        <v>372</v>
      </c>
      <c r="T283" s="136">
        <v>372</v>
      </c>
      <c r="U283" s="136">
        <f>+S283-T283</f>
        <v>0</v>
      </c>
      <c r="V283" s="136">
        <v>372</v>
      </c>
    </row>
    <row r="284" spans="1:22" x14ac:dyDescent="0.3">
      <c r="A284" s="136" t="s">
        <v>6</v>
      </c>
      <c r="B284" s="136" t="s">
        <v>5</v>
      </c>
      <c r="C284" s="136" t="s">
        <v>746</v>
      </c>
      <c r="D284" s="143">
        <v>42973</v>
      </c>
      <c r="E284" s="136">
        <v>7872</v>
      </c>
      <c r="F284" s="136" t="s">
        <v>14</v>
      </c>
      <c r="G284" s="140" t="s">
        <v>11</v>
      </c>
      <c r="H284" s="136" t="s">
        <v>12</v>
      </c>
      <c r="J284" s="139">
        <v>28</v>
      </c>
      <c r="K284" s="138">
        <v>6150</v>
      </c>
      <c r="L284" s="136">
        <v>0</v>
      </c>
      <c r="M284" s="136">
        <f>+J284/100*K284/2</f>
        <v>861.00000000000011</v>
      </c>
      <c r="N284" s="136">
        <f>+J284/100*K284/2</f>
        <v>861.00000000000011</v>
      </c>
      <c r="O284" s="136">
        <v>0</v>
      </c>
      <c r="P284" s="175">
        <v>87141090</v>
      </c>
      <c r="Q284" s="137" t="s">
        <v>22</v>
      </c>
      <c r="R284" s="136" t="s">
        <v>13</v>
      </c>
      <c r="S284" s="136">
        <v>120</v>
      </c>
      <c r="T284" s="136">
        <v>120</v>
      </c>
      <c r="U284" s="136">
        <f>+S284-T284</f>
        <v>0</v>
      </c>
      <c r="V284" s="136">
        <v>120</v>
      </c>
    </row>
    <row r="285" spans="1:22" x14ac:dyDescent="0.3">
      <c r="A285" s="136" t="s">
        <v>6</v>
      </c>
      <c r="B285" s="136" t="s">
        <v>5</v>
      </c>
      <c r="C285" s="136" t="s">
        <v>747</v>
      </c>
      <c r="D285" s="143">
        <v>42973</v>
      </c>
      <c r="E285" s="136">
        <v>26587</v>
      </c>
      <c r="F285" s="136" t="s">
        <v>14</v>
      </c>
      <c r="G285" s="140" t="s">
        <v>11</v>
      </c>
      <c r="H285" s="136" t="s">
        <v>12</v>
      </c>
      <c r="J285" s="139">
        <v>28</v>
      </c>
      <c r="K285" s="138">
        <v>20771.099999999999</v>
      </c>
      <c r="L285" s="136">
        <v>0</v>
      </c>
      <c r="M285" s="136">
        <f>+J285/100*K285/2</f>
        <v>2907.9540000000002</v>
      </c>
      <c r="N285" s="136">
        <f>+J285/100*K285/2</f>
        <v>2907.9540000000002</v>
      </c>
      <c r="O285" s="136">
        <v>0</v>
      </c>
      <c r="P285" s="175">
        <v>87081090</v>
      </c>
      <c r="Q285" s="137" t="s">
        <v>22</v>
      </c>
      <c r="R285" s="136" t="s">
        <v>13</v>
      </c>
      <c r="S285" s="136">
        <v>252</v>
      </c>
      <c r="T285" s="136">
        <v>252</v>
      </c>
      <c r="U285" s="136">
        <f>+S285-T285</f>
        <v>0</v>
      </c>
      <c r="V285" s="136">
        <v>252</v>
      </c>
    </row>
    <row r="286" spans="1:22" x14ac:dyDescent="0.3">
      <c r="A286" s="136" t="s">
        <v>253</v>
      </c>
      <c r="B286" s="136" t="s">
        <v>252</v>
      </c>
      <c r="C286" s="136" t="s">
        <v>748</v>
      </c>
      <c r="D286" s="143">
        <v>42973</v>
      </c>
      <c r="E286" s="136">
        <v>7066.12</v>
      </c>
      <c r="F286" s="136" t="s">
        <v>14</v>
      </c>
      <c r="G286" s="140" t="s">
        <v>11</v>
      </c>
      <c r="H286" s="136" t="s">
        <v>12</v>
      </c>
      <c r="J286" s="139">
        <v>18</v>
      </c>
      <c r="K286" s="138">
        <v>5988.24</v>
      </c>
      <c r="L286" s="136">
        <v>0</v>
      </c>
      <c r="M286" s="136">
        <f>+J286/100*K286/2</f>
        <v>538.94159999999999</v>
      </c>
      <c r="N286" s="136">
        <f>+J286/100*K286/2</f>
        <v>538.94159999999999</v>
      </c>
      <c r="O286" s="136">
        <v>0</v>
      </c>
      <c r="P286" s="175">
        <v>998898</v>
      </c>
      <c r="Q286" s="137" t="s">
        <v>22</v>
      </c>
      <c r="R286" s="136" t="s">
        <v>13</v>
      </c>
      <c r="S286" s="136">
        <v>12</v>
      </c>
      <c r="T286" s="136">
        <v>12</v>
      </c>
      <c r="U286" s="136">
        <f t="shared" ref="U286:U298" si="140">+S286-T286</f>
        <v>0</v>
      </c>
      <c r="V286" s="136">
        <v>12</v>
      </c>
    </row>
    <row r="287" spans="1:22" x14ac:dyDescent="0.3">
      <c r="A287" s="136" t="s">
        <v>253</v>
      </c>
      <c r="B287" s="136" t="s">
        <v>252</v>
      </c>
      <c r="C287" s="136" t="s">
        <v>749</v>
      </c>
      <c r="D287" s="143">
        <v>42973</v>
      </c>
      <c r="E287" s="136">
        <v>7066.12</v>
      </c>
      <c r="F287" s="136" t="s">
        <v>14</v>
      </c>
      <c r="G287" s="140" t="s">
        <v>11</v>
      </c>
      <c r="H287" s="136" t="s">
        <v>12</v>
      </c>
      <c r="J287" s="139">
        <v>18</v>
      </c>
      <c r="K287" s="138">
        <v>5988.24</v>
      </c>
      <c r="L287" s="136">
        <v>0</v>
      </c>
      <c r="M287" s="136">
        <f>+J287/100*K287/2</f>
        <v>538.94159999999999</v>
      </c>
      <c r="N287" s="136">
        <f>+J287/100*K287/2</f>
        <v>538.94159999999999</v>
      </c>
      <c r="O287" s="136">
        <v>0</v>
      </c>
      <c r="P287" s="175">
        <v>998898</v>
      </c>
      <c r="Q287" s="137" t="s">
        <v>22</v>
      </c>
      <c r="R287" s="136" t="s">
        <v>13</v>
      </c>
      <c r="S287" s="136">
        <v>12</v>
      </c>
      <c r="T287" s="136">
        <v>12</v>
      </c>
      <c r="U287" s="136">
        <f t="shared" si="140"/>
        <v>0</v>
      </c>
      <c r="V287" s="136">
        <v>12</v>
      </c>
    </row>
    <row r="288" spans="1:22" x14ac:dyDescent="0.3">
      <c r="A288" s="136" t="s">
        <v>6</v>
      </c>
      <c r="B288" s="136" t="s">
        <v>5</v>
      </c>
      <c r="C288" s="136" t="s">
        <v>750</v>
      </c>
      <c r="D288" s="143">
        <v>42973</v>
      </c>
      <c r="E288" s="136">
        <v>24206.68</v>
      </c>
      <c r="F288" s="136" t="s">
        <v>14</v>
      </c>
      <c r="G288" s="140" t="s">
        <v>11</v>
      </c>
      <c r="H288" s="136" t="s">
        <v>12</v>
      </c>
      <c r="J288" s="139">
        <v>28</v>
      </c>
      <c r="K288" s="138">
        <v>18911.46</v>
      </c>
      <c r="L288" s="136">
        <v>0</v>
      </c>
      <c r="M288" s="136">
        <f>+J288/100*K288/2+0.01</f>
        <v>2647.6144000000004</v>
      </c>
      <c r="N288" s="136">
        <f>+J288/100*K288/2+0.01</f>
        <v>2647.6144000000004</v>
      </c>
      <c r="O288" s="136">
        <v>0</v>
      </c>
      <c r="P288" s="175">
        <v>87081090</v>
      </c>
      <c r="Q288" s="137" t="s">
        <v>22</v>
      </c>
      <c r="R288" s="136" t="s">
        <v>13</v>
      </c>
      <c r="S288" s="136">
        <v>228</v>
      </c>
      <c r="T288" s="136">
        <v>228</v>
      </c>
      <c r="U288" s="136">
        <f t="shared" si="140"/>
        <v>0</v>
      </c>
      <c r="V288" s="136">
        <v>228</v>
      </c>
    </row>
    <row r="289" spans="1:22" x14ac:dyDescent="0.3">
      <c r="A289" s="136" t="s">
        <v>6</v>
      </c>
      <c r="B289" s="136" t="s">
        <v>5</v>
      </c>
      <c r="C289" s="136" t="s">
        <v>751</v>
      </c>
      <c r="D289" s="143">
        <v>42973</v>
      </c>
      <c r="E289" s="136">
        <v>26542.080000000002</v>
      </c>
      <c r="F289" s="136" t="s">
        <v>14</v>
      </c>
      <c r="G289" s="140" t="s">
        <v>11</v>
      </c>
      <c r="H289" s="136" t="s">
        <v>12</v>
      </c>
      <c r="J289" s="139">
        <v>28</v>
      </c>
      <c r="K289" s="138">
        <v>20736</v>
      </c>
      <c r="L289" s="136">
        <v>0</v>
      </c>
      <c r="M289" s="136">
        <f t="shared" ref="M289:M297" si="141">+J289/100*K289/2</f>
        <v>2903.0400000000004</v>
      </c>
      <c r="N289" s="136">
        <f t="shared" ref="N289:N297" si="142">+J289/100*K289/2</f>
        <v>2903.0400000000004</v>
      </c>
      <c r="O289" s="136">
        <v>0</v>
      </c>
      <c r="P289" s="175">
        <v>87141090</v>
      </c>
      <c r="Q289" s="137" t="s">
        <v>22</v>
      </c>
      <c r="R289" s="136" t="s">
        <v>13</v>
      </c>
      <c r="S289" s="136">
        <v>384</v>
      </c>
      <c r="T289" s="136">
        <v>384</v>
      </c>
      <c r="U289" s="136">
        <f t="shared" si="140"/>
        <v>0</v>
      </c>
      <c r="V289" s="136">
        <v>384</v>
      </c>
    </row>
    <row r="290" spans="1:22" x14ac:dyDescent="0.3">
      <c r="A290" s="136" t="s">
        <v>6</v>
      </c>
      <c r="B290" s="136" t="s">
        <v>5</v>
      </c>
      <c r="C290" s="136" t="s">
        <v>752</v>
      </c>
      <c r="D290" s="143">
        <v>42973</v>
      </c>
      <c r="E290" s="136">
        <v>52235.44</v>
      </c>
      <c r="F290" s="136" t="s">
        <v>14</v>
      </c>
      <c r="G290" s="140" t="s">
        <v>11</v>
      </c>
      <c r="H290" s="136" t="s">
        <v>12</v>
      </c>
      <c r="J290" s="139">
        <v>28</v>
      </c>
      <c r="K290" s="138">
        <v>40808.94</v>
      </c>
      <c r="L290" s="136">
        <v>0</v>
      </c>
      <c r="M290" s="136">
        <f t="shared" si="141"/>
        <v>5713.2516000000005</v>
      </c>
      <c r="N290" s="136">
        <f t="shared" si="142"/>
        <v>5713.2516000000005</v>
      </c>
      <c r="O290" s="136">
        <v>0</v>
      </c>
      <c r="P290" s="175">
        <v>87081090</v>
      </c>
      <c r="Q290" s="137" t="s">
        <v>22</v>
      </c>
      <c r="R290" s="136" t="s">
        <v>13</v>
      </c>
      <c r="S290" s="136">
        <v>492</v>
      </c>
      <c r="T290" s="136">
        <v>492</v>
      </c>
      <c r="U290" s="136">
        <f t="shared" si="140"/>
        <v>0</v>
      </c>
      <c r="V290" s="136">
        <v>492</v>
      </c>
    </row>
    <row r="291" spans="1:22" x14ac:dyDescent="0.3">
      <c r="A291" s="136" t="s">
        <v>6</v>
      </c>
      <c r="B291" s="136" t="s">
        <v>5</v>
      </c>
      <c r="C291" s="136" t="s">
        <v>753</v>
      </c>
      <c r="D291" s="143">
        <v>42973</v>
      </c>
      <c r="E291" s="136">
        <v>10402.56</v>
      </c>
      <c r="F291" s="136" t="s">
        <v>14</v>
      </c>
      <c r="G291" s="140" t="s">
        <v>11</v>
      </c>
      <c r="H291" s="136" t="s">
        <v>12</v>
      </c>
      <c r="J291" s="139">
        <v>28</v>
      </c>
      <c r="K291" s="138">
        <v>8127</v>
      </c>
      <c r="L291" s="136">
        <v>0</v>
      </c>
      <c r="M291" s="136">
        <f t="shared" si="141"/>
        <v>1137.7800000000002</v>
      </c>
      <c r="N291" s="136">
        <f t="shared" si="142"/>
        <v>1137.7800000000002</v>
      </c>
      <c r="O291" s="136">
        <v>0</v>
      </c>
      <c r="P291" s="175">
        <v>87141090</v>
      </c>
      <c r="Q291" s="137" t="s">
        <v>22</v>
      </c>
      <c r="R291" s="136" t="s">
        <v>13</v>
      </c>
      <c r="S291" s="136">
        <v>108</v>
      </c>
      <c r="T291" s="136">
        <v>108</v>
      </c>
      <c r="U291" s="136">
        <f t="shared" si="140"/>
        <v>0</v>
      </c>
      <c r="V291" s="136">
        <v>108</v>
      </c>
    </row>
    <row r="292" spans="1:22" x14ac:dyDescent="0.3">
      <c r="A292" s="136" t="s">
        <v>6</v>
      </c>
      <c r="B292" s="136" t="s">
        <v>5</v>
      </c>
      <c r="C292" s="136" t="s">
        <v>754</v>
      </c>
      <c r="D292" s="143">
        <v>42974</v>
      </c>
      <c r="E292" s="136">
        <v>44591.24</v>
      </c>
      <c r="F292" s="136" t="s">
        <v>14</v>
      </c>
      <c r="G292" s="140" t="s">
        <v>11</v>
      </c>
      <c r="H292" s="136" t="s">
        <v>12</v>
      </c>
      <c r="J292" s="139">
        <v>28</v>
      </c>
      <c r="K292" s="138">
        <v>34836.9</v>
      </c>
      <c r="L292" s="136">
        <v>0</v>
      </c>
      <c r="M292" s="136">
        <f t="shared" si="141"/>
        <v>4877.1660000000011</v>
      </c>
      <c r="N292" s="136">
        <f t="shared" si="142"/>
        <v>4877.1660000000011</v>
      </c>
      <c r="O292" s="136">
        <v>0</v>
      </c>
      <c r="P292" s="175">
        <v>87081090</v>
      </c>
      <c r="Q292" s="137" t="s">
        <v>22</v>
      </c>
      <c r="R292" s="136" t="s">
        <v>13</v>
      </c>
      <c r="S292" s="136">
        <v>420</v>
      </c>
      <c r="T292" s="136">
        <v>420</v>
      </c>
      <c r="U292" s="136">
        <f t="shared" si="140"/>
        <v>0</v>
      </c>
      <c r="V292" s="136">
        <v>420</v>
      </c>
    </row>
    <row r="293" spans="1:22" x14ac:dyDescent="0.3">
      <c r="A293" s="136" t="s">
        <v>6</v>
      </c>
      <c r="B293" s="136" t="s">
        <v>5</v>
      </c>
      <c r="C293" s="136" t="s">
        <v>755</v>
      </c>
      <c r="D293" s="143">
        <v>42974</v>
      </c>
      <c r="E293" s="136">
        <v>10402.56</v>
      </c>
      <c r="F293" s="136" t="s">
        <v>14</v>
      </c>
      <c r="G293" s="140" t="s">
        <v>11</v>
      </c>
      <c r="H293" s="136" t="s">
        <v>12</v>
      </c>
      <c r="J293" s="139">
        <v>28</v>
      </c>
      <c r="K293" s="138">
        <v>8127</v>
      </c>
      <c r="L293" s="136">
        <v>0</v>
      </c>
      <c r="M293" s="136">
        <f t="shared" si="141"/>
        <v>1137.7800000000002</v>
      </c>
      <c r="N293" s="136">
        <f t="shared" si="142"/>
        <v>1137.7800000000002</v>
      </c>
      <c r="O293" s="136">
        <v>0</v>
      </c>
      <c r="P293" s="175">
        <v>87141090</v>
      </c>
      <c r="Q293" s="137" t="s">
        <v>22</v>
      </c>
      <c r="R293" s="136" t="s">
        <v>13</v>
      </c>
      <c r="S293" s="136">
        <v>108</v>
      </c>
      <c r="T293" s="136">
        <v>108</v>
      </c>
      <c r="U293" s="136">
        <f t="shared" si="140"/>
        <v>0</v>
      </c>
      <c r="V293" s="136">
        <v>108</v>
      </c>
    </row>
    <row r="294" spans="1:22" x14ac:dyDescent="0.3">
      <c r="A294" s="136" t="s">
        <v>180</v>
      </c>
      <c r="B294" s="136" t="s">
        <v>360</v>
      </c>
      <c r="C294" s="136" t="s">
        <v>756</v>
      </c>
      <c r="D294" s="143">
        <v>42974</v>
      </c>
      <c r="E294" s="136">
        <v>17151.48</v>
      </c>
      <c r="F294" s="136" t="s">
        <v>14</v>
      </c>
      <c r="G294" s="140" t="s">
        <v>11</v>
      </c>
      <c r="H294" s="136" t="s">
        <v>12</v>
      </c>
      <c r="J294" s="139">
        <v>28</v>
      </c>
      <c r="K294" s="138">
        <v>13399.6</v>
      </c>
      <c r="L294" s="136">
        <v>0</v>
      </c>
      <c r="M294" s="136">
        <f t="shared" si="141"/>
        <v>1875.9440000000002</v>
      </c>
      <c r="N294" s="136">
        <f t="shared" si="142"/>
        <v>1875.9440000000002</v>
      </c>
      <c r="O294" s="136">
        <v>0</v>
      </c>
      <c r="P294" s="175">
        <v>87089900</v>
      </c>
      <c r="Q294" s="137" t="s">
        <v>22</v>
      </c>
      <c r="R294" s="136" t="s">
        <v>13</v>
      </c>
      <c r="S294" s="136">
        <v>40</v>
      </c>
      <c r="T294" s="136">
        <v>40</v>
      </c>
      <c r="U294" s="136">
        <f t="shared" si="140"/>
        <v>0</v>
      </c>
      <c r="V294" s="136">
        <v>40</v>
      </c>
    </row>
    <row r="295" spans="1:22" x14ac:dyDescent="0.3">
      <c r="A295" s="136" t="s">
        <v>180</v>
      </c>
      <c r="B295" s="136" t="s">
        <v>360</v>
      </c>
      <c r="C295" s="136" t="s">
        <v>757</v>
      </c>
      <c r="D295" s="143">
        <v>42974</v>
      </c>
      <c r="E295" s="136">
        <v>31948.799999999999</v>
      </c>
      <c r="F295" s="136" t="s">
        <v>14</v>
      </c>
      <c r="G295" s="140" t="s">
        <v>11</v>
      </c>
      <c r="H295" s="136" t="s">
        <v>12</v>
      </c>
      <c r="J295" s="139">
        <v>28</v>
      </c>
      <c r="K295" s="138">
        <v>24960</v>
      </c>
      <c r="L295" s="136">
        <v>0</v>
      </c>
      <c r="M295" s="136">
        <f t="shared" si="141"/>
        <v>3494.4000000000005</v>
      </c>
      <c r="N295" s="136">
        <f t="shared" si="142"/>
        <v>3494.4000000000005</v>
      </c>
      <c r="O295" s="136">
        <v>0</v>
      </c>
      <c r="P295" s="175">
        <v>87089900</v>
      </c>
      <c r="Q295" s="137" t="s">
        <v>22</v>
      </c>
      <c r="R295" s="136" t="s">
        <v>13</v>
      </c>
      <c r="S295" s="136">
        <v>48</v>
      </c>
      <c r="T295" s="136">
        <v>48</v>
      </c>
      <c r="U295" s="136">
        <f t="shared" si="140"/>
        <v>0</v>
      </c>
      <c r="V295" s="136">
        <v>48</v>
      </c>
    </row>
    <row r="296" spans="1:22" x14ac:dyDescent="0.3">
      <c r="A296" s="136" t="s">
        <v>657</v>
      </c>
      <c r="B296" s="136" t="s">
        <v>658</v>
      </c>
      <c r="C296" s="136" t="s">
        <v>758</v>
      </c>
      <c r="D296" s="143">
        <v>42974</v>
      </c>
      <c r="E296" s="136">
        <v>6962</v>
      </c>
      <c r="F296" s="136" t="s">
        <v>14</v>
      </c>
      <c r="G296" s="140" t="s">
        <v>11</v>
      </c>
      <c r="H296" s="136" t="s">
        <v>12</v>
      </c>
      <c r="J296" s="139">
        <v>18</v>
      </c>
      <c r="K296" s="138">
        <v>5900</v>
      </c>
      <c r="L296" s="136">
        <v>0</v>
      </c>
      <c r="M296" s="136">
        <f t="shared" si="141"/>
        <v>531</v>
      </c>
      <c r="N296" s="136">
        <f t="shared" si="142"/>
        <v>531</v>
      </c>
      <c r="O296" s="136">
        <v>0</v>
      </c>
      <c r="P296" s="175">
        <v>998873</v>
      </c>
      <c r="Q296" s="137" t="s">
        <v>22</v>
      </c>
      <c r="R296" s="136" t="s">
        <v>13</v>
      </c>
      <c r="S296" s="136">
        <v>200</v>
      </c>
      <c r="T296" s="136">
        <v>200</v>
      </c>
      <c r="U296" s="136">
        <f t="shared" si="140"/>
        <v>0</v>
      </c>
      <c r="V296" s="136">
        <v>200</v>
      </c>
    </row>
    <row r="297" spans="1:22" x14ac:dyDescent="0.3">
      <c r="A297" s="136" t="s">
        <v>657</v>
      </c>
      <c r="B297" s="136" t="s">
        <v>658</v>
      </c>
      <c r="C297" s="136" t="s">
        <v>759</v>
      </c>
      <c r="D297" s="143">
        <v>42974</v>
      </c>
      <c r="E297" s="136">
        <v>6962</v>
      </c>
      <c r="F297" s="136" t="s">
        <v>14</v>
      </c>
      <c r="G297" s="140" t="s">
        <v>11</v>
      </c>
      <c r="H297" s="136" t="s">
        <v>12</v>
      </c>
      <c r="J297" s="139">
        <v>18</v>
      </c>
      <c r="K297" s="138">
        <v>5900</v>
      </c>
      <c r="L297" s="136">
        <v>0</v>
      </c>
      <c r="M297" s="136">
        <f t="shared" si="141"/>
        <v>531</v>
      </c>
      <c r="N297" s="136">
        <f t="shared" si="142"/>
        <v>531</v>
      </c>
      <c r="O297" s="136">
        <v>0</v>
      </c>
      <c r="P297" s="175">
        <v>998873</v>
      </c>
      <c r="Q297" s="137" t="s">
        <v>22</v>
      </c>
      <c r="R297" s="136" t="s">
        <v>13</v>
      </c>
      <c r="S297" s="136">
        <v>200</v>
      </c>
      <c r="T297" s="136">
        <v>200</v>
      </c>
      <c r="U297" s="136">
        <f t="shared" si="140"/>
        <v>0</v>
      </c>
      <c r="V297" s="136">
        <v>200</v>
      </c>
    </row>
    <row r="298" spans="1:22" x14ac:dyDescent="0.3">
      <c r="A298" s="136" t="s">
        <v>253</v>
      </c>
      <c r="B298" s="136" t="s">
        <v>252</v>
      </c>
      <c r="C298" s="136" t="s">
        <v>760</v>
      </c>
      <c r="D298" s="143">
        <v>42974</v>
      </c>
      <c r="E298" s="136">
        <v>7066.12</v>
      </c>
      <c r="F298" s="136" t="s">
        <v>14</v>
      </c>
      <c r="G298" s="140" t="s">
        <v>11</v>
      </c>
      <c r="H298" s="136" t="s">
        <v>12</v>
      </c>
      <c r="J298" s="139">
        <v>18</v>
      </c>
      <c r="K298" s="138">
        <v>5988.24</v>
      </c>
      <c r="L298" s="136">
        <v>0</v>
      </c>
      <c r="M298" s="136">
        <f>+J298/100*K298/2</f>
        <v>538.94159999999999</v>
      </c>
      <c r="N298" s="136">
        <f>+J298/100*K298/2</f>
        <v>538.94159999999999</v>
      </c>
      <c r="O298" s="136">
        <v>0</v>
      </c>
      <c r="P298" s="175">
        <v>998898</v>
      </c>
      <c r="Q298" s="137" t="s">
        <v>22</v>
      </c>
      <c r="R298" s="136" t="s">
        <v>13</v>
      </c>
      <c r="S298" s="136">
        <v>12</v>
      </c>
      <c r="T298" s="136">
        <v>12</v>
      </c>
      <c r="U298" s="136">
        <f t="shared" si="140"/>
        <v>0</v>
      </c>
      <c r="V298" s="136">
        <v>12</v>
      </c>
    </row>
    <row r="299" spans="1:22" x14ac:dyDescent="0.3">
      <c r="A299" s="136" t="s">
        <v>6</v>
      </c>
      <c r="B299" s="136" t="s">
        <v>5</v>
      </c>
      <c r="C299" s="136" t="s">
        <v>761</v>
      </c>
      <c r="D299" s="143">
        <v>42974</v>
      </c>
      <c r="E299" s="136">
        <v>28028.76</v>
      </c>
      <c r="F299" s="136" t="s">
        <v>14</v>
      </c>
      <c r="G299" s="140" t="s">
        <v>11</v>
      </c>
      <c r="H299" s="136" t="s">
        <v>12</v>
      </c>
      <c r="J299" s="139">
        <v>28</v>
      </c>
      <c r="K299" s="138">
        <v>21897.48</v>
      </c>
      <c r="L299" s="136">
        <v>0</v>
      </c>
      <c r="M299" s="136">
        <f>+J299/100*K299/2-0.01</f>
        <v>3065.6372000000001</v>
      </c>
      <c r="N299" s="136">
        <f>+J299/100*K299/2-0.01</f>
        <v>3065.6372000000001</v>
      </c>
      <c r="O299" s="136">
        <v>0</v>
      </c>
      <c r="P299" s="175">
        <v>87081090</v>
      </c>
      <c r="Q299" s="137" t="s">
        <v>22</v>
      </c>
      <c r="R299" s="136" t="s">
        <v>13</v>
      </c>
      <c r="S299" s="136">
        <v>264</v>
      </c>
      <c r="T299" s="136">
        <v>264</v>
      </c>
      <c r="U299" s="136">
        <f>+S299-T299</f>
        <v>0</v>
      </c>
      <c r="V299" s="136">
        <v>264</v>
      </c>
    </row>
    <row r="300" spans="1:22" x14ac:dyDescent="0.3">
      <c r="A300" s="136" t="s">
        <v>253</v>
      </c>
      <c r="B300" s="136" t="s">
        <v>252</v>
      </c>
      <c r="C300" s="136" t="s">
        <v>762</v>
      </c>
      <c r="D300" s="143">
        <v>42974</v>
      </c>
      <c r="E300" s="136">
        <v>7066.12</v>
      </c>
      <c r="F300" s="136" t="s">
        <v>14</v>
      </c>
      <c r="G300" s="140" t="s">
        <v>11</v>
      </c>
      <c r="H300" s="136" t="s">
        <v>12</v>
      </c>
      <c r="J300" s="139">
        <v>18</v>
      </c>
      <c r="K300" s="138">
        <v>5988.24</v>
      </c>
      <c r="L300" s="136">
        <v>0</v>
      </c>
      <c r="M300" s="136">
        <f>+J300/100*K300/2</f>
        <v>538.94159999999999</v>
      </c>
      <c r="N300" s="136">
        <f>+J300/100*K300/2</f>
        <v>538.94159999999999</v>
      </c>
      <c r="O300" s="136">
        <v>0</v>
      </c>
      <c r="P300" s="175">
        <v>998898</v>
      </c>
      <c r="Q300" s="137" t="s">
        <v>22</v>
      </c>
      <c r="R300" s="136" t="s">
        <v>13</v>
      </c>
      <c r="S300" s="136">
        <v>12</v>
      </c>
      <c r="T300" s="136">
        <v>12</v>
      </c>
      <c r="U300" s="136">
        <f t="shared" ref="U300:U302" si="143">+S300-T300</f>
        <v>0</v>
      </c>
      <c r="V300" s="136">
        <v>12</v>
      </c>
    </row>
    <row r="301" spans="1:22" x14ac:dyDescent="0.3">
      <c r="A301" s="136" t="s">
        <v>40</v>
      </c>
      <c r="B301" s="136" t="s">
        <v>39</v>
      </c>
      <c r="C301" s="136" t="s">
        <v>763</v>
      </c>
      <c r="D301" s="143">
        <v>42974</v>
      </c>
      <c r="E301" s="136">
        <v>10058.56</v>
      </c>
      <c r="F301" s="136" t="s">
        <v>14</v>
      </c>
      <c r="G301" s="140" t="s">
        <v>11</v>
      </c>
      <c r="H301" s="136" t="s">
        <v>12</v>
      </c>
      <c r="J301" s="139">
        <v>18</v>
      </c>
      <c r="K301" s="138">
        <v>8524.2000000000007</v>
      </c>
      <c r="L301" s="136">
        <v>0</v>
      </c>
      <c r="M301" s="136">
        <f t="shared" ref="M301:M302" si="144">+J301/100*K301/2</f>
        <v>767.178</v>
      </c>
      <c r="N301" s="136">
        <f t="shared" ref="N301:N302" si="145">+J301/100*K301/2</f>
        <v>767.178</v>
      </c>
      <c r="O301" s="136">
        <v>0</v>
      </c>
      <c r="P301" s="175">
        <v>998898</v>
      </c>
      <c r="Q301" s="137" t="s">
        <v>22</v>
      </c>
      <c r="R301" s="136" t="s">
        <v>13</v>
      </c>
      <c r="S301" s="136">
        <v>0</v>
      </c>
      <c r="T301" s="136">
        <v>0</v>
      </c>
      <c r="U301" s="136">
        <f t="shared" si="143"/>
        <v>0</v>
      </c>
      <c r="V301" s="136">
        <v>30</v>
      </c>
    </row>
    <row r="302" spans="1:22" x14ac:dyDescent="0.3">
      <c r="A302" s="136" t="s">
        <v>246</v>
      </c>
      <c r="B302" s="136" t="s">
        <v>245</v>
      </c>
      <c r="C302" s="136" t="s">
        <v>764</v>
      </c>
      <c r="D302" s="143">
        <v>42974</v>
      </c>
      <c r="E302" s="136">
        <v>54025.22</v>
      </c>
      <c r="F302" s="136" t="s">
        <v>14</v>
      </c>
      <c r="G302" s="140" t="s">
        <v>11</v>
      </c>
      <c r="H302" s="136" t="s">
        <v>12</v>
      </c>
      <c r="J302" s="139">
        <v>28</v>
      </c>
      <c r="K302" s="138">
        <v>42207.199999999997</v>
      </c>
      <c r="L302" s="136">
        <v>0</v>
      </c>
      <c r="M302" s="136">
        <f t="shared" si="144"/>
        <v>5909.0079999999998</v>
      </c>
      <c r="N302" s="136">
        <f t="shared" si="145"/>
        <v>5909.0079999999998</v>
      </c>
      <c r="O302" s="136">
        <v>0</v>
      </c>
      <c r="P302" s="175">
        <v>87141090</v>
      </c>
      <c r="Q302" s="137" t="s">
        <v>22</v>
      </c>
      <c r="R302" s="136" t="s">
        <v>13</v>
      </c>
      <c r="S302" s="136">
        <v>560</v>
      </c>
      <c r="T302" s="136">
        <v>560</v>
      </c>
      <c r="U302" s="136">
        <f t="shared" si="143"/>
        <v>0</v>
      </c>
      <c r="V302" s="136">
        <v>560</v>
      </c>
    </row>
    <row r="303" spans="1:22" x14ac:dyDescent="0.3">
      <c r="A303" s="136" t="s">
        <v>6</v>
      </c>
      <c r="B303" s="136" t="s">
        <v>5</v>
      </c>
      <c r="C303" s="136" t="s">
        <v>765</v>
      </c>
      <c r="D303" s="143">
        <v>42975</v>
      </c>
      <c r="E303" s="136">
        <v>49687.360000000001</v>
      </c>
      <c r="F303" s="136" t="s">
        <v>14</v>
      </c>
      <c r="G303" s="140" t="s">
        <v>11</v>
      </c>
      <c r="H303" s="136" t="s">
        <v>12</v>
      </c>
      <c r="J303" s="139">
        <v>28</v>
      </c>
      <c r="K303" s="138">
        <v>38818.26</v>
      </c>
      <c r="L303" s="136">
        <v>0</v>
      </c>
      <c r="M303" s="136">
        <f>+J303/100*K303/2-0.01</f>
        <v>5434.5464000000002</v>
      </c>
      <c r="N303" s="136">
        <f>+J303/100*K303/2-0.01</f>
        <v>5434.5464000000002</v>
      </c>
      <c r="O303" s="136">
        <v>0</v>
      </c>
      <c r="P303" s="175">
        <v>87081090</v>
      </c>
      <c r="Q303" s="137" t="s">
        <v>22</v>
      </c>
      <c r="R303" s="136" t="s">
        <v>13</v>
      </c>
      <c r="S303" s="136">
        <v>468</v>
      </c>
      <c r="T303" s="136">
        <v>468</v>
      </c>
      <c r="U303" s="136">
        <f>+S303-T303</f>
        <v>0</v>
      </c>
      <c r="V303" s="136">
        <v>468</v>
      </c>
    </row>
    <row r="304" spans="1:22" x14ac:dyDescent="0.3">
      <c r="A304" s="136" t="s">
        <v>6</v>
      </c>
      <c r="B304" s="136" t="s">
        <v>5</v>
      </c>
      <c r="C304" s="136" t="s">
        <v>766</v>
      </c>
      <c r="D304" s="143">
        <v>42975</v>
      </c>
      <c r="E304" s="136">
        <v>48413.32</v>
      </c>
      <c r="F304" s="136" t="s">
        <v>14</v>
      </c>
      <c r="G304" s="140" t="s">
        <v>11</v>
      </c>
      <c r="H304" s="136" t="s">
        <v>12</v>
      </c>
      <c r="J304" s="139">
        <v>28</v>
      </c>
      <c r="K304" s="138">
        <v>37822.92</v>
      </c>
      <c r="L304" s="136">
        <v>0</v>
      </c>
      <c r="M304" s="136">
        <f>+J304/100*K304/2-0.01</f>
        <v>5295.1988000000001</v>
      </c>
      <c r="N304" s="136">
        <f>+J304/100*K304/2-0.01</f>
        <v>5295.1988000000001</v>
      </c>
      <c r="O304" s="136">
        <v>0</v>
      </c>
      <c r="P304" s="175">
        <v>87081090</v>
      </c>
      <c r="Q304" s="137" t="s">
        <v>22</v>
      </c>
      <c r="R304" s="136" t="s">
        <v>13</v>
      </c>
      <c r="S304" s="136">
        <v>456</v>
      </c>
      <c r="T304" s="136">
        <v>456</v>
      </c>
      <c r="U304" s="136">
        <f>+S304-T304</f>
        <v>0</v>
      </c>
      <c r="V304" s="136">
        <v>456</v>
      </c>
    </row>
    <row r="305" spans="1:22" x14ac:dyDescent="0.3">
      <c r="A305" s="136" t="s">
        <v>6</v>
      </c>
      <c r="B305" s="136" t="s">
        <v>5</v>
      </c>
      <c r="C305" s="136" t="s">
        <v>767</v>
      </c>
      <c r="D305" s="143">
        <v>42975</v>
      </c>
      <c r="E305" s="136">
        <v>5955.84</v>
      </c>
      <c r="F305" s="136" t="s">
        <v>14</v>
      </c>
      <c r="G305" s="140" t="s">
        <v>11</v>
      </c>
      <c r="H305" s="136" t="s">
        <v>12</v>
      </c>
      <c r="J305" s="139">
        <v>28</v>
      </c>
      <c r="K305" s="138">
        <v>4653</v>
      </c>
      <c r="L305" s="136">
        <v>0</v>
      </c>
      <c r="M305" s="136">
        <f>+J305/100*K305/2</f>
        <v>651.42000000000007</v>
      </c>
      <c r="N305" s="136">
        <f>+J305/100*K305/2</f>
        <v>651.42000000000007</v>
      </c>
      <c r="O305" s="136">
        <v>0</v>
      </c>
      <c r="P305" s="175">
        <v>87141090</v>
      </c>
      <c r="Q305" s="137" t="s">
        <v>22</v>
      </c>
      <c r="R305" s="136" t="s">
        <v>13</v>
      </c>
      <c r="S305" s="136">
        <v>132</v>
      </c>
      <c r="T305" s="136">
        <v>132</v>
      </c>
      <c r="U305" s="136">
        <f>+S305-T305</f>
        <v>0</v>
      </c>
      <c r="V305" s="136">
        <v>132</v>
      </c>
    </row>
    <row r="306" spans="1:22" x14ac:dyDescent="0.3">
      <c r="A306" s="136" t="s">
        <v>40</v>
      </c>
      <c r="B306" s="136" t="s">
        <v>39</v>
      </c>
      <c r="C306" s="136" t="s">
        <v>768</v>
      </c>
      <c r="D306" s="143">
        <v>42975</v>
      </c>
      <c r="E306" s="136">
        <v>10058.56</v>
      </c>
      <c r="F306" s="136" t="s">
        <v>14</v>
      </c>
      <c r="G306" s="140" t="s">
        <v>11</v>
      </c>
      <c r="H306" s="136" t="s">
        <v>12</v>
      </c>
      <c r="J306" s="139">
        <v>18</v>
      </c>
      <c r="K306" s="138">
        <v>8524.2000000000007</v>
      </c>
      <c r="L306" s="136">
        <v>0</v>
      </c>
      <c r="M306" s="136">
        <f t="shared" ref="M306:M309" si="146">+J306/100*K306/2</f>
        <v>767.178</v>
      </c>
      <c r="N306" s="136">
        <f t="shared" ref="N306:N309" si="147">+J306/100*K306/2</f>
        <v>767.178</v>
      </c>
      <c r="O306" s="136">
        <v>0</v>
      </c>
      <c r="P306" s="175">
        <v>998898</v>
      </c>
      <c r="Q306" s="137" t="s">
        <v>22</v>
      </c>
      <c r="R306" s="136" t="s">
        <v>13</v>
      </c>
      <c r="S306" s="136">
        <v>0</v>
      </c>
      <c r="T306" s="136">
        <v>0</v>
      </c>
      <c r="U306" s="136">
        <f t="shared" ref="U306:U309" si="148">+S306-T306</f>
        <v>0</v>
      </c>
      <c r="V306" s="136">
        <v>30</v>
      </c>
    </row>
    <row r="307" spans="1:22" x14ac:dyDescent="0.3">
      <c r="A307" s="136" t="s">
        <v>180</v>
      </c>
      <c r="B307" s="136" t="s">
        <v>360</v>
      </c>
      <c r="C307" s="136" t="s">
        <v>769</v>
      </c>
      <c r="D307" s="143">
        <v>42975</v>
      </c>
      <c r="E307" s="136">
        <v>51436.34</v>
      </c>
      <c r="F307" s="136" t="s">
        <v>14</v>
      </c>
      <c r="G307" s="140" t="s">
        <v>11</v>
      </c>
      <c r="H307" s="136" t="s">
        <v>12</v>
      </c>
      <c r="J307" s="139">
        <v>28</v>
      </c>
      <c r="K307" s="138">
        <v>40184.639999999999</v>
      </c>
      <c r="L307" s="136">
        <v>0</v>
      </c>
      <c r="M307" s="136">
        <f t="shared" si="146"/>
        <v>5625.8496000000005</v>
      </c>
      <c r="N307" s="136">
        <f t="shared" si="147"/>
        <v>5625.8496000000005</v>
      </c>
      <c r="O307" s="136">
        <v>0</v>
      </c>
      <c r="P307" s="175">
        <v>87089900</v>
      </c>
      <c r="Q307" s="137" t="s">
        <v>22</v>
      </c>
      <c r="R307" s="136" t="s">
        <v>13</v>
      </c>
      <c r="S307" s="136">
        <v>84</v>
      </c>
      <c r="T307" s="136">
        <v>84</v>
      </c>
      <c r="U307" s="136">
        <f t="shared" si="148"/>
        <v>0</v>
      </c>
      <c r="V307" s="136">
        <v>84</v>
      </c>
    </row>
    <row r="308" spans="1:22" x14ac:dyDescent="0.3">
      <c r="A308" s="136" t="s">
        <v>180</v>
      </c>
      <c r="B308" s="136" t="s">
        <v>360</v>
      </c>
      <c r="C308" s="136" t="s">
        <v>770</v>
      </c>
      <c r="D308" s="143">
        <v>42975</v>
      </c>
      <c r="E308" s="136">
        <v>15974.4</v>
      </c>
      <c r="F308" s="136" t="s">
        <v>14</v>
      </c>
      <c r="G308" s="140" t="s">
        <v>11</v>
      </c>
      <c r="H308" s="136" t="s">
        <v>12</v>
      </c>
      <c r="J308" s="139">
        <v>28</v>
      </c>
      <c r="K308" s="138">
        <v>12480</v>
      </c>
      <c r="L308" s="136">
        <v>0</v>
      </c>
      <c r="M308" s="136">
        <f t="shared" si="146"/>
        <v>1747.2000000000003</v>
      </c>
      <c r="N308" s="136">
        <f t="shared" si="147"/>
        <v>1747.2000000000003</v>
      </c>
      <c r="O308" s="136">
        <v>0</v>
      </c>
      <c r="P308" s="175">
        <v>87089900</v>
      </c>
      <c r="Q308" s="137" t="s">
        <v>22</v>
      </c>
      <c r="R308" s="136" t="s">
        <v>13</v>
      </c>
      <c r="S308" s="136">
        <v>24</v>
      </c>
      <c r="T308" s="136">
        <v>24</v>
      </c>
      <c r="U308" s="136">
        <f t="shared" si="148"/>
        <v>0</v>
      </c>
      <c r="V308" s="136">
        <v>24</v>
      </c>
    </row>
    <row r="309" spans="1:22" x14ac:dyDescent="0.3">
      <c r="A309" s="136" t="s">
        <v>186</v>
      </c>
      <c r="B309" s="136" t="s">
        <v>187</v>
      </c>
      <c r="C309" s="136" t="s">
        <v>771</v>
      </c>
      <c r="D309" s="143">
        <v>42975</v>
      </c>
      <c r="E309" s="136">
        <v>92160</v>
      </c>
      <c r="F309" s="136" t="s">
        <v>14</v>
      </c>
      <c r="G309" s="140" t="s">
        <v>11</v>
      </c>
      <c r="H309" s="136" t="s">
        <v>12</v>
      </c>
      <c r="J309" s="139">
        <v>28</v>
      </c>
      <c r="K309" s="138">
        <v>72000</v>
      </c>
      <c r="L309" s="136">
        <v>0</v>
      </c>
      <c r="M309" s="136">
        <f t="shared" si="146"/>
        <v>10080.000000000002</v>
      </c>
      <c r="N309" s="136">
        <f t="shared" si="147"/>
        <v>10080.000000000002</v>
      </c>
      <c r="O309" s="136">
        <v>0</v>
      </c>
      <c r="P309" s="175">
        <v>85129000</v>
      </c>
      <c r="Q309" s="137" t="s">
        <v>22</v>
      </c>
      <c r="R309" s="136" t="s">
        <v>13</v>
      </c>
      <c r="S309" s="136">
        <v>2880</v>
      </c>
      <c r="T309" s="136">
        <v>2880</v>
      </c>
      <c r="U309" s="136">
        <f t="shared" si="148"/>
        <v>0</v>
      </c>
      <c r="V309" s="136">
        <v>2880</v>
      </c>
    </row>
    <row r="310" spans="1:22" x14ac:dyDescent="0.3">
      <c r="A310" s="136" t="s">
        <v>6</v>
      </c>
      <c r="B310" s="136" t="s">
        <v>5</v>
      </c>
      <c r="C310" s="136" t="s">
        <v>772</v>
      </c>
      <c r="D310" s="143">
        <v>42975</v>
      </c>
      <c r="E310" s="136">
        <v>57331.6</v>
      </c>
      <c r="F310" s="136" t="s">
        <v>14</v>
      </c>
      <c r="G310" s="140" t="s">
        <v>11</v>
      </c>
      <c r="H310" s="136" t="s">
        <v>12</v>
      </c>
      <c r="J310" s="139">
        <v>28</v>
      </c>
      <c r="K310" s="138">
        <v>44790.3</v>
      </c>
      <c r="L310" s="136">
        <v>0</v>
      </c>
      <c r="M310" s="136">
        <f>+J310/100*K310/2+0.01</f>
        <v>6270.652000000001</v>
      </c>
      <c r="N310" s="136">
        <f>+J310/100*K310/2+0.01</f>
        <v>6270.652000000001</v>
      </c>
      <c r="O310" s="136">
        <v>0</v>
      </c>
      <c r="P310" s="175">
        <v>87081090</v>
      </c>
      <c r="Q310" s="137" t="s">
        <v>22</v>
      </c>
      <c r="R310" s="136" t="s">
        <v>13</v>
      </c>
      <c r="S310" s="136">
        <v>540</v>
      </c>
      <c r="T310" s="136">
        <v>540</v>
      </c>
      <c r="U310" s="136">
        <f>+S310-T310</f>
        <v>0</v>
      </c>
      <c r="V310" s="136">
        <v>540</v>
      </c>
    </row>
    <row r="311" spans="1:22" x14ac:dyDescent="0.3">
      <c r="A311" s="136" t="s">
        <v>253</v>
      </c>
      <c r="B311" s="136" t="s">
        <v>252</v>
      </c>
      <c r="C311" s="136" t="s">
        <v>773</v>
      </c>
      <c r="D311" s="262">
        <v>42975</v>
      </c>
      <c r="E311" s="263">
        <v>7066.12</v>
      </c>
      <c r="F311" s="136" t="s">
        <v>14</v>
      </c>
      <c r="G311" s="140" t="s">
        <v>11</v>
      </c>
      <c r="H311" s="136" t="s">
        <v>12</v>
      </c>
      <c r="J311" s="139">
        <v>18</v>
      </c>
      <c r="K311" s="138">
        <v>5988.24</v>
      </c>
      <c r="L311" s="136">
        <v>0</v>
      </c>
      <c r="M311" s="136">
        <f>+J311/100*K311/2</f>
        <v>538.94159999999999</v>
      </c>
      <c r="N311" s="136">
        <f>+J311/100*K311/2</f>
        <v>538.94159999999999</v>
      </c>
      <c r="O311" s="136">
        <v>0</v>
      </c>
      <c r="P311" s="175">
        <v>998898</v>
      </c>
      <c r="Q311" s="137" t="s">
        <v>22</v>
      </c>
      <c r="R311" s="136" t="s">
        <v>13</v>
      </c>
      <c r="S311" s="136">
        <v>12</v>
      </c>
      <c r="T311" s="136">
        <v>12</v>
      </c>
      <c r="U311" s="136">
        <f t="shared" ref="U311:U312" si="149">+S311-T311</f>
        <v>0</v>
      </c>
      <c r="V311" s="136">
        <v>12</v>
      </c>
    </row>
    <row r="312" spans="1:22" x14ac:dyDescent="0.3">
      <c r="A312" s="136" t="s">
        <v>184</v>
      </c>
      <c r="B312" s="136" t="s">
        <v>183</v>
      </c>
      <c r="C312" s="136" t="s">
        <v>774</v>
      </c>
      <c r="D312" s="262">
        <v>42975</v>
      </c>
      <c r="E312" s="136">
        <v>2436.35</v>
      </c>
      <c r="F312" s="136" t="s">
        <v>185</v>
      </c>
      <c r="G312" s="140" t="s">
        <v>11</v>
      </c>
      <c r="H312" s="136" t="s">
        <v>12</v>
      </c>
      <c r="J312" s="139">
        <v>28</v>
      </c>
      <c r="K312" s="138">
        <v>1903.4</v>
      </c>
      <c r="L312" s="136">
        <f t="shared" ref="L312" si="150">+J312/100*K312</f>
        <v>532.95200000000011</v>
      </c>
      <c r="M312" s="136">
        <v>0</v>
      </c>
      <c r="N312" s="136">
        <v>0</v>
      </c>
      <c r="O312" s="136">
        <v>0</v>
      </c>
      <c r="P312" s="175">
        <v>87081090</v>
      </c>
      <c r="Q312" s="137" t="s">
        <v>22</v>
      </c>
      <c r="R312" s="136" t="s">
        <v>13</v>
      </c>
      <c r="S312" s="136">
        <v>1</v>
      </c>
      <c r="T312" s="136">
        <v>1</v>
      </c>
      <c r="U312" s="136">
        <f t="shared" si="149"/>
        <v>0</v>
      </c>
      <c r="V312" s="136">
        <v>1</v>
      </c>
    </row>
    <row r="313" spans="1:22" x14ac:dyDescent="0.3">
      <c r="A313" s="136" t="s">
        <v>6</v>
      </c>
      <c r="B313" s="136" t="s">
        <v>5</v>
      </c>
      <c r="C313" s="136" t="s">
        <v>775</v>
      </c>
      <c r="D313" s="143">
        <v>42975</v>
      </c>
      <c r="E313" s="136">
        <v>32700.240000000002</v>
      </c>
      <c r="F313" s="136" t="s">
        <v>14</v>
      </c>
      <c r="G313" s="140" t="s">
        <v>11</v>
      </c>
      <c r="H313" s="136" t="s">
        <v>12</v>
      </c>
      <c r="J313" s="139">
        <v>28</v>
      </c>
      <c r="K313" s="138">
        <v>25547.06</v>
      </c>
      <c r="L313" s="136">
        <v>0</v>
      </c>
      <c r="M313" s="136">
        <f>+J313/100*K313/2</f>
        <v>3576.5884000000005</v>
      </c>
      <c r="N313" s="136">
        <f>+J313/100*K313/2</f>
        <v>3576.5884000000005</v>
      </c>
      <c r="O313" s="136">
        <v>0</v>
      </c>
      <c r="P313" s="175">
        <v>87081090</v>
      </c>
      <c r="Q313" s="137" t="s">
        <v>22</v>
      </c>
      <c r="R313" s="136" t="s">
        <v>13</v>
      </c>
      <c r="S313" s="136">
        <v>308</v>
      </c>
      <c r="T313" s="136">
        <v>308</v>
      </c>
      <c r="U313" s="136">
        <f>+S313-T313</f>
        <v>0</v>
      </c>
      <c r="V313" s="136">
        <v>308</v>
      </c>
    </row>
    <row r="314" spans="1:22" x14ac:dyDescent="0.3">
      <c r="A314" s="136" t="s">
        <v>6</v>
      </c>
      <c r="B314" s="136" t="s">
        <v>5</v>
      </c>
      <c r="C314" s="136" t="s">
        <v>776</v>
      </c>
      <c r="D314" s="143">
        <v>42975</v>
      </c>
      <c r="E314" s="136">
        <v>29760</v>
      </c>
      <c r="F314" s="136" t="s">
        <v>14</v>
      </c>
      <c r="G314" s="140" t="s">
        <v>11</v>
      </c>
      <c r="H314" s="136" t="s">
        <v>12</v>
      </c>
      <c r="J314" s="139">
        <v>28</v>
      </c>
      <c r="K314" s="138">
        <v>23250</v>
      </c>
      <c r="L314" s="136">
        <v>0</v>
      </c>
      <c r="M314" s="136">
        <f>+J314/100*K314/2</f>
        <v>3255.0000000000005</v>
      </c>
      <c r="N314" s="136">
        <f>+J314/100*K314/2</f>
        <v>3255.0000000000005</v>
      </c>
      <c r="O314" s="136">
        <v>0</v>
      </c>
      <c r="P314" s="175">
        <v>87141090</v>
      </c>
      <c r="Q314" s="137" t="s">
        <v>22</v>
      </c>
      <c r="R314" s="136" t="s">
        <v>13</v>
      </c>
      <c r="S314" s="136">
        <v>360</v>
      </c>
      <c r="T314" s="136">
        <v>360</v>
      </c>
      <c r="U314" s="136">
        <f>+S314-T314</f>
        <v>0</v>
      </c>
      <c r="V314" s="136">
        <v>360</v>
      </c>
    </row>
    <row r="315" spans="1:22" x14ac:dyDescent="0.3">
      <c r="A315" s="136" t="s">
        <v>180</v>
      </c>
      <c r="B315" s="136" t="s">
        <v>360</v>
      </c>
      <c r="C315" s="136" t="s">
        <v>777</v>
      </c>
      <c r="D315" s="143">
        <v>42976</v>
      </c>
      <c r="E315" s="136">
        <v>23089.48</v>
      </c>
      <c r="F315" s="136" t="s">
        <v>14</v>
      </c>
      <c r="G315" s="140" t="s">
        <v>11</v>
      </c>
      <c r="H315" s="136" t="s">
        <v>12</v>
      </c>
      <c r="J315" s="139">
        <v>28</v>
      </c>
      <c r="K315" s="138">
        <v>18038.66</v>
      </c>
      <c r="L315" s="136">
        <v>0</v>
      </c>
      <c r="M315" s="136">
        <f t="shared" ref="M315:M316" si="151">+J315/100*K315/2</f>
        <v>2525.4124000000002</v>
      </c>
      <c r="N315" s="136">
        <f t="shared" ref="N315:N316" si="152">+J315/100*K315/2</f>
        <v>2525.4124000000002</v>
      </c>
      <c r="O315" s="136">
        <v>0</v>
      </c>
      <c r="P315" s="175">
        <v>87089900</v>
      </c>
      <c r="Q315" s="137" t="s">
        <v>22</v>
      </c>
      <c r="R315" s="136" t="s">
        <v>13</v>
      </c>
      <c r="S315" s="136">
        <v>42</v>
      </c>
      <c r="T315" s="136">
        <v>42</v>
      </c>
      <c r="U315" s="136">
        <f t="shared" ref="U315:U316" si="153">+S315-T315</f>
        <v>0</v>
      </c>
      <c r="V315" s="136">
        <v>42</v>
      </c>
    </row>
    <row r="316" spans="1:22" x14ac:dyDescent="0.3">
      <c r="A316" s="136" t="s">
        <v>180</v>
      </c>
      <c r="B316" s="136" t="s">
        <v>360</v>
      </c>
      <c r="C316" s="136" t="s">
        <v>778</v>
      </c>
      <c r="D316" s="143">
        <v>42976</v>
      </c>
      <c r="E316" s="136">
        <v>23040</v>
      </c>
      <c r="F316" s="136" t="s">
        <v>14</v>
      </c>
      <c r="G316" s="140" t="s">
        <v>11</v>
      </c>
      <c r="H316" s="136" t="s">
        <v>12</v>
      </c>
      <c r="J316" s="139">
        <v>28</v>
      </c>
      <c r="K316" s="138">
        <v>18000</v>
      </c>
      <c r="L316" s="136">
        <v>0</v>
      </c>
      <c r="M316" s="136">
        <f t="shared" si="151"/>
        <v>2520.0000000000005</v>
      </c>
      <c r="N316" s="136">
        <f t="shared" si="152"/>
        <v>2520.0000000000005</v>
      </c>
      <c r="O316" s="136">
        <v>0</v>
      </c>
      <c r="P316" s="175">
        <v>87089900</v>
      </c>
      <c r="Q316" s="137" t="s">
        <v>22</v>
      </c>
      <c r="R316" s="136" t="s">
        <v>13</v>
      </c>
      <c r="S316" s="136">
        <v>40</v>
      </c>
      <c r="T316" s="136">
        <v>40</v>
      </c>
      <c r="U316" s="136">
        <f t="shared" si="153"/>
        <v>0</v>
      </c>
      <c r="V316" s="136">
        <v>40</v>
      </c>
    </row>
    <row r="317" spans="1:22" x14ac:dyDescent="0.3">
      <c r="A317" s="136" t="s">
        <v>6</v>
      </c>
      <c r="B317" s="136" t="s">
        <v>5</v>
      </c>
      <c r="C317" s="136" t="s">
        <v>779</v>
      </c>
      <c r="D317" s="143">
        <v>42976</v>
      </c>
      <c r="E317" s="136">
        <v>42043.16</v>
      </c>
      <c r="F317" s="136" t="s">
        <v>14</v>
      </c>
      <c r="G317" s="140" t="s">
        <v>11</v>
      </c>
      <c r="H317" s="136" t="s">
        <v>12</v>
      </c>
      <c r="J317" s="139">
        <v>28</v>
      </c>
      <c r="K317" s="138">
        <v>32846.22</v>
      </c>
      <c r="L317" s="136">
        <v>0</v>
      </c>
      <c r="M317" s="136">
        <f>+J317/100*K317/2</f>
        <v>4598.470800000001</v>
      </c>
      <c r="N317" s="136">
        <f>+J317/100*K317/2</f>
        <v>4598.470800000001</v>
      </c>
      <c r="O317" s="136">
        <v>0</v>
      </c>
      <c r="P317" s="175">
        <v>87081090</v>
      </c>
      <c r="Q317" s="137" t="s">
        <v>22</v>
      </c>
      <c r="R317" s="136" t="s">
        <v>13</v>
      </c>
      <c r="S317" s="136">
        <v>396</v>
      </c>
      <c r="T317" s="136">
        <v>396</v>
      </c>
      <c r="U317" s="136">
        <f>+S317-T317</f>
        <v>0</v>
      </c>
      <c r="V317" s="136">
        <v>396</v>
      </c>
    </row>
    <row r="318" spans="1:22" x14ac:dyDescent="0.3">
      <c r="A318" s="136" t="s">
        <v>179</v>
      </c>
      <c r="B318" s="136" t="s">
        <v>178</v>
      </c>
      <c r="C318" s="136" t="s">
        <v>780</v>
      </c>
      <c r="D318" s="143">
        <v>42976</v>
      </c>
      <c r="E318" s="136">
        <v>73554.63</v>
      </c>
      <c r="F318" s="136" t="s">
        <v>14</v>
      </c>
      <c r="G318" s="140" t="s">
        <v>11</v>
      </c>
      <c r="H318" s="136" t="s">
        <v>12</v>
      </c>
      <c r="J318" s="139">
        <v>28</v>
      </c>
      <c r="K318" s="138">
        <v>57464.55</v>
      </c>
      <c r="L318" s="136">
        <v>0</v>
      </c>
      <c r="M318" s="136">
        <f t="shared" ref="M318:M319" si="154">+J318/100*K318/2</f>
        <v>8045.0370000000012</v>
      </c>
      <c r="N318" s="136">
        <f t="shared" ref="N318:N319" si="155">+J318/100*K318/2</f>
        <v>8045.0370000000012</v>
      </c>
      <c r="O318" s="136">
        <v>0</v>
      </c>
      <c r="P318" s="175">
        <v>85129000</v>
      </c>
      <c r="Q318" s="137" t="s">
        <v>22</v>
      </c>
      <c r="R318" s="136" t="s">
        <v>13</v>
      </c>
      <c r="S318" s="136">
        <v>855</v>
      </c>
      <c r="T318" s="136">
        <v>855</v>
      </c>
      <c r="U318" s="136">
        <f t="shared" ref="U318:U319" si="156">+S318-T318</f>
        <v>0</v>
      </c>
      <c r="V318" s="136">
        <v>855</v>
      </c>
    </row>
    <row r="319" spans="1:22" x14ac:dyDescent="0.3">
      <c r="A319" s="136" t="s">
        <v>253</v>
      </c>
      <c r="B319" s="136" t="s">
        <v>252</v>
      </c>
      <c r="C319" s="136" t="s">
        <v>781</v>
      </c>
      <c r="D319" s="143">
        <v>42976</v>
      </c>
      <c r="E319" s="136">
        <v>7066.12</v>
      </c>
      <c r="F319" s="136" t="s">
        <v>14</v>
      </c>
      <c r="G319" s="140" t="s">
        <v>11</v>
      </c>
      <c r="H319" s="136" t="s">
        <v>12</v>
      </c>
      <c r="J319" s="139">
        <v>18</v>
      </c>
      <c r="K319" s="138">
        <v>5988.24</v>
      </c>
      <c r="L319" s="136">
        <v>0</v>
      </c>
      <c r="M319" s="136">
        <f t="shared" si="154"/>
        <v>538.94159999999999</v>
      </c>
      <c r="N319" s="136">
        <f t="shared" si="155"/>
        <v>538.94159999999999</v>
      </c>
      <c r="O319" s="136">
        <v>0</v>
      </c>
      <c r="P319" s="175">
        <v>998898</v>
      </c>
      <c r="Q319" s="137" t="s">
        <v>22</v>
      </c>
      <c r="R319" s="136" t="s">
        <v>13</v>
      </c>
      <c r="S319" s="136">
        <v>12</v>
      </c>
      <c r="T319" s="136">
        <v>12</v>
      </c>
      <c r="U319" s="136">
        <f t="shared" si="156"/>
        <v>0</v>
      </c>
      <c r="V319" s="136">
        <v>12</v>
      </c>
    </row>
    <row r="320" spans="1:22" x14ac:dyDescent="0.3">
      <c r="A320" s="136" t="s">
        <v>6</v>
      </c>
      <c r="B320" s="136" t="s">
        <v>5</v>
      </c>
      <c r="C320" s="136" t="s">
        <v>782</v>
      </c>
      <c r="D320" s="143">
        <v>42976</v>
      </c>
      <c r="E320" s="136">
        <v>71345.960000000006</v>
      </c>
      <c r="F320" s="136" t="s">
        <v>14</v>
      </c>
      <c r="G320" s="140" t="s">
        <v>11</v>
      </c>
      <c r="H320" s="136" t="s">
        <v>12</v>
      </c>
      <c r="J320" s="139">
        <v>28</v>
      </c>
      <c r="K320" s="138">
        <v>55739.040000000001</v>
      </c>
      <c r="L320" s="136">
        <v>0</v>
      </c>
      <c r="M320" s="136">
        <f>+J320/100*K320/2-0.01</f>
        <v>7803.4556000000002</v>
      </c>
      <c r="N320" s="136">
        <f>+J320/100*K320/2-0.01</f>
        <v>7803.4556000000002</v>
      </c>
      <c r="O320" s="136">
        <v>0</v>
      </c>
      <c r="P320" s="175">
        <v>87081090</v>
      </c>
      <c r="Q320" s="137" t="s">
        <v>22</v>
      </c>
      <c r="R320" s="136" t="s">
        <v>13</v>
      </c>
      <c r="S320" s="136">
        <v>672</v>
      </c>
      <c r="T320" s="136">
        <v>672</v>
      </c>
      <c r="U320" s="136">
        <f>+S320-T320</f>
        <v>0</v>
      </c>
      <c r="V320" s="136">
        <v>672</v>
      </c>
    </row>
    <row r="321" spans="1:22" x14ac:dyDescent="0.3">
      <c r="A321" s="136" t="s">
        <v>246</v>
      </c>
      <c r="B321" s="136" t="s">
        <v>245</v>
      </c>
      <c r="C321" s="136" t="s">
        <v>783</v>
      </c>
      <c r="D321" s="143">
        <v>42976</v>
      </c>
      <c r="E321" s="136">
        <v>59813.64</v>
      </c>
      <c r="F321" s="136" t="s">
        <v>14</v>
      </c>
      <c r="G321" s="140" t="s">
        <v>11</v>
      </c>
      <c r="H321" s="136" t="s">
        <v>12</v>
      </c>
      <c r="J321" s="139">
        <v>28</v>
      </c>
      <c r="K321" s="138">
        <v>46729.4</v>
      </c>
      <c r="L321" s="136">
        <v>0</v>
      </c>
      <c r="M321" s="136">
        <f t="shared" ref="M321:M322" si="157">+J321/100*K321/2</f>
        <v>6542.1160000000009</v>
      </c>
      <c r="N321" s="136">
        <f t="shared" ref="N321:N322" si="158">+J321/100*K321/2</f>
        <v>6542.1160000000009</v>
      </c>
      <c r="O321" s="136">
        <v>0</v>
      </c>
      <c r="P321" s="175">
        <v>87141090</v>
      </c>
      <c r="Q321" s="137" t="s">
        <v>22</v>
      </c>
      <c r="R321" s="136" t="s">
        <v>13</v>
      </c>
      <c r="S321" s="136">
        <v>620</v>
      </c>
      <c r="T321" s="136">
        <v>620</v>
      </c>
      <c r="U321" s="136">
        <f t="shared" ref="U321:U322" si="159">+S321-T321</f>
        <v>0</v>
      </c>
      <c r="V321" s="136">
        <v>620</v>
      </c>
    </row>
    <row r="322" spans="1:22" x14ac:dyDescent="0.3">
      <c r="A322" s="136" t="s">
        <v>40</v>
      </c>
      <c r="B322" s="136" t="s">
        <v>39</v>
      </c>
      <c r="C322" s="136" t="s">
        <v>784</v>
      </c>
      <c r="D322" s="143">
        <v>42976</v>
      </c>
      <c r="E322" s="136">
        <v>13411.4</v>
      </c>
      <c r="F322" s="136" t="s">
        <v>14</v>
      </c>
      <c r="G322" s="140" t="s">
        <v>11</v>
      </c>
      <c r="H322" s="136" t="s">
        <v>12</v>
      </c>
      <c r="J322" s="139">
        <v>18</v>
      </c>
      <c r="K322" s="138">
        <v>11365.6</v>
      </c>
      <c r="L322" s="136">
        <v>0</v>
      </c>
      <c r="M322" s="136">
        <f t="shared" si="157"/>
        <v>1022.904</v>
      </c>
      <c r="N322" s="136">
        <f t="shared" si="158"/>
        <v>1022.904</v>
      </c>
      <c r="O322" s="136">
        <v>0</v>
      </c>
      <c r="P322" s="175">
        <v>998898</v>
      </c>
      <c r="Q322" s="137" t="s">
        <v>22</v>
      </c>
      <c r="R322" s="136" t="s">
        <v>13</v>
      </c>
      <c r="S322" s="136">
        <v>0</v>
      </c>
      <c r="T322" s="136">
        <v>0</v>
      </c>
      <c r="U322" s="136">
        <f t="shared" si="159"/>
        <v>0</v>
      </c>
      <c r="V322" s="136">
        <v>40</v>
      </c>
    </row>
    <row r="323" spans="1:22" x14ac:dyDescent="0.3">
      <c r="A323" s="136" t="s">
        <v>6</v>
      </c>
      <c r="B323" s="136" t="s">
        <v>5</v>
      </c>
      <c r="C323" s="136" t="s">
        <v>785</v>
      </c>
      <c r="D323" s="143">
        <v>42976</v>
      </c>
      <c r="E323" s="136">
        <v>49687.360000000001</v>
      </c>
      <c r="F323" s="136" t="s">
        <v>14</v>
      </c>
      <c r="G323" s="140" t="s">
        <v>11</v>
      </c>
      <c r="H323" s="136" t="s">
        <v>12</v>
      </c>
      <c r="J323" s="139">
        <v>28</v>
      </c>
      <c r="K323" s="138">
        <v>38818.26</v>
      </c>
      <c r="L323" s="136">
        <v>0</v>
      </c>
      <c r="M323" s="136">
        <f>+J323/100*K323/2-0.01</f>
        <v>5434.5464000000002</v>
      </c>
      <c r="N323" s="136">
        <f>+J323/100*K323/2-0.01</f>
        <v>5434.5464000000002</v>
      </c>
      <c r="O323" s="136">
        <v>0</v>
      </c>
      <c r="P323" s="175">
        <v>87081090</v>
      </c>
      <c r="Q323" s="137" t="s">
        <v>22</v>
      </c>
      <c r="R323" s="136" t="s">
        <v>13</v>
      </c>
      <c r="S323" s="136">
        <v>468</v>
      </c>
      <c r="T323" s="136">
        <v>468</v>
      </c>
      <c r="U323" s="136">
        <f>+S323-T323</f>
        <v>0</v>
      </c>
      <c r="V323" s="136">
        <v>468</v>
      </c>
    </row>
    <row r="324" spans="1:22" x14ac:dyDescent="0.3">
      <c r="A324" s="136" t="s">
        <v>255</v>
      </c>
      <c r="B324" s="136" t="s">
        <v>254</v>
      </c>
      <c r="C324" s="136" t="s">
        <v>786</v>
      </c>
      <c r="D324" s="143">
        <v>42976</v>
      </c>
      <c r="E324" s="136">
        <v>2565.08</v>
      </c>
      <c r="F324" s="136" t="s">
        <v>14</v>
      </c>
      <c r="G324" s="140" t="s">
        <v>11</v>
      </c>
      <c r="H324" s="136" t="s">
        <v>12</v>
      </c>
      <c r="J324" s="139">
        <v>18</v>
      </c>
      <c r="K324" s="138">
        <v>2173.8000000000002</v>
      </c>
      <c r="L324" s="136">
        <v>0</v>
      </c>
      <c r="M324" s="136">
        <f>+J324/100*K324/2</f>
        <v>195.642</v>
      </c>
      <c r="N324" s="136">
        <f>+J324/100*K324/2</f>
        <v>195.642</v>
      </c>
      <c r="O324" s="136">
        <v>0</v>
      </c>
      <c r="P324" s="175">
        <v>998898</v>
      </c>
      <c r="Q324" s="137" t="s">
        <v>22</v>
      </c>
      <c r="R324" s="136" t="s">
        <v>13</v>
      </c>
      <c r="S324" s="136">
        <v>90</v>
      </c>
      <c r="T324" s="136">
        <v>90</v>
      </c>
      <c r="U324" s="136">
        <f t="shared" ref="U324:U327" si="160">+S324-T324</f>
        <v>0</v>
      </c>
      <c r="V324" s="136">
        <v>90</v>
      </c>
    </row>
    <row r="325" spans="1:22" x14ac:dyDescent="0.3">
      <c r="A325" s="136" t="s">
        <v>657</v>
      </c>
      <c r="B325" s="136" t="s">
        <v>658</v>
      </c>
      <c r="C325" s="136" t="s">
        <v>787</v>
      </c>
      <c r="D325" s="143">
        <v>42976</v>
      </c>
      <c r="E325" s="136">
        <v>6962</v>
      </c>
      <c r="F325" s="136" t="s">
        <v>14</v>
      </c>
      <c r="G325" s="140" t="s">
        <v>11</v>
      </c>
      <c r="H325" s="136" t="s">
        <v>12</v>
      </c>
      <c r="J325" s="139">
        <v>18</v>
      </c>
      <c r="K325" s="138">
        <v>5900</v>
      </c>
      <c r="L325" s="136">
        <v>0</v>
      </c>
      <c r="M325" s="136">
        <f t="shared" ref="M325:M327" si="161">+J325/100*K325/2</f>
        <v>531</v>
      </c>
      <c r="N325" s="136">
        <f t="shared" ref="N325:N327" si="162">+J325/100*K325/2</f>
        <v>531</v>
      </c>
      <c r="O325" s="136">
        <v>0</v>
      </c>
      <c r="P325" s="175">
        <v>998873</v>
      </c>
      <c r="Q325" s="137" t="s">
        <v>22</v>
      </c>
      <c r="R325" s="136" t="s">
        <v>13</v>
      </c>
      <c r="S325" s="136">
        <v>200</v>
      </c>
      <c r="T325" s="136">
        <v>200</v>
      </c>
      <c r="U325" s="136">
        <f t="shared" si="160"/>
        <v>0</v>
      </c>
      <c r="V325" s="136">
        <v>200</v>
      </c>
    </row>
    <row r="326" spans="1:22" x14ac:dyDescent="0.3">
      <c r="A326" s="136" t="s">
        <v>657</v>
      </c>
      <c r="B326" s="136" t="s">
        <v>658</v>
      </c>
      <c r="C326" s="136" t="s">
        <v>788</v>
      </c>
      <c r="D326" s="143">
        <v>42976</v>
      </c>
      <c r="E326" s="136">
        <v>6962</v>
      </c>
      <c r="F326" s="136" t="s">
        <v>14</v>
      </c>
      <c r="G326" s="140" t="s">
        <v>11</v>
      </c>
      <c r="H326" s="136" t="s">
        <v>12</v>
      </c>
      <c r="J326" s="139">
        <v>18</v>
      </c>
      <c r="K326" s="138">
        <v>5900</v>
      </c>
      <c r="L326" s="136">
        <v>0</v>
      </c>
      <c r="M326" s="136">
        <f t="shared" si="161"/>
        <v>531</v>
      </c>
      <c r="N326" s="136">
        <f t="shared" si="162"/>
        <v>531</v>
      </c>
      <c r="O326" s="136">
        <v>0</v>
      </c>
      <c r="P326" s="175">
        <v>998873</v>
      </c>
      <c r="Q326" s="137" t="s">
        <v>22</v>
      </c>
      <c r="R326" s="136" t="s">
        <v>13</v>
      </c>
      <c r="S326" s="136">
        <v>200</v>
      </c>
      <c r="T326" s="136">
        <v>200</v>
      </c>
      <c r="U326" s="136">
        <f t="shared" si="160"/>
        <v>0</v>
      </c>
      <c r="V326" s="136">
        <v>200</v>
      </c>
    </row>
    <row r="327" spans="1:22" x14ac:dyDescent="0.3">
      <c r="A327" s="136" t="s">
        <v>253</v>
      </c>
      <c r="B327" s="136" t="s">
        <v>252</v>
      </c>
      <c r="C327" s="136" t="s">
        <v>789</v>
      </c>
      <c r="D327" s="143">
        <v>42976</v>
      </c>
      <c r="E327" s="136">
        <v>7066.12</v>
      </c>
      <c r="F327" s="136" t="s">
        <v>14</v>
      </c>
      <c r="G327" s="140" t="s">
        <v>11</v>
      </c>
      <c r="H327" s="136" t="s">
        <v>12</v>
      </c>
      <c r="J327" s="139">
        <v>18</v>
      </c>
      <c r="K327" s="138">
        <v>5988.24</v>
      </c>
      <c r="L327" s="136">
        <v>0</v>
      </c>
      <c r="M327" s="136">
        <f t="shared" si="161"/>
        <v>538.94159999999999</v>
      </c>
      <c r="N327" s="136">
        <f t="shared" si="162"/>
        <v>538.94159999999999</v>
      </c>
      <c r="O327" s="136">
        <v>0</v>
      </c>
      <c r="P327" s="175">
        <v>998898</v>
      </c>
      <c r="Q327" s="137" t="s">
        <v>22</v>
      </c>
      <c r="R327" s="136" t="s">
        <v>13</v>
      </c>
      <c r="S327" s="136">
        <v>12</v>
      </c>
      <c r="T327" s="136">
        <v>12</v>
      </c>
      <c r="U327" s="136">
        <f t="shared" si="160"/>
        <v>0</v>
      </c>
      <c r="V327" s="136">
        <v>12</v>
      </c>
    </row>
    <row r="328" spans="1:22" x14ac:dyDescent="0.3">
      <c r="A328" s="136" t="s">
        <v>6</v>
      </c>
      <c r="B328" s="136" t="s">
        <v>5</v>
      </c>
      <c r="C328" s="136" t="s">
        <v>790</v>
      </c>
      <c r="D328" s="143">
        <v>42976</v>
      </c>
      <c r="E328" s="136">
        <v>63001.46</v>
      </c>
      <c r="F328" s="136" t="s">
        <v>14</v>
      </c>
      <c r="G328" s="140" t="s">
        <v>11</v>
      </c>
      <c r="H328" s="136" t="s">
        <v>12</v>
      </c>
      <c r="J328" s="139">
        <v>28</v>
      </c>
      <c r="K328" s="138">
        <v>49219.88</v>
      </c>
      <c r="L328" s="136">
        <v>0</v>
      </c>
      <c r="M328" s="136">
        <f>+J328/100*K328/2+0.01</f>
        <v>6890.7932000000001</v>
      </c>
      <c r="N328" s="136">
        <f>+J328/100*K328/2+0.01</f>
        <v>6890.7932000000001</v>
      </c>
      <c r="O328" s="136">
        <v>0</v>
      </c>
      <c r="P328" s="175">
        <v>87081090</v>
      </c>
      <c r="Q328" s="137" t="s">
        <v>22</v>
      </c>
      <c r="R328" s="136" t="s">
        <v>13</v>
      </c>
      <c r="S328" s="136">
        <v>596</v>
      </c>
      <c r="T328" s="136">
        <v>596</v>
      </c>
      <c r="U328" s="136">
        <f>+S328-T328</f>
        <v>0</v>
      </c>
      <c r="V328" s="136">
        <v>596</v>
      </c>
    </row>
    <row r="329" spans="1:22" x14ac:dyDescent="0.3">
      <c r="A329" s="136" t="s">
        <v>6</v>
      </c>
      <c r="B329" s="136" t="s">
        <v>5</v>
      </c>
      <c r="C329" s="136" t="s">
        <v>791</v>
      </c>
      <c r="D329" s="143">
        <v>42976</v>
      </c>
      <c r="E329" s="136">
        <v>9745.92</v>
      </c>
      <c r="F329" s="136" t="s">
        <v>14</v>
      </c>
      <c r="G329" s="140" t="s">
        <v>11</v>
      </c>
      <c r="H329" s="136" t="s">
        <v>12</v>
      </c>
      <c r="J329" s="139">
        <v>28</v>
      </c>
      <c r="K329" s="138">
        <v>7614</v>
      </c>
      <c r="L329" s="136">
        <v>0</v>
      </c>
      <c r="M329" s="136">
        <f>+J329/100*K329/2</f>
        <v>1065.96</v>
      </c>
      <c r="N329" s="136">
        <f>+J329/100*K329/2</f>
        <v>1065.96</v>
      </c>
      <c r="O329" s="136">
        <v>0</v>
      </c>
      <c r="P329" s="175">
        <v>87141090</v>
      </c>
      <c r="Q329" s="137" t="s">
        <v>22</v>
      </c>
      <c r="R329" s="136" t="s">
        <v>13</v>
      </c>
      <c r="S329" s="136">
        <v>216</v>
      </c>
      <c r="T329" s="136">
        <v>216</v>
      </c>
      <c r="U329" s="136">
        <f>+S329-T329</f>
        <v>0</v>
      </c>
      <c r="V329" s="136">
        <v>216</v>
      </c>
    </row>
    <row r="330" spans="1:22" x14ac:dyDescent="0.3">
      <c r="A330" s="136" t="s">
        <v>6</v>
      </c>
      <c r="B330" s="136" t="s">
        <v>5</v>
      </c>
      <c r="C330" s="136" t="s">
        <v>792</v>
      </c>
      <c r="D330" s="143">
        <v>42976</v>
      </c>
      <c r="E330" s="136">
        <v>17514.240000000002</v>
      </c>
      <c r="F330" s="136" t="s">
        <v>14</v>
      </c>
      <c r="G330" s="140" t="s">
        <v>11</v>
      </c>
      <c r="H330" s="136" t="s">
        <v>12</v>
      </c>
      <c r="J330" s="139">
        <v>28</v>
      </c>
      <c r="K330" s="138">
        <v>13683</v>
      </c>
      <c r="L330" s="136">
        <v>0</v>
      </c>
      <c r="M330" s="136">
        <f>+J330/100*K330/2</f>
        <v>1915.6200000000001</v>
      </c>
      <c r="N330" s="136">
        <f>+J330/100*K330/2</f>
        <v>1915.6200000000001</v>
      </c>
      <c r="O330" s="136">
        <v>0</v>
      </c>
      <c r="P330" s="175">
        <v>87141090</v>
      </c>
      <c r="Q330" s="137" t="s">
        <v>22</v>
      </c>
      <c r="R330" s="136" t="s">
        <v>13</v>
      </c>
      <c r="S330" s="136">
        <v>252</v>
      </c>
      <c r="T330" s="136">
        <v>252</v>
      </c>
      <c r="U330" s="136">
        <f>+S330-T330</f>
        <v>0</v>
      </c>
      <c r="V330" s="136">
        <v>252</v>
      </c>
    </row>
    <row r="331" spans="1:22" x14ac:dyDescent="0.3">
      <c r="A331" s="136" t="s">
        <v>180</v>
      </c>
      <c r="B331" s="136" t="s">
        <v>360</v>
      </c>
      <c r="C331" s="136" t="s">
        <v>793</v>
      </c>
      <c r="D331" s="143">
        <v>42976</v>
      </c>
      <c r="E331" s="136">
        <v>39936</v>
      </c>
      <c r="F331" s="136" t="s">
        <v>14</v>
      </c>
      <c r="G331" s="140" t="s">
        <v>11</v>
      </c>
      <c r="H331" s="136" t="s">
        <v>12</v>
      </c>
      <c r="J331" s="139">
        <v>28</v>
      </c>
      <c r="K331" s="138">
        <v>31200</v>
      </c>
      <c r="L331" s="136">
        <v>0</v>
      </c>
      <c r="M331" s="136">
        <f t="shared" ref="M331" si="163">+J331/100*K331/2</f>
        <v>4368</v>
      </c>
      <c r="N331" s="136">
        <f t="shared" ref="N331" si="164">+J331/100*K331/2</f>
        <v>4368</v>
      </c>
      <c r="O331" s="136">
        <v>0</v>
      </c>
      <c r="P331" s="175">
        <v>87089900</v>
      </c>
      <c r="Q331" s="137" t="s">
        <v>22</v>
      </c>
      <c r="R331" s="136" t="s">
        <v>13</v>
      </c>
      <c r="S331" s="136">
        <v>60</v>
      </c>
      <c r="T331" s="136">
        <v>60</v>
      </c>
      <c r="U331" s="136">
        <f t="shared" ref="U331" si="165">+S331-T331</f>
        <v>0</v>
      </c>
      <c r="V331" s="136">
        <v>60</v>
      </c>
    </row>
    <row r="332" spans="1:22" x14ac:dyDescent="0.3">
      <c r="A332" s="136" t="s">
        <v>6</v>
      </c>
      <c r="B332" s="136" t="s">
        <v>5</v>
      </c>
      <c r="C332" s="136" t="s">
        <v>794</v>
      </c>
      <c r="D332" s="143">
        <v>42976</v>
      </c>
      <c r="E332" s="136">
        <v>20384.560000000001</v>
      </c>
      <c r="F332" s="136" t="s">
        <v>14</v>
      </c>
      <c r="G332" s="140" t="s">
        <v>11</v>
      </c>
      <c r="H332" s="136" t="s">
        <v>12</v>
      </c>
      <c r="J332" s="139">
        <v>28</v>
      </c>
      <c r="K332" s="138">
        <v>15925.44</v>
      </c>
      <c r="L332" s="136">
        <v>0</v>
      </c>
      <c r="M332" s="136">
        <f>+J332/100*K332/2</f>
        <v>2229.5616000000005</v>
      </c>
      <c r="N332" s="136">
        <f>+J332/100*K332/2</f>
        <v>2229.5616000000005</v>
      </c>
      <c r="O332" s="136">
        <v>0</v>
      </c>
      <c r="P332" s="175">
        <v>87081090</v>
      </c>
      <c r="Q332" s="137" t="s">
        <v>22</v>
      </c>
      <c r="R332" s="136" t="s">
        <v>13</v>
      </c>
      <c r="S332" s="136">
        <v>192</v>
      </c>
      <c r="T332" s="136">
        <v>192</v>
      </c>
      <c r="U332" s="136">
        <f>+S332-T332</f>
        <v>0</v>
      </c>
      <c r="V332" s="136">
        <v>192</v>
      </c>
    </row>
    <row r="333" spans="1:22" x14ac:dyDescent="0.3">
      <c r="A333" s="136" t="s">
        <v>6</v>
      </c>
      <c r="B333" s="136" t="s">
        <v>5</v>
      </c>
      <c r="C333" s="136" t="s">
        <v>795</v>
      </c>
      <c r="D333" s="143">
        <v>42976</v>
      </c>
      <c r="E333" s="136">
        <v>8955.18</v>
      </c>
      <c r="F333" s="136" t="s">
        <v>14</v>
      </c>
      <c r="G333" s="140" t="s">
        <v>11</v>
      </c>
      <c r="H333" s="136" t="s">
        <v>12</v>
      </c>
      <c r="J333" s="139">
        <v>28</v>
      </c>
      <c r="K333" s="138">
        <v>6996.24</v>
      </c>
      <c r="L333" s="136">
        <v>0</v>
      </c>
      <c r="M333" s="136">
        <f>+J333/100*K333/2</f>
        <v>979.47360000000003</v>
      </c>
      <c r="N333" s="136">
        <f>+J333/100*K333/2</f>
        <v>979.47360000000003</v>
      </c>
      <c r="O333" s="136">
        <v>0</v>
      </c>
      <c r="P333" s="175">
        <v>87081090</v>
      </c>
      <c r="Q333" s="137" t="s">
        <v>22</v>
      </c>
      <c r="R333" s="136" t="s">
        <v>13</v>
      </c>
      <c r="S333" s="136">
        <v>82</v>
      </c>
      <c r="T333" s="136">
        <v>82</v>
      </c>
      <c r="U333" s="136">
        <f>+S333-T333</f>
        <v>0</v>
      </c>
      <c r="V333" s="136">
        <v>82</v>
      </c>
    </row>
    <row r="334" spans="1:22" x14ac:dyDescent="0.3">
      <c r="A334" s="136" t="s">
        <v>40</v>
      </c>
      <c r="B334" s="136" t="s">
        <v>39</v>
      </c>
      <c r="C334" s="136" t="s">
        <v>796</v>
      </c>
      <c r="D334" s="143">
        <v>42977</v>
      </c>
      <c r="E334" s="136">
        <v>10058.56</v>
      </c>
      <c r="F334" s="136" t="s">
        <v>14</v>
      </c>
      <c r="G334" s="140" t="s">
        <v>11</v>
      </c>
      <c r="H334" s="136" t="s">
        <v>12</v>
      </c>
      <c r="J334" s="139">
        <v>18</v>
      </c>
      <c r="K334" s="138">
        <v>8524.2000000000007</v>
      </c>
      <c r="L334" s="136">
        <v>0</v>
      </c>
      <c r="M334" s="136">
        <f t="shared" ref="M334:M335" si="166">+J334/100*K334/2</f>
        <v>767.178</v>
      </c>
      <c r="N334" s="136">
        <f t="shared" ref="N334:N335" si="167">+J334/100*K334/2</f>
        <v>767.178</v>
      </c>
      <c r="O334" s="136">
        <v>0</v>
      </c>
      <c r="P334" s="175">
        <v>998898</v>
      </c>
      <c r="Q334" s="137" t="s">
        <v>22</v>
      </c>
      <c r="R334" s="136" t="s">
        <v>13</v>
      </c>
      <c r="S334" s="136">
        <v>0</v>
      </c>
      <c r="T334" s="136">
        <v>0</v>
      </c>
      <c r="U334" s="136">
        <f t="shared" ref="U334:U343" si="168">+S334-T334</f>
        <v>0</v>
      </c>
      <c r="V334" s="136">
        <v>30</v>
      </c>
    </row>
    <row r="335" spans="1:22" x14ac:dyDescent="0.3">
      <c r="A335" s="136" t="s">
        <v>253</v>
      </c>
      <c r="B335" s="136" t="s">
        <v>252</v>
      </c>
      <c r="C335" s="136" t="s">
        <v>797</v>
      </c>
      <c r="D335" s="143">
        <v>42977</v>
      </c>
      <c r="E335" s="136">
        <v>7066.12</v>
      </c>
      <c r="F335" s="136" t="s">
        <v>14</v>
      </c>
      <c r="G335" s="140" t="s">
        <v>11</v>
      </c>
      <c r="H335" s="136" t="s">
        <v>12</v>
      </c>
      <c r="J335" s="139">
        <v>18</v>
      </c>
      <c r="K335" s="138">
        <v>5988.24</v>
      </c>
      <c r="L335" s="136">
        <v>0</v>
      </c>
      <c r="M335" s="136">
        <f t="shared" si="166"/>
        <v>538.94159999999999</v>
      </c>
      <c r="N335" s="136">
        <f t="shared" si="167"/>
        <v>538.94159999999999</v>
      </c>
      <c r="O335" s="136">
        <v>0</v>
      </c>
      <c r="P335" s="175">
        <v>998898</v>
      </c>
      <c r="Q335" s="137" t="s">
        <v>22</v>
      </c>
      <c r="R335" s="136" t="s">
        <v>13</v>
      </c>
      <c r="S335" s="136">
        <v>12</v>
      </c>
      <c r="T335" s="136">
        <v>12</v>
      </c>
      <c r="U335" s="136">
        <f t="shared" si="168"/>
        <v>0</v>
      </c>
      <c r="V335" s="136">
        <v>12</v>
      </c>
    </row>
    <row r="336" spans="1:22" x14ac:dyDescent="0.3">
      <c r="A336" s="136" t="s">
        <v>6</v>
      </c>
      <c r="B336" s="136" t="s">
        <v>5</v>
      </c>
      <c r="C336" s="136" t="s">
        <v>798</v>
      </c>
      <c r="D336" s="143">
        <v>42977</v>
      </c>
      <c r="E336" s="136">
        <v>49687.360000000001</v>
      </c>
      <c r="F336" s="136" t="s">
        <v>14</v>
      </c>
      <c r="G336" s="140" t="s">
        <v>11</v>
      </c>
      <c r="H336" s="136" t="s">
        <v>12</v>
      </c>
      <c r="J336" s="139">
        <v>28</v>
      </c>
      <c r="K336" s="138">
        <v>38818.26</v>
      </c>
      <c r="L336" s="136">
        <v>0</v>
      </c>
      <c r="M336" s="136">
        <f>+J336/100*K336/2-0.01</f>
        <v>5434.5464000000002</v>
      </c>
      <c r="N336" s="136">
        <f>+J336/100*K336/2-0.01</f>
        <v>5434.5464000000002</v>
      </c>
      <c r="O336" s="136">
        <v>0</v>
      </c>
      <c r="P336" s="175">
        <v>87081090</v>
      </c>
      <c r="Q336" s="137" t="s">
        <v>22</v>
      </c>
      <c r="R336" s="136" t="s">
        <v>13</v>
      </c>
      <c r="S336" s="136">
        <v>468</v>
      </c>
      <c r="T336" s="136">
        <v>468</v>
      </c>
      <c r="U336" s="136">
        <f t="shared" si="168"/>
        <v>0</v>
      </c>
      <c r="V336" s="136">
        <v>468</v>
      </c>
    </row>
    <row r="337" spans="1:22" x14ac:dyDescent="0.3">
      <c r="A337" s="136" t="s">
        <v>6</v>
      </c>
      <c r="B337" s="136" t="s">
        <v>5</v>
      </c>
      <c r="C337" s="136" t="s">
        <v>799</v>
      </c>
      <c r="D337" s="143">
        <v>42977</v>
      </c>
      <c r="E337" s="136">
        <v>12568.32</v>
      </c>
      <c r="F337" s="136" t="s">
        <v>14</v>
      </c>
      <c r="G337" s="140" t="s">
        <v>11</v>
      </c>
      <c r="H337" s="136" t="s">
        <v>12</v>
      </c>
      <c r="J337" s="139">
        <v>28</v>
      </c>
      <c r="K337" s="138">
        <v>9819</v>
      </c>
      <c r="L337" s="136">
        <v>0</v>
      </c>
      <c r="M337" s="136">
        <f>+J337/100*K337/2</f>
        <v>1374.66</v>
      </c>
      <c r="N337" s="136">
        <f>+J337/100*K337/2</f>
        <v>1374.66</v>
      </c>
      <c r="O337" s="136">
        <v>0</v>
      </c>
      <c r="P337" s="175">
        <v>87141090</v>
      </c>
      <c r="Q337" s="137" t="s">
        <v>22</v>
      </c>
      <c r="R337" s="136" t="s">
        <v>13</v>
      </c>
      <c r="S337" s="136">
        <v>156</v>
      </c>
      <c r="T337" s="136">
        <v>156</v>
      </c>
      <c r="U337" s="136">
        <f t="shared" si="168"/>
        <v>0</v>
      </c>
      <c r="V337" s="136">
        <v>156</v>
      </c>
    </row>
    <row r="338" spans="1:22" x14ac:dyDescent="0.3">
      <c r="A338" s="136" t="s">
        <v>6</v>
      </c>
      <c r="B338" s="136" t="s">
        <v>5</v>
      </c>
      <c r="C338" s="136" t="s">
        <v>800</v>
      </c>
      <c r="D338" s="143">
        <v>42977</v>
      </c>
      <c r="E338" s="136">
        <v>63277.08</v>
      </c>
      <c r="F338" s="136" t="s">
        <v>14</v>
      </c>
      <c r="G338" s="140" t="s">
        <v>11</v>
      </c>
      <c r="H338" s="136" t="s">
        <v>12</v>
      </c>
      <c r="J338" s="139">
        <v>28</v>
      </c>
      <c r="K338" s="138">
        <v>49435.22</v>
      </c>
      <c r="L338" s="136">
        <v>0</v>
      </c>
      <c r="M338" s="136">
        <f>+J338/100*K338/2</f>
        <v>6920.930800000001</v>
      </c>
      <c r="N338" s="136">
        <f>+J338/100*K338/2</f>
        <v>6920.930800000001</v>
      </c>
      <c r="O338" s="136">
        <v>0</v>
      </c>
      <c r="P338" s="175">
        <v>87081090</v>
      </c>
      <c r="Q338" s="137" t="s">
        <v>22</v>
      </c>
      <c r="R338" s="136" t="s">
        <v>13</v>
      </c>
      <c r="S338" s="136">
        <v>596</v>
      </c>
      <c r="T338" s="136">
        <v>596</v>
      </c>
      <c r="U338" s="136">
        <f t="shared" si="168"/>
        <v>0</v>
      </c>
      <c r="V338" s="136">
        <v>596</v>
      </c>
    </row>
    <row r="339" spans="1:22" x14ac:dyDescent="0.3">
      <c r="A339" s="136" t="s">
        <v>6</v>
      </c>
      <c r="B339" s="136" t="s">
        <v>5</v>
      </c>
      <c r="C339" s="136" t="s">
        <v>801</v>
      </c>
      <c r="D339" s="143">
        <v>42977</v>
      </c>
      <c r="E339" s="136">
        <v>40769.120000000003</v>
      </c>
      <c r="F339" s="136" t="s">
        <v>14</v>
      </c>
      <c r="G339" s="140" t="s">
        <v>11</v>
      </c>
      <c r="H339" s="136" t="s">
        <v>12</v>
      </c>
      <c r="J339" s="139">
        <v>28</v>
      </c>
      <c r="K339" s="138">
        <v>31850.880000000001</v>
      </c>
      <c r="L339" s="136">
        <v>0</v>
      </c>
      <c r="M339" s="136">
        <f>+J339/100*K339/2</f>
        <v>4459.1232000000009</v>
      </c>
      <c r="N339" s="136">
        <f>+J339/100*K339/2</f>
        <v>4459.1232000000009</v>
      </c>
      <c r="O339" s="136">
        <v>0</v>
      </c>
      <c r="P339" s="175">
        <v>87081090</v>
      </c>
      <c r="Q339" s="137" t="s">
        <v>22</v>
      </c>
      <c r="R339" s="136" t="s">
        <v>13</v>
      </c>
      <c r="S339" s="136">
        <v>384</v>
      </c>
      <c r="T339" s="136">
        <v>384</v>
      </c>
      <c r="U339" s="136">
        <f t="shared" si="168"/>
        <v>0</v>
      </c>
      <c r="V339" s="136">
        <v>384</v>
      </c>
    </row>
    <row r="340" spans="1:22" x14ac:dyDescent="0.3">
      <c r="A340" s="136" t="s">
        <v>6</v>
      </c>
      <c r="B340" s="136" t="s">
        <v>5</v>
      </c>
      <c r="C340" s="136" t="s">
        <v>802</v>
      </c>
      <c r="D340" s="143">
        <v>42977</v>
      </c>
      <c r="E340" s="136">
        <v>19690.240000000002</v>
      </c>
      <c r="F340" s="136" t="s">
        <v>14</v>
      </c>
      <c r="G340" s="140" t="s">
        <v>11</v>
      </c>
      <c r="H340" s="136" t="s">
        <v>12</v>
      </c>
      <c r="J340" s="139">
        <v>28</v>
      </c>
      <c r="K340" s="138">
        <v>15383</v>
      </c>
      <c r="L340" s="136">
        <v>0</v>
      </c>
      <c r="M340" s="136">
        <f>+J340/100*K340/2</f>
        <v>2153.6200000000003</v>
      </c>
      <c r="N340" s="136">
        <f>+J340/100*K340/2</f>
        <v>2153.6200000000003</v>
      </c>
      <c r="O340" s="136">
        <v>0</v>
      </c>
      <c r="P340" s="175">
        <v>87141090</v>
      </c>
      <c r="Q340" s="137" t="s">
        <v>22</v>
      </c>
      <c r="R340" s="136" t="s">
        <v>13</v>
      </c>
      <c r="S340" s="136">
        <v>332</v>
      </c>
      <c r="T340" s="136">
        <v>332</v>
      </c>
      <c r="U340" s="136">
        <f t="shared" si="168"/>
        <v>0</v>
      </c>
      <c r="V340" s="136">
        <v>332</v>
      </c>
    </row>
    <row r="341" spans="1:22" x14ac:dyDescent="0.3">
      <c r="A341" s="136" t="s">
        <v>6</v>
      </c>
      <c r="B341" s="136" t="s">
        <v>5</v>
      </c>
      <c r="C341" s="136" t="s">
        <v>803</v>
      </c>
      <c r="D341" s="143">
        <v>42977</v>
      </c>
      <c r="E341" s="136">
        <v>5444.48</v>
      </c>
      <c r="F341" s="136" t="s">
        <v>14</v>
      </c>
      <c r="G341" s="140" t="s">
        <v>11</v>
      </c>
      <c r="H341" s="136" t="s">
        <v>12</v>
      </c>
      <c r="J341" s="139">
        <v>28</v>
      </c>
      <c r="K341" s="138">
        <v>4253.5</v>
      </c>
      <c r="L341" s="136">
        <v>0</v>
      </c>
      <c r="M341" s="136">
        <f>+J341/100*K341/2</f>
        <v>595.49</v>
      </c>
      <c r="N341" s="136">
        <f>+J341/100*K341/2</f>
        <v>595.49</v>
      </c>
      <c r="O341" s="136">
        <v>0</v>
      </c>
      <c r="P341" s="175">
        <v>87081090</v>
      </c>
      <c r="Q341" s="137" t="s">
        <v>22</v>
      </c>
      <c r="R341" s="136" t="s">
        <v>13</v>
      </c>
      <c r="S341" s="136">
        <v>50</v>
      </c>
      <c r="T341" s="136">
        <v>50</v>
      </c>
      <c r="U341" s="136">
        <f t="shared" si="168"/>
        <v>0</v>
      </c>
      <c r="V341" s="136">
        <v>50</v>
      </c>
    </row>
    <row r="342" spans="1:22" x14ac:dyDescent="0.3">
      <c r="A342" s="136" t="s">
        <v>253</v>
      </c>
      <c r="B342" s="136" t="s">
        <v>252</v>
      </c>
      <c r="C342" s="136" t="s">
        <v>804</v>
      </c>
      <c r="D342" s="143">
        <v>42977</v>
      </c>
      <c r="E342" s="136">
        <v>7066.12</v>
      </c>
      <c r="F342" s="136" t="s">
        <v>14</v>
      </c>
      <c r="G342" s="140" t="s">
        <v>11</v>
      </c>
      <c r="H342" s="136" t="s">
        <v>12</v>
      </c>
      <c r="J342" s="139">
        <v>18</v>
      </c>
      <c r="K342" s="138">
        <v>5988.24</v>
      </c>
      <c r="L342" s="136">
        <v>0</v>
      </c>
      <c r="M342" s="136">
        <f t="shared" ref="M342:M343" si="169">+J342/100*K342/2</f>
        <v>538.94159999999999</v>
      </c>
      <c r="N342" s="136">
        <f t="shared" ref="N342:N343" si="170">+J342/100*K342/2</f>
        <v>538.94159999999999</v>
      </c>
      <c r="O342" s="136">
        <v>0</v>
      </c>
      <c r="P342" s="175">
        <v>998898</v>
      </c>
      <c r="Q342" s="137" t="s">
        <v>22</v>
      </c>
      <c r="R342" s="136" t="s">
        <v>13</v>
      </c>
      <c r="S342" s="136">
        <v>12</v>
      </c>
      <c r="T342" s="136">
        <v>12</v>
      </c>
      <c r="U342" s="136">
        <f t="shared" si="168"/>
        <v>0</v>
      </c>
      <c r="V342" s="136">
        <v>12</v>
      </c>
    </row>
    <row r="343" spans="1:22" x14ac:dyDescent="0.3">
      <c r="A343" s="136" t="s">
        <v>253</v>
      </c>
      <c r="B343" s="136" t="s">
        <v>252</v>
      </c>
      <c r="C343" s="136" t="s">
        <v>805</v>
      </c>
      <c r="D343" s="143">
        <v>42977</v>
      </c>
      <c r="E343" s="136">
        <v>6477.28</v>
      </c>
      <c r="F343" s="136" t="s">
        <v>14</v>
      </c>
      <c r="G343" s="140" t="s">
        <v>11</v>
      </c>
      <c r="H343" s="136" t="s">
        <v>12</v>
      </c>
      <c r="J343" s="139">
        <v>18</v>
      </c>
      <c r="K343" s="138">
        <v>5489.22</v>
      </c>
      <c r="L343" s="136">
        <v>0</v>
      </c>
      <c r="M343" s="136">
        <f t="shared" si="169"/>
        <v>494.02980000000002</v>
      </c>
      <c r="N343" s="136">
        <f t="shared" si="170"/>
        <v>494.02980000000002</v>
      </c>
      <c r="O343" s="136">
        <v>0</v>
      </c>
      <c r="P343" s="175">
        <v>998898</v>
      </c>
      <c r="Q343" s="137" t="s">
        <v>22</v>
      </c>
      <c r="R343" s="136" t="s">
        <v>13</v>
      </c>
      <c r="S343" s="136">
        <v>11</v>
      </c>
      <c r="T343" s="136">
        <v>11</v>
      </c>
      <c r="U343" s="136">
        <f t="shared" si="168"/>
        <v>0</v>
      </c>
      <c r="V343" s="136">
        <v>11</v>
      </c>
    </row>
    <row r="344" spans="1:22" x14ac:dyDescent="0.3">
      <c r="A344" s="136" t="s">
        <v>6</v>
      </c>
      <c r="B344" s="136" t="s">
        <v>5</v>
      </c>
      <c r="C344" s="136" t="s">
        <v>806</v>
      </c>
      <c r="D344" s="143">
        <v>42977</v>
      </c>
      <c r="E344" s="136">
        <v>54783.519999999997</v>
      </c>
      <c r="F344" s="136" t="s">
        <v>14</v>
      </c>
      <c r="G344" s="140" t="s">
        <v>11</v>
      </c>
      <c r="H344" s="136" t="s">
        <v>12</v>
      </c>
      <c r="J344" s="139">
        <v>28</v>
      </c>
      <c r="K344" s="138">
        <v>42799.62</v>
      </c>
      <c r="L344" s="136">
        <v>0</v>
      </c>
      <c r="M344" s="136">
        <f>+J344/100*K344/2</f>
        <v>5991.9468000000006</v>
      </c>
      <c r="N344" s="136">
        <f>+J344/100*K344/2</f>
        <v>5991.9468000000006</v>
      </c>
      <c r="O344" s="136">
        <v>0</v>
      </c>
      <c r="P344" s="175">
        <v>87081090</v>
      </c>
      <c r="Q344" s="137" t="s">
        <v>22</v>
      </c>
      <c r="R344" s="136" t="s">
        <v>13</v>
      </c>
      <c r="S344" s="136">
        <v>516</v>
      </c>
      <c r="T344" s="136">
        <v>516</v>
      </c>
      <c r="U344" s="136">
        <f>+S344-T344</f>
        <v>0</v>
      </c>
      <c r="V344" s="136">
        <v>516</v>
      </c>
    </row>
    <row r="345" spans="1:22" x14ac:dyDescent="0.3">
      <c r="A345" s="136" t="s">
        <v>180</v>
      </c>
      <c r="B345" s="136" t="s">
        <v>360</v>
      </c>
      <c r="C345" s="136" t="s">
        <v>807</v>
      </c>
      <c r="D345" s="143">
        <v>42978</v>
      </c>
      <c r="E345" s="136">
        <v>48512</v>
      </c>
      <c r="F345" s="136" t="s">
        <v>14</v>
      </c>
      <c r="G345" s="140" t="s">
        <v>11</v>
      </c>
      <c r="H345" s="136" t="s">
        <v>12</v>
      </c>
      <c r="J345" s="139">
        <v>28</v>
      </c>
      <c r="K345" s="138">
        <v>37900</v>
      </c>
      <c r="L345" s="136">
        <v>0</v>
      </c>
      <c r="M345" s="136">
        <f t="shared" ref="M345" si="171">+J345/100*K345/2</f>
        <v>5306.0000000000009</v>
      </c>
      <c r="N345" s="136">
        <f t="shared" ref="N345" si="172">+J345/100*K345/2</f>
        <v>5306.0000000000009</v>
      </c>
      <c r="O345" s="136">
        <v>0</v>
      </c>
      <c r="P345" s="175">
        <v>87089900</v>
      </c>
      <c r="Q345" s="137" t="s">
        <v>22</v>
      </c>
      <c r="R345" s="136" t="s">
        <v>13</v>
      </c>
      <c r="S345" s="136">
        <v>78</v>
      </c>
      <c r="T345" s="136">
        <v>78</v>
      </c>
      <c r="U345" s="136">
        <f t="shared" ref="U345:U347" si="173">+S345-T345</f>
        <v>0</v>
      </c>
      <c r="V345" s="136">
        <v>78</v>
      </c>
    </row>
    <row r="346" spans="1:22" x14ac:dyDescent="0.3">
      <c r="A346" s="136" t="s">
        <v>180</v>
      </c>
      <c r="B346" s="136" t="s">
        <v>360</v>
      </c>
      <c r="C346" s="136" t="s">
        <v>808</v>
      </c>
      <c r="D346" s="143">
        <v>42978</v>
      </c>
      <c r="E346" s="136">
        <v>55188.98</v>
      </c>
      <c r="F346" s="136" t="s">
        <v>14</v>
      </c>
      <c r="G346" s="140" t="s">
        <v>11</v>
      </c>
      <c r="H346" s="136" t="s">
        <v>12</v>
      </c>
      <c r="J346" s="139">
        <v>28</v>
      </c>
      <c r="K346" s="138">
        <v>43116.38</v>
      </c>
      <c r="L346" s="136">
        <v>0</v>
      </c>
      <c r="M346" s="136">
        <f>+J346/100*K346/2+0.01</f>
        <v>6036.3032000000003</v>
      </c>
      <c r="N346" s="136">
        <f>+J346/100*K346/2+0.01</f>
        <v>6036.3032000000003</v>
      </c>
      <c r="O346" s="136">
        <v>0</v>
      </c>
      <c r="P346" s="175">
        <v>87089900</v>
      </c>
      <c r="Q346" s="137" t="s">
        <v>22</v>
      </c>
      <c r="R346" s="136" t="s">
        <v>13</v>
      </c>
      <c r="S346" s="136">
        <v>278</v>
      </c>
      <c r="T346" s="136">
        <v>278</v>
      </c>
      <c r="U346" s="136">
        <f t="shared" si="173"/>
        <v>0</v>
      </c>
      <c r="V346" s="136">
        <v>278</v>
      </c>
    </row>
    <row r="347" spans="1:22" x14ac:dyDescent="0.3">
      <c r="A347" s="136" t="s">
        <v>40</v>
      </c>
      <c r="B347" s="136" t="s">
        <v>39</v>
      </c>
      <c r="C347" s="136" t="s">
        <v>809</v>
      </c>
      <c r="D347" s="143">
        <v>42978</v>
      </c>
      <c r="E347" s="136">
        <v>4358.7</v>
      </c>
      <c r="F347" s="136" t="s">
        <v>14</v>
      </c>
      <c r="G347" s="140" t="s">
        <v>11</v>
      </c>
      <c r="H347" s="136" t="s">
        <v>12</v>
      </c>
      <c r="J347" s="139">
        <v>18</v>
      </c>
      <c r="K347" s="138">
        <v>3693.82</v>
      </c>
      <c r="L347" s="136">
        <v>0</v>
      </c>
      <c r="M347" s="136">
        <f t="shared" ref="M347" si="174">+J347/100*K347/2</f>
        <v>332.44380000000001</v>
      </c>
      <c r="N347" s="136">
        <f t="shared" ref="N347" si="175">+J347/100*K347/2</f>
        <v>332.44380000000001</v>
      </c>
      <c r="O347" s="136">
        <v>0</v>
      </c>
      <c r="P347" s="175">
        <v>998898</v>
      </c>
      <c r="Q347" s="137" t="s">
        <v>22</v>
      </c>
      <c r="R347" s="136" t="s">
        <v>13</v>
      </c>
      <c r="S347" s="136">
        <v>0</v>
      </c>
      <c r="T347" s="136">
        <v>0</v>
      </c>
      <c r="U347" s="136">
        <f t="shared" si="173"/>
        <v>0</v>
      </c>
      <c r="V347" s="136">
        <v>13</v>
      </c>
    </row>
    <row r="348" spans="1:22" x14ac:dyDescent="0.3">
      <c r="A348" s="136" t="s">
        <v>6</v>
      </c>
      <c r="B348" s="136" t="s">
        <v>5</v>
      </c>
      <c r="C348" s="136" t="s">
        <v>810</v>
      </c>
      <c r="D348" s="143">
        <v>42978</v>
      </c>
      <c r="E348" s="136">
        <v>57331.6</v>
      </c>
      <c r="F348" s="136" t="s">
        <v>14</v>
      </c>
      <c r="G348" s="140" t="s">
        <v>11</v>
      </c>
      <c r="H348" s="136" t="s">
        <v>12</v>
      </c>
      <c r="J348" s="139">
        <v>28</v>
      </c>
      <c r="K348" s="138">
        <v>44790.3</v>
      </c>
      <c r="L348" s="136">
        <v>0</v>
      </c>
      <c r="M348" s="136">
        <f>+J348/100*K348/2+0.01</f>
        <v>6270.652000000001</v>
      </c>
      <c r="N348" s="136">
        <f>+J348/100*K348/2+0.01</f>
        <v>6270.652000000001</v>
      </c>
      <c r="O348" s="136">
        <v>0</v>
      </c>
      <c r="P348" s="175">
        <v>87081090</v>
      </c>
      <c r="Q348" s="137" t="s">
        <v>22</v>
      </c>
      <c r="R348" s="136" t="s">
        <v>13</v>
      </c>
      <c r="S348" s="136">
        <v>540</v>
      </c>
      <c r="T348" s="136">
        <v>540</v>
      </c>
      <c r="U348" s="136">
        <f>+S348-T348</f>
        <v>0</v>
      </c>
      <c r="V348" s="136">
        <v>540</v>
      </c>
    </row>
    <row r="349" spans="1:22" x14ac:dyDescent="0.3">
      <c r="A349" s="136" t="s">
        <v>179</v>
      </c>
      <c r="B349" s="136" t="s">
        <v>178</v>
      </c>
      <c r="C349" s="136" t="s">
        <v>811</v>
      </c>
      <c r="D349" s="143">
        <v>42978</v>
      </c>
      <c r="E349" s="136">
        <v>77425.919999999998</v>
      </c>
      <c r="F349" s="136" t="s">
        <v>14</v>
      </c>
      <c r="G349" s="140" t="s">
        <v>11</v>
      </c>
      <c r="H349" s="136" t="s">
        <v>12</v>
      </c>
      <c r="J349" s="139">
        <v>28</v>
      </c>
      <c r="K349" s="138">
        <v>60489</v>
      </c>
      <c r="L349" s="136">
        <v>0</v>
      </c>
      <c r="M349" s="136">
        <f t="shared" ref="M349:M355" si="176">+J349/100*K349/2</f>
        <v>8468.4600000000009</v>
      </c>
      <c r="N349" s="136">
        <f t="shared" ref="N349:N355" si="177">+J349/100*K349/2</f>
        <v>8468.4600000000009</v>
      </c>
      <c r="O349" s="136">
        <v>0</v>
      </c>
      <c r="P349" s="175">
        <v>85129000</v>
      </c>
      <c r="Q349" s="137" t="s">
        <v>22</v>
      </c>
      <c r="R349" s="136" t="s">
        <v>13</v>
      </c>
      <c r="S349" s="136">
        <v>900</v>
      </c>
      <c r="T349" s="136">
        <v>900</v>
      </c>
      <c r="U349" s="136">
        <f t="shared" ref="U349:U355" si="178">+S349-T349</f>
        <v>0</v>
      </c>
      <c r="V349" s="136">
        <v>900</v>
      </c>
    </row>
    <row r="350" spans="1:22" x14ac:dyDescent="0.3">
      <c r="A350" s="136" t="s">
        <v>812</v>
      </c>
      <c r="B350" s="136" t="s">
        <v>813</v>
      </c>
      <c r="C350" s="136" t="s">
        <v>814</v>
      </c>
      <c r="D350" s="143">
        <v>42978</v>
      </c>
      <c r="E350" s="136">
        <v>5186.46</v>
      </c>
      <c r="F350" s="136" t="s">
        <v>14</v>
      </c>
      <c r="G350" s="140" t="s">
        <v>11</v>
      </c>
      <c r="H350" s="136" t="s">
        <v>12</v>
      </c>
      <c r="J350" s="139">
        <v>18</v>
      </c>
      <c r="K350" s="138">
        <v>4395.3</v>
      </c>
      <c r="L350" s="136">
        <v>0</v>
      </c>
      <c r="M350" s="136">
        <f t="shared" si="176"/>
        <v>395.577</v>
      </c>
      <c r="N350" s="136">
        <f t="shared" si="177"/>
        <v>395.577</v>
      </c>
      <c r="O350" s="136">
        <v>0</v>
      </c>
      <c r="P350" s="175">
        <v>998898</v>
      </c>
      <c r="Q350" s="137" t="s">
        <v>22</v>
      </c>
      <c r="R350" s="136" t="s">
        <v>13</v>
      </c>
      <c r="S350" s="136">
        <v>42</v>
      </c>
      <c r="T350" s="136">
        <v>42</v>
      </c>
      <c r="U350" s="136">
        <f t="shared" si="178"/>
        <v>0</v>
      </c>
      <c r="V350" s="136">
        <v>42</v>
      </c>
    </row>
    <row r="351" spans="1:22" x14ac:dyDescent="0.3">
      <c r="A351" s="136" t="s">
        <v>812</v>
      </c>
      <c r="B351" s="136" t="s">
        <v>813</v>
      </c>
      <c r="C351" s="136" t="s">
        <v>815</v>
      </c>
      <c r="D351" s="143">
        <v>42978</v>
      </c>
      <c r="E351" s="136">
        <v>10707.32</v>
      </c>
      <c r="F351" s="136" t="s">
        <v>14</v>
      </c>
      <c r="G351" s="140" t="s">
        <v>11</v>
      </c>
      <c r="H351" s="136" t="s">
        <v>12</v>
      </c>
      <c r="J351" s="139">
        <v>18</v>
      </c>
      <c r="K351" s="138">
        <v>9074</v>
      </c>
      <c r="L351" s="136">
        <v>0</v>
      </c>
      <c r="M351" s="136">
        <f t="shared" si="176"/>
        <v>816.66</v>
      </c>
      <c r="N351" s="136">
        <f t="shared" si="177"/>
        <v>816.66</v>
      </c>
      <c r="O351" s="136">
        <v>0</v>
      </c>
      <c r="P351" s="175">
        <v>998898</v>
      </c>
      <c r="Q351" s="137" t="s">
        <v>22</v>
      </c>
      <c r="R351" s="136" t="s">
        <v>13</v>
      </c>
      <c r="S351" s="136">
        <v>13</v>
      </c>
      <c r="T351" s="136">
        <v>13</v>
      </c>
      <c r="U351" s="136">
        <f t="shared" si="178"/>
        <v>0</v>
      </c>
      <c r="V351" s="136">
        <v>13</v>
      </c>
    </row>
    <row r="352" spans="1:22" x14ac:dyDescent="0.3">
      <c r="A352" s="136" t="s">
        <v>812</v>
      </c>
      <c r="B352" s="136" t="s">
        <v>813</v>
      </c>
      <c r="C352" s="136" t="s">
        <v>816</v>
      </c>
      <c r="D352" s="143">
        <v>42978</v>
      </c>
      <c r="E352" s="136">
        <v>605.94000000000005</v>
      </c>
      <c r="F352" s="136" t="s">
        <v>14</v>
      </c>
      <c r="G352" s="140" t="s">
        <v>11</v>
      </c>
      <c r="H352" s="136" t="s">
        <v>12</v>
      </c>
      <c r="J352" s="139">
        <v>18</v>
      </c>
      <c r="K352" s="138">
        <v>513.5</v>
      </c>
      <c r="L352" s="136">
        <v>0</v>
      </c>
      <c r="M352" s="136">
        <f t="shared" si="176"/>
        <v>46.214999999999996</v>
      </c>
      <c r="N352" s="136">
        <f t="shared" si="177"/>
        <v>46.214999999999996</v>
      </c>
      <c r="O352" s="136">
        <v>0</v>
      </c>
      <c r="P352" s="175">
        <v>998898</v>
      </c>
      <c r="Q352" s="137" t="s">
        <v>22</v>
      </c>
      <c r="R352" s="136" t="s">
        <v>13</v>
      </c>
      <c r="S352" s="136">
        <v>13</v>
      </c>
      <c r="T352" s="136">
        <v>13</v>
      </c>
      <c r="U352" s="136">
        <f t="shared" si="178"/>
        <v>0</v>
      </c>
      <c r="V352" s="136">
        <v>13</v>
      </c>
    </row>
    <row r="353" spans="1:22" x14ac:dyDescent="0.3">
      <c r="A353" s="136" t="s">
        <v>812</v>
      </c>
      <c r="B353" s="136" t="s">
        <v>813</v>
      </c>
      <c r="C353" s="136" t="s">
        <v>817</v>
      </c>
      <c r="D353" s="143">
        <v>42978</v>
      </c>
      <c r="E353" s="136">
        <v>932.2</v>
      </c>
      <c r="F353" s="136" t="s">
        <v>14</v>
      </c>
      <c r="G353" s="140" t="s">
        <v>11</v>
      </c>
      <c r="H353" s="136" t="s">
        <v>12</v>
      </c>
      <c r="J353" s="139">
        <v>18</v>
      </c>
      <c r="K353" s="138">
        <v>790</v>
      </c>
      <c r="L353" s="136">
        <v>0</v>
      </c>
      <c r="M353" s="136">
        <f t="shared" si="176"/>
        <v>71.099999999999994</v>
      </c>
      <c r="N353" s="136">
        <f t="shared" si="177"/>
        <v>71.099999999999994</v>
      </c>
      <c r="O353" s="136">
        <v>0</v>
      </c>
      <c r="P353" s="175">
        <v>998898</v>
      </c>
      <c r="Q353" s="137" t="s">
        <v>22</v>
      </c>
      <c r="R353" s="136" t="s">
        <v>13</v>
      </c>
      <c r="S353" s="136">
        <v>20</v>
      </c>
      <c r="T353" s="136">
        <v>20</v>
      </c>
      <c r="U353" s="136">
        <f t="shared" si="178"/>
        <v>0</v>
      </c>
      <c r="V353" s="136">
        <v>20</v>
      </c>
    </row>
    <row r="354" spans="1:22" x14ac:dyDescent="0.3">
      <c r="A354" s="136" t="s">
        <v>812</v>
      </c>
      <c r="B354" s="136" t="s">
        <v>813</v>
      </c>
      <c r="C354" s="136" t="s">
        <v>818</v>
      </c>
      <c r="D354" s="143">
        <v>42978</v>
      </c>
      <c r="E354" s="136">
        <v>8236.4</v>
      </c>
      <c r="F354" s="136" t="s">
        <v>14</v>
      </c>
      <c r="G354" s="140" t="s">
        <v>11</v>
      </c>
      <c r="H354" s="136" t="s">
        <v>12</v>
      </c>
      <c r="J354" s="139">
        <v>18</v>
      </c>
      <c r="K354" s="138">
        <v>6980</v>
      </c>
      <c r="L354" s="136">
        <v>0</v>
      </c>
      <c r="M354" s="136">
        <f t="shared" si="176"/>
        <v>628.19999999999993</v>
      </c>
      <c r="N354" s="136">
        <f t="shared" si="177"/>
        <v>628.19999999999993</v>
      </c>
      <c r="O354" s="136">
        <v>0</v>
      </c>
      <c r="P354" s="175">
        <v>998898</v>
      </c>
      <c r="Q354" s="137" t="s">
        <v>22</v>
      </c>
      <c r="R354" s="136" t="s">
        <v>13</v>
      </c>
      <c r="S354" s="136">
        <v>10</v>
      </c>
      <c r="T354" s="136">
        <v>10</v>
      </c>
      <c r="U354" s="136">
        <f t="shared" si="178"/>
        <v>0</v>
      </c>
      <c r="V354" s="136">
        <v>10</v>
      </c>
    </row>
    <row r="355" spans="1:22" x14ac:dyDescent="0.3">
      <c r="A355" s="136" t="s">
        <v>812</v>
      </c>
      <c r="B355" s="136" t="s">
        <v>813</v>
      </c>
      <c r="C355" s="136" t="s">
        <v>819</v>
      </c>
      <c r="D355" s="143">
        <v>42978</v>
      </c>
      <c r="E355" s="136">
        <v>8236.4</v>
      </c>
      <c r="F355" s="136" t="s">
        <v>14</v>
      </c>
      <c r="G355" s="140" t="s">
        <v>11</v>
      </c>
      <c r="H355" s="136" t="s">
        <v>12</v>
      </c>
      <c r="J355" s="139">
        <v>18</v>
      </c>
      <c r="K355" s="138">
        <v>6980</v>
      </c>
      <c r="L355" s="136">
        <v>0</v>
      </c>
      <c r="M355" s="136">
        <f t="shared" si="176"/>
        <v>628.19999999999993</v>
      </c>
      <c r="N355" s="136">
        <f t="shared" si="177"/>
        <v>628.19999999999993</v>
      </c>
      <c r="O355" s="136">
        <v>0</v>
      </c>
      <c r="P355" s="175">
        <v>998898</v>
      </c>
      <c r="Q355" s="137" t="s">
        <v>22</v>
      </c>
      <c r="R355" s="136" t="s">
        <v>13</v>
      </c>
      <c r="S355" s="136">
        <v>10</v>
      </c>
      <c r="T355" s="136">
        <v>10</v>
      </c>
      <c r="U355" s="136">
        <f t="shared" si="178"/>
        <v>0</v>
      </c>
      <c r="V355" s="136">
        <v>10</v>
      </c>
    </row>
    <row r="356" spans="1:22" x14ac:dyDescent="0.3">
      <c r="A356" s="136" t="s">
        <v>6</v>
      </c>
      <c r="B356" s="136" t="s">
        <v>5</v>
      </c>
      <c r="C356" s="136" t="s">
        <v>820</v>
      </c>
      <c r="D356" s="143">
        <v>42978</v>
      </c>
      <c r="E356" s="136">
        <v>57331.6</v>
      </c>
      <c r="F356" s="136" t="s">
        <v>14</v>
      </c>
      <c r="G356" s="140" t="s">
        <v>11</v>
      </c>
      <c r="H356" s="136" t="s">
        <v>12</v>
      </c>
      <c r="J356" s="139">
        <v>28</v>
      </c>
      <c r="K356" s="138">
        <v>44790.3</v>
      </c>
      <c r="L356" s="136">
        <v>0</v>
      </c>
      <c r="M356" s="136">
        <f>+J356/100*K356/2+0.01</f>
        <v>6270.652000000001</v>
      </c>
      <c r="N356" s="136">
        <f>+J356/100*K356/2+0.01</f>
        <v>6270.652000000001</v>
      </c>
      <c r="O356" s="136">
        <v>0</v>
      </c>
      <c r="P356" s="175">
        <v>87081090</v>
      </c>
      <c r="Q356" s="137" t="s">
        <v>22</v>
      </c>
      <c r="R356" s="136" t="s">
        <v>13</v>
      </c>
      <c r="S356" s="136">
        <v>540</v>
      </c>
      <c r="T356" s="136">
        <v>540</v>
      </c>
      <c r="U356" s="136">
        <f>+S356-T356</f>
        <v>0</v>
      </c>
      <c r="V356" s="136">
        <v>540</v>
      </c>
    </row>
    <row r="357" spans="1:22" x14ac:dyDescent="0.3">
      <c r="A357" s="136" t="s">
        <v>246</v>
      </c>
      <c r="B357" s="136" t="s">
        <v>245</v>
      </c>
      <c r="C357" s="136" t="s">
        <v>821</v>
      </c>
      <c r="D357" s="143">
        <v>42978</v>
      </c>
      <c r="E357" s="136">
        <v>38589.440000000002</v>
      </c>
      <c r="F357" s="136" t="s">
        <v>14</v>
      </c>
      <c r="G357" s="140" t="s">
        <v>11</v>
      </c>
      <c r="H357" s="136" t="s">
        <v>12</v>
      </c>
      <c r="J357" s="139">
        <v>28</v>
      </c>
      <c r="K357" s="138">
        <v>30148</v>
      </c>
      <c r="L357" s="136">
        <v>0</v>
      </c>
      <c r="M357" s="136">
        <f t="shared" ref="M357:M359" si="179">+J357/100*K357/2</f>
        <v>4220.72</v>
      </c>
      <c r="N357" s="136">
        <f t="shared" ref="N357:N359" si="180">+J357/100*K357/2</f>
        <v>4220.72</v>
      </c>
      <c r="O357" s="136">
        <v>0</v>
      </c>
      <c r="P357" s="175">
        <v>87141090</v>
      </c>
      <c r="Q357" s="137" t="s">
        <v>22</v>
      </c>
      <c r="R357" s="136" t="s">
        <v>13</v>
      </c>
      <c r="S357" s="136">
        <v>400</v>
      </c>
      <c r="T357" s="136">
        <v>400</v>
      </c>
      <c r="U357" s="136">
        <f t="shared" ref="U357:U359" si="181">+S357-T357</f>
        <v>0</v>
      </c>
      <c r="V357" s="136">
        <v>400</v>
      </c>
    </row>
    <row r="358" spans="1:22" x14ac:dyDescent="0.3">
      <c r="A358" s="136" t="s">
        <v>657</v>
      </c>
      <c r="B358" s="136" t="s">
        <v>658</v>
      </c>
      <c r="C358" s="136" t="s">
        <v>822</v>
      </c>
      <c r="D358" s="143">
        <v>42978</v>
      </c>
      <c r="E358" s="136">
        <v>6962</v>
      </c>
      <c r="F358" s="136" t="s">
        <v>14</v>
      </c>
      <c r="G358" s="140" t="s">
        <v>11</v>
      </c>
      <c r="H358" s="136" t="s">
        <v>12</v>
      </c>
      <c r="J358" s="139">
        <v>18</v>
      </c>
      <c r="K358" s="138">
        <v>5900</v>
      </c>
      <c r="L358" s="136">
        <v>0</v>
      </c>
      <c r="M358" s="136">
        <f t="shared" si="179"/>
        <v>531</v>
      </c>
      <c r="N358" s="136">
        <f t="shared" si="180"/>
        <v>531</v>
      </c>
      <c r="O358" s="136">
        <v>0</v>
      </c>
      <c r="P358" s="175">
        <v>998873</v>
      </c>
      <c r="Q358" s="137" t="s">
        <v>22</v>
      </c>
      <c r="R358" s="136" t="s">
        <v>13</v>
      </c>
      <c r="S358" s="136">
        <v>200</v>
      </c>
      <c r="T358" s="136">
        <v>200</v>
      </c>
      <c r="U358" s="136">
        <f t="shared" si="181"/>
        <v>0</v>
      </c>
      <c r="V358" s="136">
        <v>200</v>
      </c>
    </row>
    <row r="359" spans="1:22" x14ac:dyDescent="0.3">
      <c r="A359" s="136" t="s">
        <v>657</v>
      </c>
      <c r="B359" s="136" t="s">
        <v>658</v>
      </c>
      <c r="C359" s="136" t="s">
        <v>823</v>
      </c>
      <c r="D359" s="143">
        <v>42978</v>
      </c>
      <c r="E359" s="136">
        <v>6962</v>
      </c>
      <c r="F359" s="136" t="s">
        <v>14</v>
      </c>
      <c r="G359" s="140" t="s">
        <v>11</v>
      </c>
      <c r="H359" s="136" t="s">
        <v>12</v>
      </c>
      <c r="J359" s="139">
        <v>18</v>
      </c>
      <c r="K359" s="138">
        <v>5900</v>
      </c>
      <c r="L359" s="136">
        <v>0</v>
      </c>
      <c r="M359" s="136">
        <f t="shared" si="179"/>
        <v>531</v>
      </c>
      <c r="N359" s="136">
        <f t="shared" si="180"/>
        <v>531</v>
      </c>
      <c r="O359" s="136">
        <v>0</v>
      </c>
      <c r="P359" s="175">
        <v>998873</v>
      </c>
      <c r="Q359" s="137" t="s">
        <v>22</v>
      </c>
      <c r="R359" s="136" t="s">
        <v>13</v>
      </c>
      <c r="S359" s="136">
        <v>200</v>
      </c>
      <c r="T359" s="136">
        <v>200</v>
      </c>
      <c r="U359" s="136">
        <f t="shared" si="181"/>
        <v>0</v>
      </c>
      <c r="V359" s="136">
        <v>200</v>
      </c>
    </row>
    <row r="360" spans="1:22" x14ac:dyDescent="0.3">
      <c r="A360" s="136" t="s">
        <v>6</v>
      </c>
      <c r="B360" s="136" t="s">
        <v>5</v>
      </c>
      <c r="C360" s="136" t="s">
        <v>824</v>
      </c>
      <c r="D360" s="143">
        <v>42978</v>
      </c>
      <c r="E360" s="136">
        <v>44591.24</v>
      </c>
      <c r="F360" s="136" t="s">
        <v>14</v>
      </c>
      <c r="G360" s="140" t="s">
        <v>11</v>
      </c>
      <c r="H360" s="136" t="s">
        <v>12</v>
      </c>
      <c r="J360" s="139">
        <v>28</v>
      </c>
      <c r="K360" s="138">
        <v>34836.9</v>
      </c>
      <c r="L360" s="136">
        <v>0</v>
      </c>
      <c r="M360" s="136">
        <f>+J360/100*K360/2</f>
        <v>4877.1660000000011</v>
      </c>
      <c r="N360" s="136">
        <f>+J360/100*K360/2</f>
        <v>4877.1660000000011</v>
      </c>
      <c r="O360" s="136">
        <v>0</v>
      </c>
      <c r="P360" s="175">
        <v>87081090</v>
      </c>
      <c r="Q360" s="137" t="s">
        <v>22</v>
      </c>
      <c r="R360" s="136" t="s">
        <v>13</v>
      </c>
      <c r="S360" s="136">
        <v>420</v>
      </c>
      <c r="T360" s="136">
        <v>420</v>
      </c>
      <c r="U360" s="136">
        <f>+S360-T360</f>
        <v>0</v>
      </c>
      <c r="V360" s="136">
        <v>420</v>
      </c>
    </row>
    <row r="361" spans="1:22" x14ac:dyDescent="0.3">
      <c r="A361" s="136" t="s">
        <v>6</v>
      </c>
      <c r="B361" s="136" t="s">
        <v>5</v>
      </c>
      <c r="C361" s="136" t="s">
        <v>825</v>
      </c>
      <c r="D361" s="143">
        <v>42978</v>
      </c>
      <c r="E361" s="136">
        <v>5414.4</v>
      </c>
      <c r="F361" s="136" t="s">
        <v>14</v>
      </c>
      <c r="G361" s="140" t="s">
        <v>11</v>
      </c>
      <c r="H361" s="136" t="s">
        <v>12</v>
      </c>
      <c r="J361" s="139">
        <v>28</v>
      </c>
      <c r="K361" s="138">
        <v>4230</v>
      </c>
      <c r="L361" s="136">
        <v>0</v>
      </c>
      <c r="M361" s="136">
        <f>+J361/100*K361/2</f>
        <v>592.20000000000005</v>
      </c>
      <c r="N361" s="136">
        <f>+J361/100*K361/2</f>
        <v>592.20000000000005</v>
      </c>
      <c r="O361" s="136">
        <v>0</v>
      </c>
      <c r="P361" s="175">
        <v>87141090</v>
      </c>
      <c r="Q361" s="137" t="s">
        <v>22</v>
      </c>
      <c r="R361" s="136" t="s">
        <v>13</v>
      </c>
      <c r="S361" s="136">
        <v>120</v>
      </c>
      <c r="T361" s="136">
        <v>120</v>
      </c>
      <c r="U361" s="136">
        <f>+S361-T361</f>
        <v>0</v>
      </c>
      <c r="V361" s="136">
        <v>120</v>
      </c>
    </row>
    <row r="362" spans="1:22" x14ac:dyDescent="0.3">
      <c r="A362" s="136" t="s">
        <v>6</v>
      </c>
      <c r="B362" s="136" t="s">
        <v>5</v>
      </c>
      <c r="C362" s="136" t="s">
        <v>826</v>
      </c>
      <c r="D362" s="143">
        <v>42978</v>
      </c>
      <c r="E362" s="136">
        <v>47059.44</v>
      </c>
      <c r="F362" s="136" t="s">
        <v>14</v>
      </c>
      <c r="G362" s="140" t="s">
        <v>11</v>
      </c>
      <c r="H362" s="136" t="s">
        <v>12</v>
      </c>
      <c r="J362" s="139">
        <v>28</v>
      </c>
      <c r="K362" s="138">
        <v>36765.18</v>
      </c>
      <c r="L362" s="136">
        <v>0</v>
      </c>
      <c r="M362" s="136">
        <f>+J362/100*K362/2</f>
        <v>5147.1252000000004</v>
      </c>
      <c r="N362" s="136">
        <f>+J362/100*K362/2</f>
        <v>5147.1252000000004</v>
      </c>
      <c r="O362" s="136">
        <v>0</v>
      </c>
      <c r="P362" s="175">
        <v>87081090</v>
      </c>
      <c r="Q362" s="137" t="s">
        <v>22</v>
      </c>
      <c r="R362" s="136" t="s">
        <v>13</v>
      </c>
      <c r="S362" s="136">
        <v>444</v>
      </c>
      <c r="T362" s="136">
        <v>444</v>
      </c>
      <c r="U362" s="136">
        <f>+S362-T362</f>
        <v>0</v>
      </c>
      <c r="V362" s="136">
        <v>444</v>
      </c>
    </row>
    <row r="363" spans="1:22" x14ac:dyDescent="0.3">
      <c r="A363" s="136"/>
      <c r="B363" s="136"/>
      <c r="C363" s="136"/>
      <c r="D363" s="136"/>
      <c r="E363" s="136"/>
      <c r="F363" s="136"/>
      <c r="G363" s="141"/>
      <c r="H363" s="136"/>
      <c r="J363" s="139"/>
      <c r="K363" s="138"/>
      <c r="L363" s="136"/>
      <c r="M363" s="136"/>
      <c r="N363" s="136"/>
      <c r="O363" s="136"/>
      <c r="P363" s="175"/>
      <c r="Q363" s="137"/>
      <c r="R363" s="136"/>
      <c r="S363" s="136"/>
      <c r="T363" s="136"/>
      <c r="U363" s="136"/>
      <c r="V363" s="136"/>
    </row>
    <row r="364" spans="1:22" ht="15" thickBot="1" x14ac:dyDescent="0.35">
      <c r="A364" s="136"/>
      <c r="B364" s="136"/>
      <c r="C364" s="136"/>
      <c r="D364" s="136"/>
      <c r="E364" s="136"/>
      <c r="F364" s="136"/>
      <c r="G364" s="129"/>
      <c r="H364" s="136"/>
      <c r="J364" s="139"/>
      <c r="K364" s="138"/>
      <c r="L364" s="136"/>
      <c r="M364" s="136"/>
      <c r="N364" s="136"/>
      <c r="O364" s="136"/>
      <c r="P364" s="175"/>
      <c r="Q364" s="136"/>
      <c r="R364" s="136"/>
      <c r="S364" s="136"/>
      <c r="T364" s="136"/>
      <c r="U364" s="136"/>
      <c r="V364" s="136"/>
    </row>
    <row r="365" spans="1:22" ht="15" thickBot="1" x14ac:dyDescent="0.35">
      <c r="A365" s="18" t="s">
        <v>31</v>
      </c>
      <c r="B365" s="18"/>
      <c r="C365" s="18"/>
      <c r="D365" s="18"/>
      <c r="E365" s="18">
        <f>SUM(E7:E364)</f>
        <v>11233998.459999999</v>
      </c>
      <c r="F365" s="18"/>
      <c r="G365" s="142"/>
      <c r="H365" s="18"/>
      <c r="J365" s="18"/>
      <c r="K365" s="18">
        <f>SUM(K7:K364)</f>
        <v>8825813.520000007</v>
      </c>
      <c r="L365" s="18">
        <f>SUM(L7:L364)</f>
        <v>76678.49000000002</v>
      </c>
      <c r="M365" s="18">
        <f>SUM(M7:M364)</f>
        <v>1165753.1978000002</v>
      </c>
      <c r="N365" s="18">
        <f>SUM(N7:N364)</f>
        <v>1165753.1978000002</v>
      </c>
      <c r="O365" s="18">
        <f>SUM(O7:O364)</f>
        <v>0</v>
      </c>
      <c r="P365" s="176"/>
      <c r="Q365" s="18"/>
      <c r="R365" s="18"/>
      <c r="S365" s="18">
        <f t="shared" ref="S365:V365" si="182">SUM(S7:S364)</f>
        <v>251187</v>
      </c>
      <c r="T365" s="18">
        <f t="shared" si="182"/>
        <v>251187</v>
      </c>
      <c r="U365" s="18">
        <f t="shared" si="182"/>
        <v>0</v>
      </c>
      <c r="V365" s="18">
        <f t="shared" si="182"/>
        <v>252273</v>
      </c>
    </row>
  </sheetData>
  <autoFilter ref="A1:A365"/>
  <pageMargins left="0.25" right="0.25" top="0.75" bottom="0.75" header="0.3" footer="0.3"/>
  <pageSetup paperSize="9" scale="61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F30" sqref="F30"/>
    </sheetView>
  </sheetViews>
  <sheetFormatPr defaultRowHeight="14.4" x14ac:dyDescent="0.3"/>
  <cols>
    <col min="1" max="1" width="21.6640625" bestFit="1" customWidth="1"/>
    <col min="2" max="2" width="17" bestFit="1" customWidth="1"/>
    <col min="3" max="3" width="10.6640625" bestFit="1" customWidth="1"/>
    <col min="4" max="4" width="18.33203125" bestFit="1" customWidth="1"/>
    <col min="5" max="5" width="19.109375" bestFit="1" customWidth="1"/>
    <col min="6" max="6" width="13.6640625" bestFit="1" customWidth="1"/>
    <col min="7" max="7" width="11.6640625" bestFit="1" customWidth="1"/>
    <col min="8" max="8" width="18.44140625" bestFit="1" customWidth="1"/>
    <col min="9" max="9" width="7.109375" customWidth="1"/>
    <col min="10" max="10" width="18.6640625" bestFit="1" customWidth="1"/>
    <col min="11" max="11" width="11.6640625" bestFit="1" customWidth="1"/>
  </cols>
  <sheetData>
    <row r="1" spans="1:11" x14ac:dyDescent="0.3">
      <c r="A1" s="41" t="s">
        <v>75</v>
      </c>
      <c r="B1" s="44"/>
      <c r="C1" s="53"/>
      <c r="D1" s="54"/>
      <c r="E1" s="55"/>
      <c r="F1" s="56"/>
      <c r="G1" s="55"/>
      <c r="H1" s="56"/>
      <c r="I1" s="54"/>
      <c r="J1" s="54"/>
      <c r="K1" s="47"/>
    </row>
    <row r="2" spans="1:11" x14ac:dyDescent="0.3">
      <c r="A2" s="24" t="s">
        <v>76</v>
      </c>
      <c r="B2" s="24" t="s">
        <v>48</v>
      </c>
      <c r="C2" s="24"/>
      <c r="D2" s="25" t="s">
        <v>49</v>
      </c>
      <c r="E2" s="26"/>
      <c r="F2" s="24"/>
      <c r="G2" s="26"/>
      <c r="H2" s="24"/>
      <c r="I2" s="25"/>
      <c r="J2" s="25" t="s">
        <v>50</v>
      </c>
      <c r="K2" s="25" t="s">
        <v>51</v>
      </c>
    </row>
    <row r="3" spans="1:11" x14ac:dyDescent="0.3">
      <c r="A3" s="27">
        <f>SUMPRODUCT((A5:A40000&lt;&gt;"")/COUNTIF(A5:A40000,A5:A40000&amp;""))</f>
        <v>3.9999999999999991</v>
      </c>
      <c r="B3" s="27">
        <f>SUMPRODUCT((B5:B40000&lt;&gt;"")/COUNTIF(B5:B40000,B5:B40000&amp;""))</f>
        <v>13</v>
      </c>
      <c r="C3" s="27"/>
      <c r="D3" s="28">
        <f>SUMPRODUCT(1/COUNTIF(B5:B40000,B5:B40000&amp;""),D5:D40000)</f>
        <v>644313.41</v>
      </c>
      <c r="E3" s="29"/>
      <c r="F3" s="27"/>
      <c r="G3" s="29"/>
      <c r="H3" s="30"/>
      <c r="I3" s="31"/>
      <c r="J3" s="31">
        <f>SUM(J5:J39999)</f>
        <v>530661.79</v>
      </c>
      <c r="K3" s="31">
        <f>SUM(K5:K39999)</f>
        <v>0</v>
      </c>
    </row>
    <row r="4" spans="1:11" ht="15" thickBot="1" x14ac:dyDescent="0.35">
      <c r="A4" s="32" t="s">
        <v>77</v>
      </c>
      <c r="B4" s="32" t="s">
        <v>52</v>
      </c>
      <c r="C4" s="32" t="s">
        <v>53</v>
      </c>
      <c r="D4" s="32" t="s">
        <v>54</v>
      </c>
      <c r="E4" s="32" t="s">
        <v>55</v>
      </c>
      <c r="F4" s="32" t="s">
        <v>56</v>
      </c>
      <c r="G4" s="32" t="s">
        <v>57</v>
      </c>
      <c r="H4" s="32" t="s">
        <v>58</v>
      </c>
      <c r="I4" s="32" t="s">
        <v>24</v>
      </c>
      <c r="J4" s="32" t="s">
        <v>59</v>
      </c>
      <c r="K4" s="32" t="s">
        <v>60</v>
      </c>
    </row>
    <row r="5" spans="1:11" x14ac:dyDescent="0.3">
      <c r="A5" s="1" t="s">
        <v>39</v>
      </c>
      <c r="B5" s="1" t="s">
        <v>38</v>
      </c>
      <c r="C5" s="1" t="s">
        <v>34</v>
      </c>
      <c r="D5" s="6">
        <v>10058.56</v>
      </c>
      <c r="E5" s="5" t="s">
        <v>14</v>
      </c>
      <c r="F5" s="15" t="s">
        <v>11</v>
      </c>
      <c r="G5" s="1" t="s">
        <v>12</v>
      </c>
      <c r="H5" s="33"/>
      <c r="I5" s="13">
        <v>18</v>
      </c>
      <c r="J5" s="11">
        <v>8524.2000000000007</v>
      </c>
      <c r="K5" s="39">
        <v>0</v>
      </c>
    </row>
    <row r="6" spans="1:11" x14ac:dyDescent="0.3">
      <c r="A6" s="5" t="s">
        <v>5</v>
      </c>
      <c r="B6" s="5" t="s">
        <v>36</v>
      </c>
      <c r="C6" s="5" t="s">
        <v>34</v>
      </c>
      <c r="D6" s="7">
        <v>52235.44</v>
      </c>
      <c r="E6" s="5" t="s">
        <v>14</v>
      </c>
      <c r="F6" s="16" t="s">
        <v>11</v>
      </c>
      <c r="G6" s="5" t="s">
        <v>12</v>
      </c>
      <c r="H6" s="33"/>
      <c r="I6" s="14">
        <v>28</v>
      </c>
      <c r="J6" s="12">
        <v>40808.94</v>
      </c>
      <c r="K6" s="39"/>
    </row>
    <row r="7" spans="1:11" x14ac:dyDescent="0.3">
      <c r="A7" s="5" t="s">
        <v>5</v>
      </c>
      <c r="B7" s="5" t="s">
        <v>37</v>
      </c>
      <c r="C7" s="5" t="s">
        <v>34</v>
      </c>
      <c r="D7" s="7">
        <v>9632</v>
      </c>
      <c r="E7" s="5" t="s">
        <v>14</v>
      </c>
      <c r="F7" s="16" t="s">
        <v>11</v>
      </c>
      <c r="G7" s="5" t="s">
        <v>12</v>
      </c>
      <c r="H7" s="33"/>
      <c r="I7" s="14">
        <v>28</v>
      </c>
      <c r="J7" s="12">
        <v>7525</v>
      </c>
      <c r="K7" s="39"/>
    </row>
    <row r="8" spans="1:11" x14ac:dyDescent="0.3">
      <c r="A8" s="5" t="s">
        <v>5</v>
      </c>
      <c r="B8" s="5" t="s">
        <v>41</v>
      </c>
      <c r="C8" s="5" t="s">
        <v>34</v>
      </c>
      <c r="D8" s="7">
        <v>50961.4</v>
      </c>
      <c r="E8" s="5" t="s">
        <v>14</v>
      </c>
      <c r="F8" s="16" t="s">
        <v>11</v>
      </c>
      <c r="G8" s="5" t="s">
        <v>12</v>
      </c>
      <c r="H8" s="33"/>
      <c r="I8" s="14">
        <v>28</v>
      </c>
      <c r="J8" s="12">
        <v>39813.599999999999</v>
      </c>
      <c r="K8" s="39">
        <v>0</v>
      </c>
    </row>
    <row r="9" spans="1:11" x14ac:dyDescent="0.3">
      <c r="A9" s="5" t="s">
        <v>5</v>
      </c>
      <c r="B9" s="5" t="s">
        <v>42</v>
      </c>
      <c r="C9" s="5" t="s">
        <v>34</v>
      </c>
      <c r="D9" s="7">
        <v>25480.720000000001</v>
      </c>
      <c r="E9" s="5" t="s">
        <v>14</v>
      </c>
      <c r="F9" s="16" t="s">
        <v>11</v>
      </c>
      <c r="G9" s="5" t="s">
        <v>12</v>
      </c>
      <c r="H9" s="33"/>
      <c r="I9" s="14">
        <v>28</v>
      </c>
      <c r="J9" s="12">
        <v>19906.8</v>
      </c>
      <c r="K9" s="39"/>
    </row>
    <row r="10" spans="1:11" x14ac:dyDescent="0.3">
      <c r="A10" s="5" t="s">
        <v>39</v>
      </c>
      <c r="B10" s="5" t="s">
        <v>43</v>
      </c>
      <c r="C10" s="5" t="s">
        <v>34</v>
      </c>
      <c r="D10" s="7">
        <v>10058.56</v>
      </c>
      <c r="E10" s="5" t="s">
        <v>14</v>
      </c>
      <c r="F10" s="16" t="s">
        <v>11</v>
      </c>
      <c r="G10" s="5" t="s">
        <v>12</v>
      </c>
      <c r="H10" s="33"/>
      <c r="I10" s="14">
        <v>18</v>
      </c>
      <c r="J10" s="12">
        <v>8524.2000000000007</v>
      </c>
      <c r="K10" s="39"/>
    </row>
    <row r="11" spans="1:11" x14ac:dyDescent="0.3">
      <c r="A11" s="5" t="s">
        <v>44</v>
      </c>
      <c r="B11" s="5" t="s">
        <v>46</v>
      </c>
      <c r="C11" s="5" t="s">
        <v>34</v>
      </c>
      <c r="D11" s="7">
        <v>47886.73</v>
      </c>
      <c r="E11" s="5" t="s">
        <v>14</v>
      </c>
      <c r="F11" s="16" t="s">
        <v>11</v>
      </c>
      <c r="G11" s="5" t="s">
        <v>12</v>
      </c>
      <c r="H11" s="33"/>
      <c r="I11" s="14">
        <v>28</v>
      </c>
      <c r="J11" s="12">
        <v>37411.51</v>
      </c>
      <c r="K11" s="39"/>
    </row>
    <row r="12" spans="1:11" x14ac:dyDescent="0.3">
      <c r="A12" s="5" t="s">
        <v>5</v>
      </c>
      <c r="B12" s="5" t="s">
        <v>36</v>
      </c>
      <c r="C12" s="5" t="s">
        <v>34</v>
      </c>
      <c r="D12" s="7">
        <v>52235.44</v>
      </c>
      <c r="E12" s="5" t="s">
        <v>14</v>
      </c>
      <c r="F12" s="16" t="s">
        <v>11</v>
      </c>
      <c r="G12" s="5" t="s">
        <v>12</v>
      </c>
      <c r="H12" s="33"/>
      <c r="I12" s="14">
        <v>28</v>
      </c>
      <c r="J12" s="12">
        <v>40808.94</v>
      </c>
      <c r="K12" s="39"/>
    </row>
    <row r="13" spans="1:11" x14ac:dyDescent="0.3">
      <c r="A13" s="5" t="s">
        <v>5</v>
      </c>
      <c r="B13" s="5" t="s">
        <v>37</v>
      </c>
      <c r="C13" s="5" t="s">
        <v>34</v>
      </c>
      <c r="D13" s="7">
        <v>9632</v>
      </c>
      <c r="E13" s="5" t="s">
        <v>14</v>
      </c>
      <c r="F13" s="16" t="s">
        <v>11</v>
      </c>
      <c r="G13" s="5" t="s">
        <v>12</v>
      </c>
      <c r="H13" s="33"/>
      <c r="I13" s="14">
        <v>28</v>
      </c>
      <c r="J13" s="12">
        <v>7525</v>
      </c>
      <c r="K13" s="39"/>
    </row>
    <row r="14" spans="1:11" x14ac:dyDescent="0.3">
      <c r="A14" s="5" t="s">
        <v>5</v>
      </c>
      <c r="B14" s="5" t="s">
        <v>41</v>
      </c>
      <c r="C14" s="5" t="s">
        <v>34</v>
      </c>
      <c r="D14" s="7">
        <v>50961.4</v>
      </c>
      <c r="E14" s="5" t="s">
        <v>14</v>
      </c>
      <c r="F14" s="16" t="s">
        <v>11</v>
      </c>
      <c r="G14" s="5" t="s">
        <v>12</v>
      </c>
      <c r="H14" s="33"/>
      <c r="I14" s="14">
        <v>28</v>
      </c>
      <c r="J14" s="12">
        <v>39813.599999999999</v>
      </c>
      <c r="K14" s="39"/>
    </row>
    <row r="15" spans="1:11" x14ac:dyDescent="0.3">
      <c r="A15" s="40" t="s">
        <v>78</v>
      </c>
      <c r="B15" s="33" t="s">
        <v>62</v>
      </c>
      <c r="C15" s="34">
        <v>42847</v>
      </c>
      <c r="D15" s="35">
        <v>52000</v>
      </c>
      <c r="E15" s="5" t="s">
        <v>14</v>
      </c>
      <c r="F15" s="37" t="s">
        <v>11</v>
      </c>
      <c r="G15" s="38" t="s">
        <v>12</v>
      </c>
      <c r="H15" s="33"/>
      <c r="I15" s="39">
        <v>3</v>
      </c>
      <c r="J15" s="39">
        <v>40000</v>
      </c>
      <c r="K15" s="39"/>
    </row>
    <row r="16" spans="1:11" x14ac:dyDescent="0.3">
      <c r="A16" s="40" t="s">
        <v>78</v>
      </c>
      <c r="B16" s="33" t="s">
        <v>63</v>
      </c>
      <c r="C16" s="34">
        <v>42851</v>
      </c>
      <c r="D16" s="35">
        <v>52000</v>
      </c>
      <c r="E16" s="5" t="s">
        <v>14</v>
      </c>
      <c r="F16" s="37" t="s">
        <v>11</v>
      </c>
      <c r="G16" s="38" t="s">
        <v>12</v>
      </c>
      <c r="H16" s="33"/>
      <c r="I16" s="39">
        <v>12</v>
      </c>
      <c r="J16" s="39">
        <v>40000</v>
      </c>
      <c r="K16" s="39"/>
    </row>
    <row r="17" spans="1:11" x14ac:dyDescent="0.3">
      <c r="A17" s="40" t="s">
        <v>78</v>
      </c>
      <c r="B17" s="33" t="s">
        <v>64</v>
      </c>
      <c r="C17" s="34">
        <v>42852</v>
      </c>
      <c r="D17" s="35">
        <v>67000</v>
      </c>
      <c r="E17" s="5" t="s">
        <v>14</v>
      </c>
      <c r="F17" s="37" t="s">
        <v>11</v>
      </c>
      <c r="G17" s="38" t="s">
        <v>12</v>
      </c>
      <c r="H17" s="33"/>
      <c r="I17" s="39">
        <v>28</v>
      </c>
      <c r="J17" s="39">
        <v>40000</v>
      </c>
      <c r="K17" s="39">
        <v>0</v>
      </c>
    </row>
    <row r="18" spans="1:11" x14ac:dyDescent="0.3">
      <c r="A18" s="40" t="s">
        <v>78</v>
      </c>
      <c r="B18" s="33" t="s">
        <v>65</v>
      </c>
      <c r="C18" s="34">
        <v>42853</v>
      </c>
      <c r="D18" s="35">
        <v>89000</v>
      </c>
      <c r="E18" s="5" t="s">
        <v>14</v>
      </c>
      <c r="F18" s="37" t="s">
        <v>11</v>
      </c>
      <c r="G18" s="38" t="s">
        <v>12</v>
      </c>
      <c r="H18" s="33"/>
      <c r="I18" s="39">
        <v>28</v>
      </c>
      <c r="J18" s="39">
        <v>40000</v>
      </c>
      <c r="K18" s="39">
        <v>0</v>
      </c>
    </row>
    <row r="19" spans="1:11" x14ac:dyDescent="0.3">
      <c r="A19" s="40" t="s">
        <v>78</v>
      </c>
      <c r="B19" s="33" t="s">
        <v>66</v>
      </c>
      <c r="C19" s="34">
        <v>42853</v>
      </c>
      <c r="D19" s="35">
        <v>89000</v>
      </c>
      <c r="E19" s="5" t="s">
        <v>14</v>
      </c>
      <c r="F19" s="37" t="s">
        <v>11</v>
      </c>
      <c r="G19" s="38" t="s">
        <v>12</v>
      </c>
      <c r="H19" s="33"/>
      <c r="I19" s="39">
        <v>28</v>
      </c>
      <c r="J19" s="39">
        <v>40000</v>
      </c>
      <c r="K19" s="39">
        <v>0</v>
      </c>
    </row>
    <row r="20" spans="1:11" x14ac:dyDescent="0.3">
      <c r="A20" s="40" t="s">
        <v>78</v>
      </c>
      <c r="B20" s="33" t="s">
        <v>68</v>
      </c>
      <c r="C20" s="34">
        <v>42853</v>
      </c>
      <c r="D20" s="35">
        <v>89000</v>
      </c>
      <c r="E20" s="5" t="s">
        <v>14</v>
      </c>
      <c r="F20" s="37" t="s">
        <v>11</v>
      </c>
      <c r="G20" s="38" t="s">
        <v>12</v>
      </c>
      <c r="H20" s="33"/>
      <c r="I20" s="39">
        <v>28</v>
      </c>
      <c r="J20" s="39">
        <v>40000</v>
      </c>
      <c r="K20" s="39">
        <v>0</v>
      </c>
    </row>
    <row r="21" spans="1:11" x14ac:dyDescent="0.3">
      <c r="A21" s="40" t="s">
        <v>78</v>
      </c>
      <c r="B21" s="33" t="s">
        <v>68</v>
      </c>
      <c r="C21" s="34">
        <v>42853</v>
      </c>
      <c r="D21" s="35">
        <v>89000</v>
      </c>
      <c r="E21" s="5" t="s">
        <v>14</v>
      </c>
      <c r="F21" s="37" t="s">
        <v>11</v>
      </c>
      <c r="G21" s="38" t="s">
        <v>12</v>
      </c>
      <c r="H21" s="33"/>
      <c r="I21" s="39">
        <v>28</v>
      </c>
      <c r="J21" s="39">
        <v>40000</v>
      </c>
      <c r="K21" s="39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15" sqref="C15"/>
    </sheetView>
  </sheetViews>
  <sheetFormatPr defaultRowHeight="14.4" x14ac:dyDescent="0.3"/>
  <cols>
    <col min="1" max="1" width="21.109375" bestFit="1" customWidth="1"/>
    <col min="2" max="2" width="10.6640625" bestFit="1" customWidth="1"/>
    <col min="3" max="3" width="14.6640625" bestFit="1" customWidth="1"/>
    <col min="4" max="4" width="18.44140625" bestFit="1" customWidth="1"/>
    <col min="5" max="5" width="5.5546875" bestFit="1" customWidth="1"/>
    <col min="6" max="6" width="18.6640625" bestFit="1" customWidth="1"/>
    <col min="7" max="7" width="11.6640625" bestFit="1" customWidth="1"/>
    <col min="8" max="8" width="18.44140625" bestFit="1" customWidth="1"/>
  </cols>
  <sheetData>
    <row r="1" spans="1:8" x14ac:dyDescent="0.3">
      <c r="A1" s="41" t="s">
        <v>69</v>
      </c>
      <c r="B1" s="42"/>
      <c r="C1" s="43"/>
      <c r="D1" s="44"/>
      <c r="E1" s="45"/>
      <c r="F1" s="43"/>
      <c r="G1" s="46"/>
      <c r="H1" s="47"/>
    </row>
    <row r="2" spans="1:8" x14ac:dyDescent="0.3">
      <c r="A2" s="24" t="s">
        <v>48</v>
      </c>
      <c r="B2" s="24"/>
      <c r="C2" s="48" t="s">
        <v>70</v>
      </c>
      <c r="D2" s="24"/>
      <c r="E2" s="25"/>
      <c r="F2" s="48" t="s">
        <v>50</v>
      </c>
      <c r="G2" s="49" t="s">
        <v>51</v>
      </c>
      <c r="H2" s="26"/>
    </row>
    <row r="3" spans="1:8" x14ac:dyDescent="0.3">
      <c r="A3" s="27">
        <f>SUMPRODUCT((A5:A40000&lt;&gt;"")/COUNTIF(A5:A40000,A5:A40000&amp;""))</f>
        <v>5</v>
      </c>
      <c r="B3" s="27"/>
      <c r="C3" s="28">
        <f>SUMPRODUCT(1/COUNTIF(A5:A40000,A5:A40000&amp;""),C5:C40000)</f>
        <v>1250461.04</v>
      </c>
      <c r="D3" s="50"/>
      <c r="E3" s="31"/>
      <c r="F3" s="31">
        <f>SUM(F5:F39999)</f>
        <v>1630600</v>
      </c>
      <c r="G3" s="51">
        <f>SUM(G5:G39999)</f>
        <v>124536</v>
      </c>
      <c r="H3" s="29"/>
    </row>
    <row r="4" spans="1:8" x14ac:dyDescent="0.3">
      <c r="A4" s="32" t="s">
        <v>52</v>
      </c>
      <c r="B4" s="32" t="s">
        <v>53</v>
      </c>
      <c r="C4" s="32" t="s">
        <v>54</v>
      </c>
      <c r="D4" s="32" t="s">
        <v>55</v>
      </c>
      <c r="E4" s="32" t="s">
        <v>24</v>
      </c>
      <c r="F4" s="32" t="s">
        <v>59</v>
      </c>
      <c r="G4" s="32" t="s">
        <v>60</v>
      </c>
      <c r="H4" s="32" t="s">
        <v>58</v>
      </c>
    </row>
    <row r="5" spans="1:8" x14ac:dyDescent="0.3">
      <c r="A5" s="33">
        <v>10001</v>
      </c>
      <c r="B5" s="34">
        <v>42853</v>
      </c>
      <c r="C5" s="35">
        <v>250000.01</v>
      </c>
      <c r="D5" s="36" t="s">
        <v>61</v>
      </c>
      <c r="E5" s="39">
        <v>5</v>
      </c>
      <c r="F5" s="35">
        <v>345600</v>
      </c>
      <c r="G5" s="52">
        <v>20756</v>
      </c>
      <c r="H5" s="33" t="s">
        <v>71</v>
      </c>
    </row>
    <row r="6" spans="1:8" x14ac:dyDescent="0.3">
      <c r="A6" s="33">
        <v>10002</v>
      </c>
      <c r="B6" s="34">
        <v>42854</v>
      </c>
      <c r="C6" s="35">
        <v>250000.01</v>
      </c>
      <c r="D6" s="36" t="s">
        <v>61</v>
      </c>
      <c r="E6" s="39">
        <v>0</v>
      </c>
      <c r="F6" s="35">
        <v>255000</v>
      </c>
      <c r="G6" s="52">
        <v>20756</v>
      </c>
      <c r="H6" s="33"/>
    </row>
    <row r="7" spans="1:8" x14ac:dyDescent="0.3">
      <c r="A7" s="33">
        <v>10003</v>
      </c>
      <c r="B7" s="34">
        <v>42855</v>
      </c>
      <c r="C7" s="35">
        <v>250000.01</v>
      </c>
      <c r="D7" s="36" t="s">
        <v>72</v>
      </c>
      <c r="E7" s="39">
        <v>12</v>
      </c>
      <c r="F7" s="35">
        <v>255000</v>
      </c>
      <c r="G7" s="52">
        <v>20756</v>
      </c>
      <c r="H7" s="33"/>
    </row>
    <row r="8" spans="1:8" x14ac:dyDescent="0.3">
      <c r="A8" s="33">
        <v>10004</v>
      </c>
      <c r="B8" s="34">
        <v>42855</v>
      </c>
      <c r="C8" s="35">
        <v>250000.01</v>
      </c>
      <c r="D8" s="36" t="s">
        <v>61</v>
      </c>
      <c r="E8" s="39">
        <v>5</v>
      </c>
      <c r="F8" s="35">
        <v>265000</v>
      </c>
      <c r="G8" s="52">
        <v>20756</v>
      </c>
      <c r="H8" s="33"/>
    </row>
    <row r="9" spans="1:8" x14ac:dyDescent="0.3">
      <c r="A9" s="33">
        <v>10005</v>
      </c>
      <c r="B9" s="34">
        <v>42855</v>
      </c>
      <c r="C9" s="35">
        <v>250021</v>
      </c>
      <c r="D9" s="36" t="s">
        <v>73</v>
      </c>
      <c r="E9" s="39">
        <v>28</v>
      </c>
      <c r="F9" s="35">
        <v>255000</v>
      </c>
      <c r="G9" s="52">
        <v>20756</v>
      </c>
      <c r="H9" s="33" t="s">
        <v>71</v>
      </c>
    </row>
    <row r="10" spans="1:8" x14ac:dyDescent="0.3">
      <c r="A10" s="33">
        <v>10005</v>
      </c>
      <c r="B10" s="34">
        <v>42855</v>
      </c>
      <c r="C10" s="35">
        <v>250901</v>
      </c>
      <c r="D10" s="36" t="s">
        <v>74</v>
      </c>
      <c r="E10" s="39">
        <v>28</v>
      </c>
      <c r="F10" s="35">
        <v>255000</v>
      </c>
      <c r="G10" s="52">
        <v>20756</v>
      </c>
      <c r="H10" s="33" t="s">
        <v>71</v>
      </c>
    </row>
  </sheetData>
  <protectedRanges>
    <protectedRange sqref="A2:H3 A1:G1" name="Summary_2"/>
    <protectedRange sqref="H1" name="Summary_1_1"/>
  </protectedRange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1" sqref="F1"/>
    </sheetView>
  </sheetViews>
  <sheetFormatPr defaultRowHeight="14.4" x14ac:dyDescent="0.3"/>
  <cols>
    <col min="1" max="1" width="20.88671875" bestFit="1" customWidth="1"/>
    <col min="2" max="2" width="18.44140625" bestFit="1" customWidth="1"/>
    <col min="3" max="3" width="5.5546875" bestFit="1" customWidth="1"/>
    <col min="4" max="4" width="19.33203125" bestFit="1" customWidth="1"/>
    <col min="5" max="5" width="11.6640625" bestFit="1" customWidth="1"/>
    <col min="6" max="6" width="18.44140625" bestFit="1" customWidth="1"/>
  </cols>
  <sheetData>
    <row r="1" spans="1:6" x14ac:dyDescent="0.3">
      <c r="A1" s="57" t="s">
        <v>79</v>
      </c>
      <c r="B1" s="58"/>
      <c r="C1" s="59"/>
      <c r="D1" s="31"/>
      <c r="E1" s="31"/>
      <c r="F1" s="60"/>
    </row>
    <row r="2" spans="1:6" x14ac:dyDescent="0.3">
      <c r="A2" s="61"/>
      <c r="B2" s="24"/>
      <c r="C2" s="25"/>
      <c r="D2" s="25" t="s">
        <v>80</v>
      </c>
      <c r="E2" s="25" t="s">
        <v>51</v>
      </c>
      <c r="F2" s="61"/>
    </row>
    <row r="3" spans="1:6" x14ac:dyDescent="0.3">
      <c r="A3" s="50"/>
      <c r="B3" s="50"/>
      <c r="C3" s="31"/>
      <c r="D3" s="31">
        <f>SUM(D5:D40000)</f>
        <v>1226005.01</v>
      </c>
      <c r="E3" s="31">
        <f>SUM(E5:E40000)</f>
        <v>20756</v>
      </c>
      <c r="F3" s="50"/>
    </row>
    <row r="4" spans="1:6" x14ac:dyDescent="0.3">
      <c r="A4" s="32" t="s">
        <v>28</v>
      </c>
      <c r="B4" s="32" t="s">
        <v>55</v>
      </c>
      <c r="C4" s="32" t="s">
        <v>24</v>
      </c>
      <c r="D4" s="32" t="s">
        <v>59</v>
      </c>
      <c r="E4" s="32" t="s">
        <v>60</v>
      </c>
      <c r="F4" s="32" t="s">
        <v>58</v>
      </c>
    </row>
    <row r="5" spans="1:6" x14ac:dyDescent="0.3">
      <c r="A5" s="62" t="s">
        <v>81</v>
      </c>
      <c r="B5" s="36" t="s">
        <v>61</v>
      </c>
      <c r="C5" s="39">
        <v>5</v>
      </c>
      <c r="D5" s="39">
        <v>500000</v>
      </c>
      <c r="E5" s="39"/>
      <c r="F5" s="33" t="s">
        <v>71</v>
      </c>
    </row>
    <row r="6" spans="1:6" x14ac:dyDescent="0.3">
      <c r="A6" s="62" t="s">
        <v>82</v>
      </c>
      <c r="B6" s="36" t="s">
        <v>61</v>
      </c>
      <c r="C6" s="39">
        <v>28</v>
      </c>
      <c r="D6" s="39">
        <v>50000</v>
      </c>
      <c r="E6" s="39">
        <v>20756</v>
      </c>
      <c r="F6" s="33"/>
    </row>
    <row r="7" spans="1:6" x14ac:dyDescent="0.3">
      <c r="A7" s="62" t="s">
        <v>81</v>
      </c>
      <c r="B7" s="36" t="s">
        <v>72</v>
      </c>
      <c r="C7" s="39">
        <v>12</v>
      </c>
      <c r="D7" s="39">
        <v>250000</v>
      </c>
      <c r="E7" s="39"/>
      <c r="F7" s="33"/>
    </row>
    <row r="8" spans="1:6" x14ac:dyDescent="0.3">
      <c r="A8" s="63" t="s">
        <v>82</v>
      </c>
      <c r="B8" s="36" t="s">
        <v>61</v>
      </c>
      <c r="C8" s="39">
        <v>5</v>
      </c>
      <c r="D8" s="39">
        <v>76000.45</v>
      </c>
      <c r="E8" s="39"/>
      <c r="F8" s="33"/>
    </row>
    <row r="9" spans="1:6" x14ac:dyDescent="0.3">
      <c r="A9" s="62" t="s">
        <v>81</v>
      </c>
      <c r="B9" s="36" t="s">
        <v>73</v>
      </c>
      <c r="C9" s="39">
        <v>12</v>
      </c>
      <c r="D9" s="39">
        <v>350004.56</v>
      </c>
      <c r="E9" s="39"/>
      <c r="F9" s="33" t="s">
        <v>71</v>
      </c>
    </row>
    <row r="10" spans="1:6" x14ac:dyDescent="0.3">
      <c r="A10" s="62"/>
      <c r="B10" s="36"/>
      <c r="C10" s="39"/>
      <c r="D10" s="39"/>
      <c r="E10" s="39"/>
      <c r="F10" s="33"/>
    </row>
  </sheetData>
  <protectedRanges>
    <protectedRange sqref="B1:B3" name="Summary_1_1"/>
  </protectedRange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opLeftCell="E1" workbookViewId="0">
      <selection activeCell="M1" sqref="M1"/>
    </sheetView>
  </sheetViews>
  <sheetFormatPr defaultRowHeight="14.4" x14ac:dyDescent="0.3"/>
  <cols>
    <col min="1" max="1" width="23.33203125" bestFit="1" customWidth="1"/>
    <col min="2" max="2" width="13.5546875" customWidth="1"/>
    <col min="3" max="3" width="12.6640625" customWidth="1"/>
    <col min="4" max="4" width="26.33203125" customWidth="1"/>
    <col min="5" max="5" width="22.88671875" customWidth="1"/>
    <col min="6" max="6" width="14.33203125" bestFit="1" customWidth="1"/>
    <col min="7" max="7" width="25.109375" bestFit="1" customWidth="1"/>
    <col min="8" max="8" width="18.44140625" bestFit="1" customWidth="1"/>
    <col min="9" max="9" width="31.109375" bestFit="1" customWidth="1"/>
    <col min="10" max="10" width="5.5546875" bestFit="1" customWidth="1"/>
    <col min="11" max="11" width="18.6640625" bestFit="1" customWidth="1"/>
    <col min="12" max="12" width="11.6640625" bestFit="1" customWidth="1"/>
    <col min="13" max="13" width="8.33203125" bestFit="1" customWidth="1"/>
  </cols>
  <sheetData>
    <row r="1" spans="1:13" x14ac:dyDescent="0.3">
      <c r="A1" s="41" t="s">
        <v>83</v>
      </c>
      <c r="B1" s="64"/>
      <c r="C1" s="65"/>
      <c r="D1" s="44"/>
      <c r="E1" s="66"/>
      <c r="F1" s="44"/>
      <c r="G1" s="64"/>
      <c r="H1" s="44"/>
      <c r="I1" s="54"/>
      <c r="J1" s="45"/>
      <c r="K1" s="45"/>
      <c r="L1" s="45"/>
      <c r="M1" s="60"/>
    </row>
    <row r="2" spans="1:13" x14ac:dyDescent="0.3">
      <c r="A2" s="24" t="s">
        <v>76</v>
      </c>
      <c r="B2" s="26" t="s">
        <v>48</v>
      </c>
      <c r="C2" s="67"/>
      <c r="D2" s="24" t="s">
        <v>84</v>
      </c>
      <c r="E2" s="24"/>
      <c r="F2" s="24"/>
      <c r="G2" s="26"/>
      <c r="H2" s="24"/>
      <c r="I2" s="25" t="s">
        <v>85</v>
      </c>
      <c r="J2" s="25"/>
      <c r="K2" s="25" t="s">
        <v>50</v>
      </c>
      <c r="L2" s="25" t="s">
        <v>51</v>
      </c>
      <c r="M2" s="24"/>
    </row>
    <row r="3" spans="1:13" x14ac:dyDescent="0.3">
      <c r="A3" s="27">
        <f>SUMPRODUCT((A5:A40001&lt;&gt;"")/COUNTIF(A5:A40001,A5:A40001&amp;""))</f>
        <v>1.9999999999999998</v>
      </c>
      <c r="B3" s="29">
        <f>SUMPRODUCT((B5:B40001&lt;&gt;"")/COUNTIF(B5:B40001,B5:B40001&amp;""))</f>
        <v>4</v>
      </c>
      <c r="C3" s="68"/>
      <c r="D3" s="27">
        <f>SUMPRODUCT((D5:D40001&lt;&gt;"")/COUNTIF(D5:D40001,D5:D40001&amp;""))</f>
        <v>4</v>
      </c>
      <c r="E3" s="27"/>
      <c r="F3" s="50"/>
      <c r="G3" s="29"/>
      <c r="H3" s="50"/>
      <c r="I3" s="69">
        <f>SUMPRODUCT(1/COUNTIF(D5:D10001,D5:D10001&amp;""),I5:I10001)</f>
        <v>174000</v>
      </c>
      <c r="J3" s="31"/>
      <c r="K3" s="31">
        <f>SUM(K5:K10000)</f>
        <v>1050000</v>
      </c>
      <c r="L3" s="31">
        <f>SUM(L5:L10000)</f>
        <v>20756</v>
      </c>
      <c r="M3" s="50"/>
    </row>
    <row r="4" spans="1:13" x14ac:dyDescent="0.3">
      <c r="A4" s="70" t="s">
        <v>77</v>
      </c>
      <c r="B4" s="71" t="s">
        <v>86</v>
      </c>
      <c r="C4" s="72" t="s">
        <v>87</v>
      </c>
      <c r="D4" s="70" t="s">
        <v>88</v>
      </c>
      <c r="E4" s="72" t="s">
        <v>89</v>
      </c>
      <c r="F4" s="70" t="s">
        <v>90</v>
      </c>
      <c r="G4" s="71" t="s">
        <v>91</v>
      </c>
      <c r="H4" s="32" t="s">
        <v>55</v>
      </c>
      <c r="I4" s="73" t="s">
        <v>92</v>
      </c>
      <c r="J4" s="73" t="s">
        <v>24</v>
      </c>
      <c r="K4" s="73" t="s">
        <v>59</v>
      </c>
      <c r="L4" s="73" t="s">
        <v>60</v>
      </c>
      <c r="M4" s="70" t="s">
        <v>93</v>
      </c>
    </row>
    <row r="5" spans="1:13" x14ac:dyDescent="0.3">
      <c r="A5" s="33" t="s">
        <v>94</v>
      </c>
      <c r="B5" s="33">
        <v>1000</v>
      </c>
      <c r="C5" s="34">
        <v>42833</v>
      </c>
      <c r="D5" s="33">
        <v>90001</v>
      </c>
      <c r="E5" s="34">
        <v>42853</v>
      </c>
      <c r="F5" s="74" t="s">
        <v>95</v>
      </c>
      <c r="G5" s="75" t="s">
        <v>96</v>
      </c>
      <c r="H5" s="36" t="s">
        <v>61</v>
      </c>
      <c r="I5" s="39">
        <v>22000</v>
      </c>
      <c r="J5" s="39">
        <v>12</v>
      </c>
      <c r="K5" s="39">
        <v>50000</v>
      </c>
      <c r="L5" s="39"/>
      <c r="M5" s="37" t="s">
        <v>11</v>
      </c>
    </row>
    <row r="6" spans="1:13" x14ac:dyDescent="0.3">
      <c r="A6" s="33" t="s">
        <v>97</v>
      </c>
      <c r="B6" s="33" t="s">
        <v>98</v>
      </c>
      <c r="C6" s="34">
        <v>42833</v>
      </c>
      <c r="D6" s="33">
        <v>90002</v>
      </c>
      <c r="E6" s="34">
        <v>42854</v>
      </c>
      <c r="F6" s="74" t="s">
        <v>95</v>
      </c>
      <c r="G6" s="75" t="s">
        <v>96</v>
      </c>
      <c r="H6" s="36" t="s">
        <v>61</v>
      </c>
      <c r="I6" s="39">
        <v>50000</v>
      </c>
      <c r="J6" s="39">
        <v>12</v>
      </c>
      <c r="K6" s="39">
        <v>250000</v>
      </c>
      <c r="L6" s="39"/>
      <c r="M6" s="37" t="s">
        <v>11</v>
      </c>
    </row>
    <row r="7" spans="1:13" x14ac:dyDescent="0.3">
      <c r="A7" s="33" t="s">
        <v>97</v>
      </c>
      <c r="B7" s="33">
        <v>90203</v>
      </c>
      <c r="C7" s="76">
        <v>42855</v>
      </c>
      <c r="D7" s="33">
        <v>90003</v>
      </c>
      <c r="E7" s="34">
        <v>42855</v>
      </c>
      <c r="F7" s="74" t="s">
        <v>99</v>
      </c>
      <c r="G7" s="75" t="s">
        <v>100</v>
      </c>
      <c r="H7" s="36" t="s">
        <v>72</v>
      </c>
      <c r="I7" s="39">
        <v>52000</v>
      </c>
      <c r="J7" s="39">
        <v>5</v>
      </c>
      <c r="K7" s="39">
        <v>250000</v>
      </c>
      <c r="L7" s="39"/>
      <c r="M7" s="37" t="s">
        <v>101</v>
      </c>
    </row>
    <row r="8" spans="1:13" x14ac:dyDescent="0.3">
      <c r="A8" s="33" t="s">
        <v>97</v>
      </c>
      <c r="B8" s="33">
        <v>90204</v>
      </c>
      <c r="C8" s="76">
        <v>42849</v>
      </c>
      <c r="D8" s="77">
        <v>90004</v>
      </c>
      <c r="E8" s="34">
        <v>42850</v>
      </c>
      <c r="F8" s="74" t="s">
        <v>102</v>
      </c>
      <c r="G8" s="75" t="s">
        <v>103</v>
      </c>
      <c r="H8" s="36" t="s">
        <v>61</v>
      </c>
      <c r="I8" s="39">
        <v>50000</v>
      </c>
      <c r="J8" s="39">
        <v>5</v>
      </c>
      <c r="K8" s="39">
        <v>250000</v>
      </c>
      <c r="L8" s="39"/>
      <c r="M8" s="37" t="s">
        <v>101</v>
      </c>
    </row>
    <row r="9" spans="1:13" x14ac:dyDescent="0.3">
      <c r="A9" s="33" t="s">
        <v>94</v>
      </c>
      <c r="B9" s="33">
        <v>90204</v>
      </c>
      <c r="C9" s="34">
        <v>42849</v>
      </c>
      <c r="D9" s="33">
        <v>90004</v>
      </c>
      <c r="E9" s="34">
        <v>42850</v>
      </c>
      <c r="F9" s="74" t="s">
        <v>95</v>
      </c>
      <c r="G9" s="75" t="s">
        <v>103</v>
      </c>
      <c r="H9" s="36" t="s">
        <v>73</v>
      </c>
      <c r="I9" s="39">
        <v>50000</v>
      </c>
      <c r="J9" s="39">
        <v>18</v>
      </c>
      <c r="K9" s="39">
        <v>250000</v>
      </c>
      <c r="L9" s="39">
        <v>20756</v>
      </c>
      <c r="M9" s="37" t="s">
        <v>101</v>
      </c>
    </row>
  </sheetData>
  <protectedRanges>
    <protectedRange sqref="I1:I3" name="Summary_2_1"/>
    <protectedRange sqref="H1:H3" name="Summary_1_1_1"/>
  </protectedRange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opLeftCell="E1" workbookViewId="0">
      <selection activeCell="M1" sqref="M1"/>
    </sheetView>
  </sheetViews>
  <sheetFormatPr defaultRowHeight="14.4" x14ac:dyDescent="0.3"/>
  <cols>
    <col min="1" max="1" width="24.6640625" bestFit="1" customWidth="1"/>
    <col min="2" max="2" width="26.33203125" bestFit="1" customWidth="1"/>
    <col min="3" max="3" width="22.88671875" bestFit="1" customWidth="1"/>
    <col min="4" max="4" width="14.33203125" bestFit="1" customWidth="1"/>
    <col min="5" max="5" width="28.5546875" bestFit="1" customWidth="1"/>
    <col min="6" max="6" width="25.33203125" bestFit="1" customWidth="1"/>
    <col min="7" max="7" width="31.6640625" bestFit="1" customWidth="1"/>
    <col min="8" max="8" width="18.44140625" bestFit="1" customWidth="1"/>
    <col min="9" max="9" width="24.109375" bestFit="1" customWidth="1"/>
    <col min="10" max="10" width="5.5546875" bestFit="1" customWidth="1"/>
    <col min="11" max="11" width="18.6640625" bestFit="1" customWidth="1"/>
    <col min="12" max="12" width="11.6640625" bestFit="1" customWidth="1"/>
    <col min="13" max="13" width="8.33203125" bestFit="1" customWidth="1"/>
  </cols>
  <sheetData>
    <row r="1" spans="1:13" x14ac:dyDescent="0.3">
      <c r="A1" s="41" t="s">
        <v>104</v>
      </c>
      <c r="B1" s="44"/>
      <c r="C1" s="66"/>
      <c r="D1" s="44"/>
      <c r="E1" s="44"/>
      <c r="F1" s="44"/>
      <c r="G1" s="64"/>
      <c r="H1" s="44"/>
      <c r="I1" s="54"/>
      <c r="J1" s="43"/>
      <c r="K1" s="45"/>
      <c r="L1" s="45"/>
      <c r="M1" s="60"/>
    </row>
    <row r="2" spans="1:13" x14ac:dyDescent="0.3">
      <c r="A2" s="24"/>
      <c r="B2" s="24" t="s">
        <v>84</v>
      </c>
      <c r="C2" s="24"/>
      <c r="D2" s="24"/>
      <c r="E2" s="24" t="s">
        <v>48</v>
      </c>
      <c r="F2" s="24"/>
      <c r="G2" s="26"/>
      <c r="H2" s="24"/>
      <c r="I2" s="25" t="s">
        <v>105</v>
      </c>
      <c r="J2" s="48"/>
      <c r="K2" s="25" t="s">
        <v>50</v>
      </c>
      <c r="L2" s="25" t="s">
        <v>51</v>
      </c>
      <c r="M2" s="24"/>
    </row>
    <row r="3" spans="1:13" x14ac:dyDescent="0.3">
      <c r="A3" s="50"/>
      <c r="B3" s="27">
        <f>SUMPRODUCT((B5:B40001&lt;&gt;"")/COUNTIF(B5:B40001,B5:B40001&amp;""))</f>
        <v>5</v>
      </c>
      <c r="C3" s="27"/>
      <c r="D3" s="50"/>
      <c r="E3" s="27">
        <f>SUMPRODUCT((E5:E40001&lt;&gt;"")/COUNTIF(E5:E40001,E5:E40001&amp;""))</f>
        <v>4</v>
      </c>
      <c r="F3" s="50"/>
      <c r="G3" s="29"/>
      <c r="H3" s="50"/>
      <c r="I3" s="69">
        <f>SUMPRODUCT(1/COUNTIF(E5:E10001,E5:E10001&amp;""),I5:I10001)</f>
        <v>177000</v>
      </c>
      <c r="J3" s="78"/>
      <c r="K3" s="31">
        <f>SUM(K5:K10000)</f>
        <v>1250000</v>
      </c>
      <c r="L3" s="31">
        <f>SUM(L5:L10000)</f>
        <v>5410</v>
      </c>
      <c r="M3" s="50"/>
    </row>
    <row r="4" spans="1:13" x14ac:dyDescent="0.3">
      <c r="A4" s="79" t="s">
        <v>106</v>
      </c>
      <c r="B4" s="70" t="s">
        <v>88</v>
      </c>
      <c r="C4" s="72" t="s">
        <v>89</v>
      </c>
      <c r="D4" s="70" t="s">
        <v>90</v>
      </c>
      <c r="E4" s="71" t="s">
        <v>86</v>
      </c>
      <c r="F4" s="72" t="s">
        <v>87</v>
      </c>
      <c r="G4" s="71" t="s">
        <v>91</v>
      </c>
      <c r="H4" s="32" t="s">
        <v>55</v>
      </c>
      <c r="I4" s="73" t="s">
        <v>92</v>
      </c>
      <c r="J4" s="73" t="s">
        <v>24</v>
      </c>
      <c r="K4" s="73" t="s">
        <v>59</v>
      </c>
      <c r="L4" s="73" t="s">
        <v>60</v>
      </c>
      <c r="M4" s="70" t="s">
        <v>93</v>
      </c>
    </row>
    <row r="5" spans="1:13" x14ac:dyDescent="0.3">
      <c r="A5" s="74" t="s">
        <v>107</v>
      </c>
      <c r="B5" s="33">
        <v>90001</v>
      </c>
      <c r="C5" s="34">
        <v>42853</v>
      </c>
      <c r="D5" s="74" t="s">
        <v>95</v>
      </c>
      <c r="E5" s="33">
        <v>91113</v>
      </c>
      <c r="F5" s="80">
        <v>42853</v>
      </c>
      <c r="G5" s="75" t="s">
        <v>96</v>
      </c>
      <c r="H5" s="36" t="s">
        <v>61</v>
      </c>
      <c r="I5" s="39">
        <v>25000</v>
      </c>
      <c r="J5" s="39">
        <v>5</v>
      </c>
      <c r="K5" s="39">
        <v>250000</v>
      </c>
      <c r="L5" s="39"/>
      <c r="M5" s="37" t="s">
        <v>101</v>
      </c>
    </row>
    <row r="6" spans="1:13" x14ac:dyDescent="0.3">
      <c r="A6" s="74" t="s">
        <v>107</v>
      </c>
      <c r="B6" s="33">
        <v>90002</v>
      </c>
      <c r="C6" s="34">
        <v>42854</v>
      </c>
      <c r="D6" s="74" t="s">
        <v>95</v>
      </c>
      <c r="E6" s="33">
        <v>91114</v>
      </c>
      <c r="F6" s="80">
        <v>42854</v>
      </c>
      <c r="G6" s="75" t="s">
        <v>96</v>
      </c>
      <c r="H6" s="36" t="s">
        <v>61</v>
      </c>
      <c r="I6" s="39">
        <v>50000</v>
      </c>
      <c r="J6" s="39">
        <v>12</v>
      </c>
      <c r="K6" s="39">
        <v>250000</v>
      </c>
      <c r="L6" s="39"/>
      <c r="M6" s="37" t="s">
        <v>11</v>
      </c>
    </row>
    <row r="7" spans="1:13" x14ac:dyDescent="0.3">
      <c r="A7" s="74" t="s">
        <v>107</v>
      </c>
      <c r="B7" s="33">
        <v>90003</v>
      </c>
      <c r="C7" s="34">
        <v>42855</v>
      </c>
      <c r="D7" s="74" t="s">
        <v>102</v>
      </c>
      <c r="E7" s="33">
        <v>91115</v>
      </c>
      <c r="F7" s="80">
        <v>42855</v>
      </c>
      <c r="G7" s="75" t="s">
        <v>100</v>
      </c>
      <c r="H7" s="36" t="s">
        <v>72</v>
      </c>
      <c r="I7" s="39">
        <v>52000</v>
      </c>
      <c r="J7" s="39">
        <v>5</v>
      </c>
      <c r="K7" s="39">
        <v>250000</v>
      </c>
      <c r="L7" s="39">
        <v>2010</v>
      </c>
      <c r="M7" s="37" t="s">
        <v>101</v>
      </c>
    </row>
    <row r="8" spans="1:13" x14ac:dyDescent="0.3">
      <c r="A8" s="74" t="s">
        <v>107</v>
      </c>
      <c r="B8" s="77">
        <v>90004</v>
      </c>
      <c r="C8" s="34">
        <v>42849</v>
      </c>
      <c r="D8" s="74" t="s">
        <v>95</v>
      </c>
      <c r="E8" s="33">
        <v>91116</v>
      </c>
      <c r="F8" s="80">
        <v>42849</v>
      </c>
      <c r="G8" s="75" t="s">
        <v>103</v>
      </c>
      <c r="H8" s="36" t="s">
        <v>61</v>
      </c>
      <c r="I8" s="39">
        <v>50000</v>
      </c>
      <c r="J8" s="39">
        <v>5</v>
      </c>
      <c r="K8" s="39">
        <v>250000</v>
      </c>
      <c r="L8" s="39"/>
      <c r="M8" s="37" t="s">
        <v>101</v>
      </c>
    </row>
    <row r="9" spans="1:13" x14ac:dyDescent="0.3">
      <c r="A9" s="74" t="s">
        <v>108</v>
      </c>
      <c r="B9" s="33">
        <v>90005</v>
      </c>
      <c r="C9" s="34">
        <v>42849</v>
      </c>
      <c r="D9" s="74" t="s">
        <v>99</v>
      </c>
      <c r="E9" s="33">
        <v>91116</v>
      </c>
      <c r="F9" s="80">
        <v>42849</v>
      </c>
      <c r="G9" s="75" t="s">
        <v>109</v>
      </c>
      <c r="H9" s="36" t="s">
        <v>73</v>
      </c>
      <c r="I9" s="39">
        <v>50000</v>
      </c>
      <c r="J9" s="39">
        <v>28</v>
      </c>
      <c r="K9" s="39">
        <v>250000</v>
      </c>
      <c r="L9" s="39">
        <v>3400</v>
      </c>
      <c r="M9" s="37" t="s">
        <v>11</v>
      </c>
    </row>
    <row r="10" spans="1:13" x14ac:dyDescent="0.3">
      <c r="A10" s="74"/>
      <c r="B10" s="40"/>
      <c r="C10" s="81"/>
      <c r="D10" s="74"/>
      <c r="E10" s="40"/>
      <c r="F10" s="40"/>
      <c r="G10" s="75"/>
      <c r="H10" s="36"/>
      <c r="I10" s="39"/>
      <c r="J10" s="39"/>
      <c r="K10" s="39"/>
      <c r="L10" s="39"/>
      <c r="M10" s="37"/>
    </row>
  </sheetData>
  <protectedRanges>
    <protectedRange sqref="I1:I3" name="Summary_1_1"/>
    <protectedRange sqref="H1:H3" name="Summary_2_1"/>
  </protectedRange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F3" sqref="F3"/>
    </sheetView>
  </sheetViews>
  <sheetFormatPr defaultRowHeight="14.4" x14ac:dyDescent="0.3"/>
  <cols>
    <col min="1" max="1" width="19.6640625" bestFit="1" customWidth="1"/>
    <col min="2" max="2" width="14.33203125" bestFit="1" customWidth="1"/>
    <col min="3" max="3" width="10.6640625" bestFit="1" customWidth="1"/>
    <col min="4" max="4" width="18.33203125" bestFit="1" customWidth="1"/>
    <col min="5" max="5" width="9.33203125" bestFit="1" customWidth="1"/>
    <col min="6" max="6" width="18.44140625" bestFit="1" customWidth="1"/>
    <col min="7" max="7" width="15.5546875" bestFit="1" customWidth="1"/>
    <col min="8" max="8" width="5.5546875" bestFit="1" customWidth="1"/>
    <col min="9" max="9" width="18.6640625" bestFit="1" customWidth="1"/>
  </cols>
  <sheetData>
    <row r="1" spans="1:9" x14ac:dyDescent="0.3">
      <c r="A1" s="41" t="s">
        <v>110</v>
      </c>
      <c r="B1" s="44"/>
      <c r="C1" s="44"/>
      <c r="D1" s="45"/>
      <c r="E1" s="44"/>
      <c r="F1" s="44"/>
      <c r="G1" s="44"/>
      <c r="H1" s="45"/>
      <c r="I1" s="60"/>
    </row>
    <row r="2" spans="1:9" x14ac:dyDescent="0.3">
      <c r="A2" s="24"/>
      <c r="B2" s="24" t="s">
        <v>48</v>
      </c>
      <c r="C2" s="24"/>
      <c r="D2" s="25" t="s">
        <v>49</v>
      </c>
      <c r="E2" s="24"/>
      <c r="F2" s="24" t="s">
        <v>111</v>
      </c>
      <c r="G2" s="24"/>
      <c r="H2" s="25"/>
      <c r="I2" s="25" t="s">
        <v>50</v>
      </c>
    </row>
    <row r="3" spans="1:9" x14ac:dyDescent="0.3">
      <c r="A3" s="50"/>
      <c r="B3" s="27">
        <f>SUMPRODUCT((B5:B40001&lt;&gt;"")/COUNTIF(B5:B40001,B5:B40001&amp;""))</f>
        <v>6</v>
      </c>
      <c r="C3" s="50"/>
      <c r="D3" s="69">
        <f>SUMPRODUCT(1/COUNTIF(B5:B40001,B5:B40001&amp;""),D5:D40001)</f>
        <v>3116813.7199999997</v>
      </c>
      <c r="E3" s="50"/>
      <c r="F3" s="27">
        <f>SUMPRODUCT((F5:F40001&lt;&gt;"")/COUNTIF(F5:F40001,F5:F40001&amp;""))</f>
        <v>6</v>
      </c>
      <c r="G3" s="50"/>
      <c r="H3" s="31"/>
      <c r="I3" s="31">
        <f>SUM(I5:I40000)</f>
        <v>332659</v>
      </c>
    </row>
    <row r="4" spans="1:9" x14ac:dyDescent="0.3">
      <c r="A4" s="82" t="s">
        <v>112</v>
      </c>
      <c r="B4" s="82" t="s">
        <v>52</v>
      </c>
      <c r="C4" s="82" t="s">
        <v>53</v>
      </c>
      <c r="D4" s="83" t="s">
        <v>54</v>
      </c>
      <c r="E4" s="82" t="s">
        <v>113</v>
      </c>
      <c r="F4" s="82" t="s">
        <v>114</v>
      </c>
      <c r="G4" s="82" t="s">
        <v>115</v>
      </c>
      <c r="H4" s="83" t="s">
        <v>24</v>
      </c>
      <c r="I4" s="83" t="s">
        <v>59</v>
      </c>
    </row>
    <row r="5" spans="1:9" x14ac:dyDescent="0.3">
      <c r="A5" s="40" t="s">
        <v>116</v>
      </c>
      <c r="B5" s="33">
        <v>81510</v>
      </c>
      <c r="C5" s="80">
        <v>42853</v>
      </c>
      <c r="D5" s="39">
        <v>995048.36</v>
      </c>
      <c r="E5" s="81" t="s">
        <v>117</v>
      </c>
      <c r="F5" s="81">
        <v>184298</v>
      </c>
      <c r="G5" s="80">
        <v>42853</v>
      </c>
      <c r="H5" s="39">
        <v>5</v>
      </c>
      <c r="I5" s="39">
        <v>78788</v>
      </c>
    </row>
    <row r="6" spans="1:9" x14ac:dyDescent="0.3">
      <c r="A6" s="40" t="s">
        <v>116</v>
      </c>
      <c r="B6" s="33">
        <v>81511</v>
      </c>
      <c r="C6" s="80">
        <v>42854</v>
      </c>
      <c r="D6" s="39">
        <v>56990</v>
      </c>
      <c r="E6" s="81" t="s">
        <v>118</v>
      </c>
      <c r="F6" s="81">
        <v>184299</v>
      </c>
      <c r="G6" s="80">
        <v>42854</v>
      </c>
      <c r="H6" s="39">
        <v>0</v>
      </c>
      <c r="I6" s="39">
        <v>44545</v>
      </c>
    </row>
    <row r="7" spans="1:9" x14ac:dyDescent="0.3">
      <c r="A7" s="40" t="s">
        <v>119</v>
      </c>
      <c r="B7" s="33">
        <v>81512</v>
      </c>
      <c r="C7" s="80">
        <v>42855</v>
      </c>
      <c r="D7" s="39">
        <v>995048.36</v>
      </c>
      <c r="E7" s="81" t="s">
        <v>120</v>
      </c>
      <c r="F7" s="81">
        <v>184300</v>
      </c>
      <c r="G7" s="80">
        <v>42855</v>
      </c>
      <c r="H7" s="39">
        <v>12</v>
      </c>
      <c r="I7" s="39">
        <v>48644</v>
      </c>
    </row>
    <row r="8" spans="1:9" x14ac:dyDescent="0.3">
      <c r="A8" s="40" t="s">
        <v>119</v>
      </c>
      <c r="B8" s="33">
        <v>81519</v>
      </c>
      <c r="C8" s="80">
        <v>42853</v>
      </c>
      <c r="D8" s="39">
        <v>995048</v>
      </c>
      <c r="E8" s="81" t="s">
        <v>121</v>
      </c>
      <c r="F8" s="81">
        <v>184301</v>
      </c>
      <c r="G8" s="80">
        <v>42853</v>
      </c>
      <c r="H8" s="39">
        <v>5</v>
      </c>
      <c r="I8" s="39">
        <v>0</v>
      </c>
    </row>
    <row r="9" spans="1:9" x14ac:dyDescent="0.3">
      <c r="A9" s="40" t="s">
        <v>119</v>
      </c>
      <c r="B9" s="33">
        <v>81520</v>
      </c>
      <c r="C9" s="80">
        <v>42854</v>
      </c>
      <c r="D9" s="39">
        <v>39000</v>
      </c>
      <c r="E9" s="81" t="s">
        <v>122</v>
      </c>
      <c r="F9" s="81">
        <v>184302</v>
      </c>
      <c r="G9" s="80">
        <v>42854</v>
      </c>
      <c r="H9" s="39">
        <v>5</v>
      </c>
      <c r="I9" s="39">
        <v>54548</v>
      </c>
    </row>
    <row r="10" spans="1:9" x14ac:dyDescent="0.3">
      <c r="A10" s="40" t="s">
        <v>119</v>
      </c>
      <c r="B10" s="33">
        <v>81521</v>
      </c>
      <c r="C10" s="80">
        <v>42855</v>
      </c>
      <c r="D10" s="39">
        <v>35679</v>
      </c>
      <c r="E10" s="81" t="s">
        <v>123</v>
      </c>
      <c r="F10" s="81">
        <v>184303</v>
      </c>
      <c r="G10" s="80">
        <v>42855</v>
      </c>
      <c r="H10" s="39">
        <v>18</v>
      </c>
      <c r="I10" s="39">
        <v>55567</v>
      </c>
    </row>
    <row r="11" spans="1:9" x14ac:dyDescent="0.3">
      <c r="A11" s="40" t="s">
        <v>119</v>
      </c>
      <c r="B11" s="33">
        <v>81521</v>
      </c>
      <c r="C11" s="80">
        <v>42855</v>
      </c>
      <c r="D11" s="39">
        <v>35679</v>
      </c>
      <c r="E11" s="81" t="s">
        <v>123</v>
      </c>
      <c r="F11" s="81">
        <v>184303</v>
      </c>
      <c r="G11" s="80">
        <v>42855</v>
      </c>
      <c r="H11" s="39">
        <v>5</v>
      </c>
      <c r="I11" s="39">
        <v>50567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5" sqref="C5"/>
    </sheetView>
  </sheetViews>
  <sheetFormatPr defaultRowHeight="14.4" x14ac:dyDescent="0.3"/>
  <cols>
    <col min="1" max="1" width="32.33203125" customWidth="1"/>
    <col min="2" max="2" width="5.5546875" bestFit="1" customWidth="1"/>
    <col min="3" max="3" width="22.109375" bestFit="1" customWidth="1"/>
    <col min="4" max="4" width="11.6640625" bestFit="1" customWidth="1"/>
  </cols>
  <sheetData>
    <row r="1" spans="1:4" ht="27.6" x14ac:dyDescent="0.3">
      <c r="A1" s="84" t="s">
        <v>124</v>
      </c>
      <c r="B1" s="45"/>
      <c r="C1" s="85"/>
      <c r="D1" s="60"/>
    </row>
    <row r="2" spans="1:4" x14ac:dyDescent="0.3">
      <c r="A2" s="24"/>
      <c r="B2" s="25"/>
      <c r="C2" s="25" t="s">
        <v>125</v>
      </c>
      <c r="D2" s="25" t="s">
        <v>51</v>
      </c>
    </row>
    <row r="3" spans="1:4" x14ac:dyDescent="0.3">
      <c r="A3" s="27"/>
      <c r="B3" s="31"/>
      <c r="C3" s="31">
        <f>SUM(C5:C40000)</f>
        <v>102960</v>
      </c>
      <c r="D3" s="31">
        <f>SUM(D5:D40000)</f>
        <v>12720</v>
      </c>
    </row>
    <row r="4" spans="1:4" x14ac:dyDescent="0.3">
      <c r="A4" s="86" t="s">
        <v>55</v>
      </c>
      <c r="B4" s="87" t="s">
        <v>24</v>
      </c>
      <c r="C4" s="87" t="s">
        <v>126</v>
      </c>
      <c r="D4" s="88" t="s">
        <v>60</v>
      </c>
    </row>
    <row r="5" spans="1:4" x14ac:dyDescent="0.3">
      <c r="A5" s="36" t="s">
        <v>72</v>
      </c>
      <c r="B5" s="39">
        <v>12</v>
      </c>
      <c r="C5" s="89">
        <v>87515</v>
      </c>
      <c r="D5" s="39">
        <v>6819</v>
      </c>
    </row>
    <row r="6" spans="1:4" x14ac:dyDescent="0.3">
      <c r="A6" s="36" t="s">
        <v>73</v>
      </c>
      <c r="B6" s="39">
        <v>5</v>
      </c>
      <c r="C6" s="89">
        <v>15445</v>
      </c>
      <c r="D6" s="39">
        <v>5901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10" sqref="C10"/>
    </sheetView>
  </sheetViews>
  <sheetFormatPr defaultRowHeight="14.4" x14ac:dyDescent="0.3"/>
  <cols>
    <col min="1" max="1" width="31.5546875" customWidth="1"/>
    <col min="2" max="2" width="5.5546875" bestFit="1" customWidth="1"/>
    <col min="3" max="3" width="25.6640625" customWidth="1"/>
    <col min="4" max="4" width="11.6640625" bestFit="1" customWidth="1"/>
  </cols>
  <sheetData>
    <row r="1" spans="1:4" ht="27.6" x14ac:dyDescent="0.3">
      <c r="A1" s="84" t="s">
        <v>124</v>
      </c>
      <c r="B1" s="45"/>
      <c r="C1" s="85"/>
      <c r="D1" s="60"/>
    </row>
    <row r="2" spans="1:4" x14ac:dyDescent="0.3">
      <c r="A2" s="24"/>
      <c r="B2" s="25"/>
      <c r="C2" s="25" t="s">
        <v>127</v>
      </c>
      <c r="D2" s="25" t="s">
        <v>51</v>
      </c>
    </row>
    <row r="3" spans="1:4" x14ac:dyDescent="0.3">
      <c r="A3" s="27"/>
      <c r="B3" s="31"/>
      <c r="C3" s="31">
        <f>SUM(C5:C40000)</f>
        <v>45000</v>
      </c>
      <c r="D3" s="31">
        <f>SUM(D5:D40000)</f>
        <v>4500</v>
      </c>
    </row>
    <row r="4" spans="1:4" x14ac:dyDescent="0.3">
      <c r="A4" s="86" t="s">
        <v>55</v>
      </c>
      <c r="B4" s="87" t="s">
        <v>24</v>
      </c>
      <c r="C4" s="87" t="s">
        <v>128</v>
      </c>
      <c r="D4" s="88" t="s">
        <v>60</v>
      </c>
    </row>
    <row r="5" spans="1:4" x14ac:dyDescent="0.3">
      <c r="A5" s="36" t="s">
        <v>67</v>
      </c>
      <c r="B5" s="39">
        <v>12</v>
      </c>
      <c r="C5" s="89">
        <v>30000</v>
      </c>
      <c r="D5" s="39">
        <v>2300</v>
      </c>
    </row>
    <row r="6" spans="1:4" x14ac:dyDescent="0.3">
      <c r="A6" s="36" t="s">
        <v>74</v>
      </c>
      <c r="B6" s="39">
        <v>18</v>
      </c>
      <c r="C6" s="89">
        <v>15000</v>
      </c>
      <c r="D6" s="39">
        <v>2200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22" sqref="A22"/>
    </sheetView>
  </sheetViews>
  <sheetFormatPr defaultRowHeight="14.4" x14ac:dyDescent="0.3"/>
  <cols>
    <col min="1" max="1" width="36" bestFit="1" customWidth="1"/>
    <col min="2" max="2" width="22.44140625" bestFit="1" customWidth="1"/>
    <col min="3" max="3" width="22.6640625" bestFit="1" customWidth="1"/>
    <col min="4" max="4" width="22.44140625" bestFit="1" customWidth="1"/>
  </cols>
  <sheetData>
    <row r="1" spans="1:4" ht="27.6" x14ac:dyDescent="0.3">
      <c r="A1" s="84" t="s">
        <v>129</v>
      </c>
      <c r="B1" s="85"/>
      <c r="C1" s="45"/>
      <c r="D1" s="60"/>
    </row>
    <row r="2" spans="1:4" x14ac:dyDescent="0.3">
      <c r="A2" s="24"/>
      <c r="B2" s="25" t="s">
        <v>130</v>
      </c>
      <c r="C2" s="25" t="s">
        <v>131</v>
      </c>
      <c r="D2" s="25" t="s">
        <v>132</v>
      </c>
    </row>
    <row r="3" spans="1:4" x14ac:dyDescent="0.3">
      <c r="A3" s="27"/>
      <c r="B3" s="31">
        <f>SUM(B5:B8)</f>
        <v>415000</v>
      </c>
      <c r="C3" s="31">
        <f>SUM(C5:C8)</f>
        <v>622200</v>
      </c>
      <c r="D3" s="31">
        <f>SUM(D5:D8)</f>
        <v>724687</v>
      </c>
    </row>
    <row r="4" spans="1:4" ht="28.2" x14ac:dyDescent="0.3">
      <c r="A4" s="90" t="s">
        <v>20</v>
      </c>
      <c r="B4" s="91" t="s">
        <v>133</v>
      </c>
      <c r="C4" s="92" t="s">
        <v>134</v>
      </c>
      <c r="D4" s="93" t="s">
        <v>135</v>
      </c>
    </row>
    <row r="5" spans="1:4" x14ac:dyDescent="0.3">
      <c r="A5" s="44" t="s">
        <v>136</v>
      </c>
      <c r="B5" s="35">
        <v>100000</v>
      </c>
      <c r="C5" s="35">
        <v>200000</v>
      </c>
      <c r="D5" s="35">
        <v>300000</v>
      </c>
    </row>
    <row r="6" spans="1:4" x14ac:dyDescent="0.3">
      <c r="A6" s="44" t="s">
        <v>137</v>
      </c>
      <c r="B6" s="35">
        <v>150000</v>
      </c>
      <c r="C6" s="35">
        <v>300000</v>
      </c>
      <c r="D6" s="35">
        <v>235000</v>
      </c>
    </row>
    <row r="7" spans="1:4" x14ac:dyDescent="0.3">
      <c r="A7" s="44" t="s">
        <v>138</v>
      </c>
      <c r="B7" s="35">
        <v>75000</v>
      </c>
      <c r="C7" s="35">
        <v>45300</v>
      </c>
      <c r="D7" s="35">
        <v>89687</v>
      </c>
    </row>
    <row r="8" spans="1:4" x14ac:dyDescent="0.3">
      <c r="A8" s="44" t="s">
        <v>139</v>
      </c>
      <c r="B8" s="35">
        <v>90000</v>
      </c>
      <c r="C8" s="35">
        <v>76900</v>
      </c>
      <c r="D8" s="35">
        <v>100000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D18" sqref="D18"/>
    </sheetView>
  </sheetViews>
  <sheetFormatPr defaultRowHeight="14.4" x14ac:dyDescent="0.3"/>
  <cols>
    <col min="1" max="1" width="21.109375" bestFit="1" customWidth="1"/>
    <col min="2" max="2" width="13.33203125" bestFit="1" customWidth="1"/>
    <col min="3" max="3" width="18.5546875" bestFit="1" customWidth="1"/>
    <col min="4" max="4" width="12.6640625" bestFit="1" customWidth="1"/>
    <col min="5" max="5" width="11.109375" bestFit="1" customWidth="1"/>
    <col min="6" max="6" width="18.6640625" bestFit="1" customWidth="1"/>
    <col min="7" max="7" width="19.88671875" bestFit="1" customWidth="1"/>
    <col min="8" max="8" width="17.6640625" bestFit="1" customWidth="1"/>
    <col min="9" max="9" width="19.33203125" bestFit="1" customWidth="1"/>
    <col min="10" max="10" width="11.6640625" bestFit="1" customWidth="1"/>
  </cols>
  <sheetData>
    <row r="1" spans="1:10" ht="15" thickBot="1" x14ac:dyDescent="0.35">
      <c r="A1" s="41" t="s">
        <v>140</v>
      </c>
      <c r="B1" s="64"/>
      <c r="C1" s="44"/>
      <c r="D1" s="44"/>
      <c r="E1" s="43"/>
      <c r="F1" s="43"/>
      <c r="G1" s="43"/>
      <c r="H1" s="43"/>
      <c r="I1" s="43"/>
      <c r="J1" s="60"/>
    </row>
    <row r="2" spans="1:10" ht="15" thickBot="1" x14ac:dyDescent="0.35">
      <c r="A2" s="94" t="s">
        <v>141</v>
      </c>
      <c r="B2" s="95"/>
      <c r="C2" s="96"/>
      <c r="D2" s="96"/>
      <c r="E2" s="97" t="s">
        <v>142</v>
      </c>
      <c r="F2" s="97" t="s">
        <v>50</v>
      </c>
      <c r="G2" s="98" t="s">
        <v>143</v>
      </c>
      <c r="H2" s="98" t="s">
        <v>144</v>
      </c>
      <c r="I2" s="98" t="s">
        <v>145</v>
      </c>
      <c r="J2" s="99" t="s">
        <v>51</v>
      </c>
    </row>
    <row r="3" spans="1:10" x14ac:dyDescent="0.3">
      <c r="A3" s="100">
        <f>SUMPRODUCT((A5:A40001&lt;&gt;"")/COUNTIF(A5:A40001,A5:A40001&amp;""))</f>
        <v>4</v>
      </c>
      <c r="B3" s="101"/>
      <c r="C3" s="102"/>
      <c r="D3" s="103"/>
      <c r="E3" s="104">
        <f t="shared" ref="E3:J3" si="0">SUM(E5:E40000)</f>
        <v>499384.8039</v>
      </c>
      <c r="F3" s="104">
        <f t="shared" si="0"/>
        <v>54.150000000000006</v>
      </c>
      <c r="G3" s="104">
        <f t="shared" si="0"/>
        <v>2147.04</v>
      </c>
      <c r="H3" s="104">
        <f t="shared" si="0"/>
        <v>8103</v>
      </c>
      <c r="I3" s="104">
        <f t="shared" si="0"/>
        <v>11771</v>
      </c>
      <c r="J3" s="105">
        <f t="shared" si="0"/>
        <v>1503</v>
      </c>
    </row>
    <row r="4" spans="1:10" x14ac:dyDescent="0.3">
      <c r="A4" s="32" t="s">
        <v>7</v>
      </c>
      <c r="B4" s="32" t="s">
        <v>20</v>
      </c>
      <c r="C4" s="32" t="s">
        <v>146</v>
      </c>
      <c r="D4" s="32" t="s">
        <v>147</v>
      </c>
      <c r="E4" s="88" t="s">
        <v>142</v>
      </c>
      <c r="F4" s="88" t="s">
        <v>59</v>
      </c>
      <c r="G4" s="88" t="s">
        <v>148</v>
      </c>
      <c r="H4" s="88" t="s">
        <v>149</v>
      </c>
      <c r="I4" s="88" t="s">
        <v>150</v>
      </c>
      <c r="J4" s="88" t="s">
        <v>60</v>
      </c>
    </row>
    <row r="5" spans="1:10" x14ac:dyDescent="0.3">
      <c r="A5" s="81">
        <v>34</v>
      </c>
      <c r="B5" s="33" t="s">
        <v>151</v>
      </c>
      <c r="C5" s="40" t="s">
        <v>152</v>
      </c>
      <c r="D5" s="40">
        <v>2.0499999999999998</v>
      </c>
      <c r="E5" s="35">
        <v>99876.36</v>
      </c>
      <c r="F5" s="35">
        <v>10.23</v>
      </c>
      <c r="G5" s="35">
        <v>214.52</v>
      </c>
      <c r="H5" s="35">
        <v>600</v>
      </c>
      <c r="I5" s="35">
        <v>500</v>
      </c>
      <c r="J5" s="35">
        <v>300</v>
      </c>
    </row>
    <row r="6" spans="1:10" x14ac:dyDescent="0.3">
      <c r="A6" s="81">
        <v>1001</v>
      </c>
      <c r="B6" s="33" t="s">
        <v>153</v>
      </c>
      <c r="C6" s="40" t="s">
        <v>154</v>
      </c>
      <c r="D6" s="40">
        <v>2.0499999999999998</v>
      </c>
      <c r="E6" s="35">
        <v>99876.36</v>
      </c>
      <c r="F6" s="35">
        <v>10.23</v>
      </c>
      <c r="G6" s="35">
        <v>14.52</v>
      </c>
      <c r="H6" s="35">
        <v>600</v>
      </c>
      <c r="I6" s="35">
        <v>500</v>
      </c>
      <c r="J6" s="35">
        <v>300</v>
      </c>
    </row>
    <row r="7" spans="1:10" x14ac:dyDescent="0.3">
      <c r="A7" s="81">
        <v>10083214</v>
      </c>
      <c r="B7" s="33" t="s">
        <v>155</v>
      </c>
      <c r="C7" s="40" t="s">
        <v>156</v>
      </c>
      <c r="D7" s="40">
        <v>3.05</v>
      </c>
      <c r="E7" s="35">
        <v>99877.361300000004</v>
      </c>
      <c r="F7" s="35">
        <v>11.23</v>
      </c>
      <c r="G7" s="35">
        <v>678</v>
      </c>
      <c r="H7" s="35">
        <v>601</v>
      </c>
      <c r="I7" s="35">
        <v>501</v>
      </c>
      <c r="J7" s="35">
        <v>301</v>
      </c>
    </row>
    <row r="8" spans="1:10" x14ac:dyDescent="0.3">
      <c r="A8" s="81">
        <v>10083214</v>
      </c>
      <c r="B8" s="33" t="s">
        <v>157</v>
      </c>
      <c r="C8" s="40" t="s">
        <v>152</v>
      </c>
      <c r="D8" s="40">
        <v>3.05</v>
      </c>
      <c r="E8" s="35">
        <v>99877.361300000004</v>
      </c>
      <c r="F8" s="35">
        <v>11.23</v>
      </c>
      <c r="G8" s="35">
        <v>895</v>
      </c>
      <c r="H8" s="35">
        <v>701</v>
      </c>
      <c r="I8" s="35">
        <v>501</v>
      </c>
      <c r="J8" s="35">
        <v>301</v>
      </c>
    </row>
    <row r="9" spans="1:10" x14ac:dyDescent="0.3">
      <c r="A9" s="81">
        <v>3456721</v>
      </c>
      <c r="B9" s="33" t="s">
        <v>158</v>
      </c>
      <c r="C9" s="40" t="s">
        <v>159</v>
      </c>
      <c r="D9" s="40">
        <v>3.05</v>
      </c>
      <c r="E9" s="35">
        <v>99877.361300000004</v>
      </c>
      <c r="F9" s="35">
        <v>11.23</v>
      </c>
      <c r="G9" s="35">
        <v>345</v>
      </c>
      <c r="H9" s="35">
        <v>5601</v>
      </c>
      <c r="I9" s="35">
        <v>9769</v>
      </c>
      <c r="J9" s="35">
        <v>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workbookViewId="0">
      <selection activeCell="D21" sqref="D21"/>
    </sheetView>
  </sheetViews>
  <sheetFormatPr defaultRowHeight="14.4" x14ac:dyDescent="0.3"/>
  <cols>
    <col min="1" max="1" width="5" bestFit="1" customWidth="1"/>
    <col min="2" max="2" width="31" bestFit="1" customWidth="1"/>
    <col min="3" max="3" width="17.44140625" bestFit="1" customWidth="1"/>
    <col min="4" max="4" width="11.44140625" customWidth="1"/>
    <col min="5" max="5" width="9.88671875" customWidth="1"/>
    <col min="6" max="6" width="10.6640625" customWidth="1"/>
    <col min="7" max="8" width="10.33203125" customWidth="1"/>
    <col min="9" max="9" width="11.21875" customWidth="1"/>
  </cols>
  <sheetData>
    <row r="1" spans="1:10" ht="15.6" thickTop="1" thickBot="1" x14ac:dyDescent="0.35">
      <c r="A1" s="144"/>
      <c r="B1" s="144"/>
      <c r="C1" s="145" t="s">
        <v>287</v>
      </c>
      <c r="D1" s="145"/>
      <c r="E1" s="145"/>
      <c r="F1" s="145"/>
      <c r="G1" s="145"/>
      <c r="H1" s="151" t="s">
        <v>288</v>
      </c>
      <c r="I1" s="153" t="s">
        <v>289</v>
      </c>
      <c r="J1" s="152">
        <v>2017</v>
      </c>
    </row>
    <row r="2" spans="1:10" ht="15" thickBot="1" x14ac:dyDescent="0.35">
      <c r="A2" s="146" t="s">
        <v>299</v>
      </c>
      <c r="B2" s="146" t="s">
        <v>15</v>
      </c>
      <c r="C2" s="147" t="s">
        <v>0</v>
      </c>
      <c r="D2" s="147" t="s">
        <v>19</v>
      </c>
      <c r="E2" s="147" t="s">
        <v>31</v>
      </c>
      <c r="F2" s="148" t="s">
        <v>25</v>
      </c>
      <c r="G2" s="149" t="s">
        <v>1</v>
      </c>
      <c r="H2" s="149" t="s">
        <v>2</v>
      </c>
      <c r="I2" s="149" t="s">
        <v>3</v>
      </c>
      <c r="J2" s="150" t="s">
        <v>4</v>
      </c>
    </row>
    <row r="3" spans="1:10" ht="15.6" thickTop="1" thickBot="1" x14ac:dyDescent="0.35">
      <c r="A3" s="155"/>
      <c r="B3" s="155"/>
      <c r="C3" s="2"/>
      <c r="D3" s="2" t="s">
        <v>18</v>
      </c>
      <c r="E3" s="2" t="s">
        <v>32</v>
      </c>
      <c r="F3" s="10" t="s">
        <v>18</v>
      </c>
      <c r="G3" s="2" t="s">
        <v>18</v>
      </c>
      <c r="H3" s="2" t="s">
        <v>18</v>
      </c>
      <c r="I3" s="2" t="s">
        <v>18</v>
      </c>
      <c r="J3" s="156" t="s">
        <v>18</v>
      </c>
    </row>
    <row r="4" spans="1:10" x14ac:dyDescent="0.3">
      <c r="A4" s="157">
        <v>1</v>
      </c>
      <c r="B4" s="157" t="s">
        <v>40</v>
      </c>
      <c r="C4" s="256" t="s">
        <v>39</v>
      </c>
      <c r="D4" s="123">
        <f>SUMIF(SALES!$B$7:$B$488,'PARTYWISE SALE'!$C$4:$C$153,SALES!$E$7:$E$488)</f>
        <v>194465.46</v>
      </c>
      <c r="E4" s="123">
        <f>SUMIF(SALES!$B$7:$B$488,'PARTYWISE SALE'!$C$4:$C$153,SALES!$V$7:$V$488)</f>
        <v>580</v>
      </c>
      <c r="F4" s="123">
        <f>SUMIF(SALES!$B$7:$B$488,'PARTYWISE SALE'!$C$4:$C$153,SALES!$K$7:$K$488)</f>
        <v>164801.20000000001</v>
      </c>
      <c r="G4" s="123">
        <f>SUMIF(SALES!$B$7:$B$488,'PARTYWISE SALE'!$C$4:$C$153,SALES!$L$7:$L$488)</f>
        <v>0</v>
      </c>
      <c r="H4" s="123">
        <f>SUMIF(SALES!$B$7:$B$488,'PARTYWISE SALE'!$C$4:$C$153,SALES!$M$7:$M$488)</f>
        <v>14832.108</v>
      </c>
      <c r="I4" s="123">
        <f>SUMIF(SALES!$B$7:$B$488,'PARTYWISE SALE'!$C$4:$C$153,SALES!$N$7:$N$488)</f>
        <v>14832.108</v>
      </c>
      <c r="J4" s="158">
        <f>SUMIF(SALES!$B$7:$B$488,'PARTYWISE SALE'!$C$4:$C$153,SALES!$O$7:$O$488)</f>
        <v>0</v>
      </c>
    </row>
    <row r="5" spans="1:10" x14ac:dyDescent="0.3">
      <c r="A5" s="159">
        <v>2</v>
      </c>
      <c r="B5" s="159" t="s">
        <v>6</v>
      </c>
      <c r="C5" s="121" t="s">
        <v>5</v>
      </c>
      <c r="D5" s="124">
        <f>SUMIF(SALES!$B$7:$B$488,'PARTYWISE SALE'!$C$4:$C$153,SALES!$E$7:$E$488)</f>
        <v>5549482.1600000011</v>
      </c>
      <c r="E5" s="124">
        <f>SUMIF(SALES!$B$7:$B$488,'PARTYWISE SALE'!$C$4:$C$153,SALES!$V$7:$V$488)</f>
        <v>56638</v>
      </c>
      <c r="F5" s="124">
        <f>SUMIF(SALES!$B$7:$B$488,'PARTYWISE SALE'!$C$4:$C$153,SALES!$K$7:$K$488)</f>
        <v>4335532.919999999</v>
      </c>
      <c r="G5" s="124">
        <f>SUMIF(SALES!$B$7:$B$488,'PARTYWISE SALE'!$C$4:$C$153,SALES!$L$7:$L$488)</f>
        <v>0</v>
      </c>
      <c r="H5" s="124">
        <f>SUMIF(SALES!$B$7:$B$488,'PARTYWISE SALE'!$C$4:$C$153,SALES!$M$7:$M$488)</f>
        <v>606974.6188000004</v>
      </c>
      <c r="I5" s="124">
        <f>SUMIF(SALES!$B$7:$B$488,'PARTYWISE SALE'!$C$4:$C$153,SALES!$N$7:$N$488)</f>
        <v>606974.6188000004</v>
      </c>
      <c r="J5" s="160">
        <f>SUMIF(SALES!$B$7:$B$488,'PARTYWISE SALE'!$C$4:$C$153,SALES!$O$7:$O$488)</f>
        <v>0</v>
      </c>
    </row>
    <row r="6" spans="1:10" x14ac:dyDescent="0.3">
      <c r="A6" s="159">
        <v>3</v>
      </c>
      <c r="B6" s="159" t="s">
        <v>180</v>
      </c>
      <c r="C6" s="121" t="s">
        <v>360</v>
      </c>
      <c r="D6" s="124">
        <f>SUMIF(SALES!$B$7:$B$488,'PARTYWISE SALE'!$C$4:$C$153,SALES!$E$7:$E$488)</f>
        <v>1346722.24</v>
      </c>
      <c r="E6" s="124">
        <f>SUMIF(SALES!$B$7:$B$488,'PARTYWISE SALE'!$C$4:$C$153,SALES!$V$7:$V$488)</f>
        <v>4302</v>
      </c>
      <c r="F6" s="124">
        <f>SUMIF(SALES!$B$7:$B$488,'PARTYWISE SALE'!$C$4:$C$153,SALES!$K$7:$K$488)</f>
        <v>1052126.72</v>
      </c>
      <c r="G6" s="124">
        <f>SUMIF(SALES!$B$7:$B$488,'PARTYWISE SALE'!$C$4:$C$153,SALES!$L$7:$L$488)</f>
        <v>0</v>
      </c>
      <c r="H6" s="124">
        <f>SUMIF(SALES!$B$7:$B$488,'PARTYWISE SALE'!$C$4:$C$153,SALES!$M$7:$M$488)</f>
        <v>147297.76080000002</v>
      </c>
      <c r="I6" s="124">
        <f>SUMIF(SALES!$B$7:$B$488,'PARTYWISE SALE'!$C$4:$C$153,SALES!$N$7:$N$488)</f>
        <v>147297.76080000002</v>
      </c>
      <c r="J6" s="160">
        <f>SUMIF(SALES!$B$7:$B$488,'PARTYWISE SALE'!$C$4:$C$153,SALES!$O$7:$O$488)</f>
        <v>0</v>
      </c>
    </row>
    <row r="7" spans="1:10" x14ac:dyDescent="0.3">
      <c r="A7" s="159">
        <v>4</v>
      </c>
      <c r="B7" s="159" t="s">
        <v>184</v>
      </c>
      <c r="C7" s="121" t="s">
        <v>183</v>
      </c>
      <c r="D7" s="124">
        <f>SUMIF(SALES!$B$7:$B$488,'PARTYWISE SALE'!$C$4:$C$153,SALES!$E$7:$E$488)</f>
        <v>161933.70000000001</v>
      </c>
      <c r="E7" s="124">
        <f>SUMIF(SALES!$B$7:$B$488,'PARTYWISE SALE'!$C$4:$C$153,SALES!$V$7:$V$488)</f>
        <v>148</v>
      </c>
      <c r="F7" s="124">
        <f>SUMIF(SALES!$B$7:$B$488,'PARTYWISE SALE'!$C$4:$C$153,SALES!$K$7:$K$488)</f>
        <v>126510.70999999999</v>
      </c>
      <c r="G7" s="124">
        <f>SUMIF(SALES!$B$7:$B$488,'PARTYWISE SALE'!$C$4:$C$153,SALES!$L$7:$L$488)</f>
        <v>35422.998799999994</v>
      </c>
      <c r="H7" s="124">
        <f>SUMIF(SALES!$B$7:$B$488,'PARTYWISE SALE'!$C$4:$C$153,SALES!$M$7:$M$488)</f>
        <v>0</v>
      </c>
      <c r="I7" s="124">
        <f>SUMIF(SALES!$B$7:$B$488,'PARTYWISE SALE'!$C$4:$C$153,SALES!$N$7:$N$488)</f>
        <v>0</v>
      </c>
      <c r="J7" s="160">
        <f>SUMIF(SALES!$B$7:$B$488,'PARTYWISE SALE'!$C$4:$C$153,SALES!$O$7:$O$488)</f>
        <v>0</v>
      </c>
    </row>
    <row r="8" spans="1:10" x14ac:dyDescent="0.3">
      <c r="A8" s="159">
        <v>5</v>
      </c>
      <c r="B8" s="159" t="s">
        <v>181</v>
      </c>
      <c r="C8" s="121" t="s">
        <v>182</v>
      </c>
      <c r="D8" s="124">
        <f>SUMIF(SALES!$B$7:$B$488,'PARTYWISE SALE'!$C$4:$C$153,SALES!$E$7:$E$488)</f>
        <v>189584.90000000002</v>
      </c>
      <c r="E8" s="124">
        <f>SUMIF(SALES!$B$7:$B$488,'PARTYWISE SALE'!$C$4:$C$153,SALES!$V$7:$V$488)</f>
        <v>110430</v>
      </c>
      <c r="F8" s="124">
        <f>SUMIF(SALES!$B$7:$B$488,'PARTYWISE SALE'!$C$4:$C$153,SALES!$K$7:$K$488)</f>
        <v>148113.20000000001</v>
      </c>
      <c r="G8" s="124">
        <f>SUMIF(SALES!$B$7:$B$488,'PARTYWISE SALE'!$C$4:$C$153,SALES!$L$7:$L$488)</f>
        <v>0</v>
      </c>
      <c r="H8" s="124">
        <f>SUMIF(SALES!$B$7:$B$488,'PARTYWISE SALE'!$C$4:$C$153,SALES!$M$7:$M$488)</f>
        <v>20735.848000000002</v>
      </c>
      <c r="I8" s="124">
        <f>SUMIF(SALES!$B$7:$B$488,'PARTYWISE SALE'!$C$4:$C$153,SALES!$N$7:$N$488)</f>
        <v>20735.848000000002</v>
      </c>
      <c r="J8" s="160">
        <f>SUMIF(SALES!$B$7:$B$488,'PARTYWISE SALE'!$C$4:$C$153,SALES!$O$7:$O$488)</f>
        <v>0</v>
      </c>
    </row>
    <row r="9" spans="1:10" x14ac:dyDescent="0.3">
      <c r="A9" s="159">
        <v>6</v>
      </c>
      <c r="B9" s="159" t="s">
        <v>186</v>
      </c>
      <c r="C9" s="121" t="s">
        <v>187</v>
      </c>
      <c r="D9" s="124">
        <f>SUMIF(SALES!$B$7:$B$488,'PARTYWISE SALE'!$C$4:$C$153,SALES!$E$7:$E$488)</f>
        <v>1195776</v>
      </c>
      <c r="E9" s="124">
        <f>SUMIF(SALES!$B$7:$B$488,'PARTYWISE SALE'!$C$4:$C$153,SALES!$V$7:$V$488)</f>
        <v>37368</v>
      </c>
      <c r="F9" s="124">
        <f>SUMIF(SALES!$B$7:$B$488,'PARTYWISE SALE'!$C$4:$C$153,SALES!$K$7:$K$488)</f>
        <v>934200</v>
      </c>
      <c r="G9" s="124">
        <f>SUMIF(SALES!$B$7:$B$488,'PARTYWISE SALE'!$C$4:$C$153,SALES!$L$7:$L$488)</f>
        <v>0</v>
      </c>
      <c r="H9" s="124">
        <f>SUMIF(SALES!$B$7:$B$488,'PARTYWISE SALE'!$C$4:$C$153,SALES!$M$7:$M$488)</f>
        <v>130788</v>
      </c>
      <c r="I9" s="124">
        <f>SUMIF(SALES!$B$7:$B$488,'PARTYWISE SALE'!$C$4:$C$153,SALES!$N$7:$N$488)</f>
        <v>130788</v>
      </c>
      <c r="J9" s="160">
        <f>SUMIF(SALES!$B$7:$B$488,'PARTYWISE SALE'!$C$4:$C$153,SALES!$O$7:$O$488)</f>
        <v>0</v>
      </c>
    </row>
    <row r="10" spans="1:10" x14ac:dyDescent="0.3">
      <c r="A10" s="159">
        <v>7</v>
      </c>
      <c r="B10" s="159" t="s">
        <v>179</v>
      </c>
      <c r="C10" s="121" t="s">
        <v>178</v>
      </c>
      <c r="D10" s="124">
        <f>SUMIF(SALES!$B$7:$B$488,'PARTYWISE SALE'!$C$4:$C$153,SALES!$E$7:$E$488)</f>
        <v>947644.41000000015</v>
      </c>
      <c r="E10" s="124">
        <f>SUMIF(SALES!$B$7:$B$488,'PARTYWISE SALE'!$C$4:$C$153,SALES!$V$7:$V$488)</f>
        <v>27059</v>
      </c>
      <c r="F10" s="124">
        <f>SUMIF(SALES!$B$7:$B$488,'PARTYWISE SALE'!$C$4:$C$153,SALES!$K$7:$K$488)</f>
        <v>740347.17</v>
      </c>
      <c r="G10" s="124">
        <f>SUMIF(SALES!$B$7:$B$488,'PARTYWISE SALE'!$C$4:$C$153,SALES!$L$7:$L$488)</f>
        <v>0</v>
      </c>
      <c r="H10" s="124">
        <f>SUMIF(SALES!$B$7:$B$488,'PARTYWISE SALE'!$C$4:$C$153,SALES!$M$7:$M$488)</f>
        <v>103648.60380000001</v>
      </c>
      <c r="I10" s="124">
        <f>SUMIF(SALES!$B$7:$B$488,'PARTYWISE SALE'!$C$4:$C$153,SALES!$N$7:$N$488)</f>
        <v>103648.60380000001</v>
      </c>
      <c r="J10" s="160">
        <f>SUMIF(SALES!$B$7:$B$488,'PARTYWISE SALE'!$C$4:$C$153,SALES!$O$7:$O$488)</f>
        <v>0</v>
      </c>
    </row>
    <row r="11" spans="1:10" x14ac:dyDescent="0.3">
      <c r="A11" s="159">
        <v>8</v>
      </c>
      <c r="B11" s="159" t="s">
        <v>189</v>
      </c>
      <c r="C11" s="121" t="s">
        <v>188</v>
      </c>
      <c r="D11" s="124">
        <f>SUMIF(SALES!$B$7:$B$488,'PARTYWISE SALE'!$C$4:$C$153,SALES!$E$7:$E$488)</f>
        <v>188596.53</v>
      </c>
      <c r="E11" s="124">
        <f>SUMIF(SALES!$B$7:$B$488,'PARTYWISE SALE'!$C$4:$C$153,SALES!$V$7:$V$488)</f>
        <v>408</v>
      </c>
      <c r="F11" s="124">
        <f>SUMIF(SALES!$B$7:$B$488,'PARTYWISE SALE'!$C$4:$C$153,SALES!$K$7:$K$488)</f>
        <v>147341.04</v>
      </c>
      <c r="G11" s="124">
        <f>SUMIF(SALES!$B$7:$B$488,'PARTYWISE SALE'!$C$4:$C$153,SALES!$L$7:$L$488)</f>
        <v>41255.491200000004</v>
      </c>
      <c r="H11" s="124">
        <f>SUMIF(SALES!$B$7:$B$488,'PARTYWISE SALE'!$C$4:$C$153,SALES!$M$7:$M$488)</f>
        <v>0</v>
      </c>
      <c r="I11" s="124">
        <f>SUMIF(SALES!$B$7:$B$488,'PARTYWISE SALE'!$C$4:$C$153,SALES!$N$7:$N$488)</f>
        <v>0</v>
      </c>
      <c r="J11" s="160">
        <f>SUMIF(SALES!$B$7:$B$488,'PARTYWISE SALE'!$C$4:$C$153,SALES!$O$7:$O$488)</f>
        <v>0</v>
      </c>
    </row>
    <row r="12" spans="1:10" x14ac:dyDescent="0.3">
      <c r="A12" s="159">
        <v>9</v>
      </c>
      <c r="B12" s="159" t="s">
        <v>255</v>
      </c>
      <c r="C12" s="121" t="s">
        <v>254</v>
      </c>
      <c r="D12" s="124">
        <f>SUMIF(SALES!$B$7:$B$488,'PARTYWISE SALE'!$C$4:$C$153,SALES!$E$7:$E$488)</f>
        <v>14495.6</v>
      </c>
      <c r="E12" s="124">
        <f>SUMIF(SALES!$B$7:$B$488,'PARTYWISE SALE'!$C$4:$C$153,SALES!$V$7:$V$488)</f>
        <v>1320</v>
      </c>
      <c r="F12" s="124">
        <f>SUMIF(SALES!$B$7:$B$488,'PARTYWISE SALE'!$C$4:$C$153,SALES!$K$7:$K$488)</f>
        <v>12284.400000000001</v>
      </c>
      <c r="G12" s="124">
        <f>SUMIF(SALES!$B$7:$B$488,'PARTYWISE SALE'!$C$4:$C$153,SALES!$L$7:$L$488)</f>
        <v>0</v>
      </c>
      <c r="H12" s="124">
        <f>SUMIF(SALES!$B$7:$B$488,'PARTYWISE SALE'!$C$4:$C$153,SALES!$M$7:$M$488)</f>
        <v>1105.606</v>
      </c>
      <c r="I12" s="124">
        <f>SUMIF(SALES!$B$7:$B$488,'PARTYWISE SALE'!$C$4:$C$153,SALES!$N$7:$N$488)</f>
        <v>1105.606</v>
      </c>
      <c r="J12" s="160">
        <f>SUMIF(SALES!$B$7:$B$488,'PARTYWISE SALE'!$C$4:$C$153,SALES!$O$7:$O$488)</f>
        <v>0</v>
      </c>
    </row>
    <row r="13" spans="1:10" x14ac:dyDescent="0.3">
      <c r="A13" s="159">
        <v>10</v>
      </c>
      <c r="B13" s="159" t="s">
        <v>253</v>
      </c>
      <c r="C13" s="121" t="s">
        <v>252</v>
      </c>
      <c r="D13" s="124">
        <f>SUMIF(SALES!$B$7:$B$488,'PARTYWISE SALE'!$C$4:$C$153,SALES!$E$7:$E$488)</f>
        <v>300235.23999999993</v>
      </c>
      <c r="E13" s="124">
        <f>SUMIF(SALES!$B$7:$B$488,'PARTYWISE SALE'!$C$4:$C$153,SALES!$V$7:$V$488)</f>
        <v>536</v>
      </c>
      <c r="F13" s="124">
        <f>SUMIF(SALES!$B$7:$B$488,'PARTYWISE SALE'!$C$4:$C$153,SALES!$K$7:$K$488)</f>
        <v>254436.69999999987</v>
      </c>
      <c r="G13" s="124">
        <f>SUMIF(SALES!$B$7:$B$488,'PARTYWISE SALE'!$C$4:$C$153,SALES!$L$7:$L$488)</f>
        <v>0</v>
      </c>
      <c r="H13" s="124">
        <f>SUMIF(SALES!$B$7:$B$488,'PARTYWISE SALE'!$C$4:$C$153,SALES!$M$7:$M$488)</f>
        <v>22899.29299999998</v>
      </c>
      <c r="I13" s="124">
        <f>SUMIF(SALES!$B$7:$B$488,'PARTYWISE SALE'!$C$4:$C$153,SALES!$N$7:$N$488)</f>
        <v>22899.29299999998</v>
      </c>
      <c r="J13" s="160">
        <f>SUMIF(SALES!$B$7:$B$488,'PARTYWISE SALE'!$C$4:$C$153,SALES!$O$7:$O$488)</f>
        <v>0</v>
      </c>
    </row>
    <row r="14" spans="1:10" x14ac:dyDescent="0.3">
      <c r="A14" s="159">
        <v>11</v>
      </c>
      <c r="B14" s="159" t="s">
        <v>246</v>
      </c>
      <c r="C14" s="121" t="s">
        <v>245</v>
      </c>
      <c r="D14" s="124">
        <f>SUMIF(SALES!$B$7:$B$488,'PARTYWISE SALE'!$C$4:$C$153,SALES!$E$7:$E$488)</f>
        <v>827743.48</v>
      </c>
      <c r="E14" s="124">
        <f>SUMIF(SALES!$B$7:$B$488,'PARTYWISE SALE'!$C$4:$C$153,SALES!$V$7:$V$488)</f>
        <v>8580</v>
      </c>
      <c r="F14" s="124">
        <f>SUMIF(SALES!$B$7:$B$488,'PARTYWISE SALE'!$C$4:$C$153,SALES!$K$7:$K$488)</f>
        <v>646674.6</v>
      </c>
      <c r="G14" s="124">
        <f>SUMIF(SALES!$B$7:$B$488,'PARTYWISE SALE'!$C$4:$C$153,SALES!$L$7:$L$488)</f>
        <v>0</v>
      </c>
      <c r="H14" s="124">
        <f>SUMIF(SALES!$B$7:$B$488,'PARTYWISE SALE'!$C$4:$C$153,SALES!$M$7:$M$488)</f>
        <v>90534.444000000003</v>
      </c>
      <c r="I14" s="124">
        <f>SUMIF(SALES!$B$7:$B$488,'PARTYWISE SALE'!$C$4:$C$153,SALES!$N$7:$N$488)</f>
        <v>90534.444000000003</v>
      </c>
      <c r="J14" s="160">
        <f>SUMIF(SALES!$B$7:$B$488,'PARTYWISE SALE'!$C$4:$C$153,SALES!$O$7:$O$488)</f>
        <v>0</v>
      </c>
    </row>
    <row r="15" spans="1:10" x14ac:dyDescent="0.3">
      <c r="A15" s="159">
        <v>12</v>
      </c>
      <c r="B15" s="159" t="s">
        <v>269</v>
      </c>
      <c r="C15" s="121" t="s">
        <v>268</v>
      </c>
      <c r="D15" s="124">
        <f>SUMIF(SALES!$B$7:$B$488,'PARTYWISE SALE'!$C$4:$C$153,SALES!$E$7:$E$488)</f>
        <v>25423.1</v>
      </c>
      <c r="E15" s="124">
        <f>SUMIF(SALES!$B$7:$B$488,'PARTYWISE SALE'!$C$4:$C$153,SALES!$V$7:$V$488)</f>
        <v>302</v>
      </c>
      <c r="F15" s="124">
        <f>SUMIF(SALES!$B$7:$B$488,'PARTYWISE SALE'!$C$4:$C$153,SALES!$K$7:$K$488)</f>
        <v>21545</v>
      </c>
      <c r="G15" s="124">
        <f>SUMIF(SALES!$B$7:$B$488,'PARTYWISE SALE'!$C$4:$C$153,SALES!$L$7:$L$488)</f>
        <v>0</v>
      </c>
      <c r="H15" s="124">
        <f>SUMIF(SALES!$B$7:$B$488,'PARTYWISE SALE'!$C$4:$C$153,SALES!$M$7:$M$488)</f>
        <v>1939.05</v>
      </c>
      <c r="I15" s="124">
        <f>SUMIF(SALES!$B$7:$B$488,'PARTYWISE SALE'!$C$4:$C$153,SALES!$N$7:$N$488)</f>
        <v>1939.05</v>
      </c>
      <c r="J15" s="160">
        <f>SUMIF(SALES!$B$7:$B$488,'PARTYWISE SALE'!$C$4:$C$153,SALES!$O$7:$O$488)</f>
        <v>0</v>
      </c>
    </row>
    <row r="16" spans="1:10" x14ac:dyDescent="0.3">
      <c r="A16" s="159">
        <v>13</v>
      </c>
      <c r="B16" s="159" t="s">
        <v>251</v>
      </c>
      <c r="C16" s="121" t="s">
        <v>250</v>
      </c>
      <c r="D16" s="124">
        <f>SUMIF(SALES!$B$7:$B$488,'PARTYWISE SALE'!$C$4:$C$153,SALES!$E$7:$E$488)</f>
        <v>80654.799999999988</v>
      </c>
      <c r="E16" s="124">
        <f>SUMIF(SALES!$B$7:$B$488,'PARTYWISE SALE'!$C$4:$C$153,SALES!$V$7:$V$488)</f>
        <v>2287</v>
      </c>
      <c r="F16" s="124">
        <f>SUMIF(SALES!$B$7:$B$488,'PARTYWISE SALE'!$C$4:$C$153,SALES!$K$7:$K$488)</f>
        <v>68351.5</v>
      </c>
      <c r="G16" s="124">
        <f>SUMIF(SALES!$B$7:$B$488,'PARTYWISE SALE'!$C$4:$C$153,SALES!$L$7:$L$488)</f>
        <v>0</v>
      </c>
      <c r="H16" s="124">
        <f>SUMIF(SALES!$B$7:$B$488,'PARTYWISE SALE'!$C$4:$C$153,SALES!$M$7:$M$488)</f>
        <v>6151.6350000000002</v>
      </c>
      <c r="I16" s="124">
        <f>SUMIF(SALES!$B$7:$B$488,'PARTYWISE SALE'!$C$4:$C$153,SALES!$N$7:$N$488)</f>
        <v>6151.6350000000002</v>
      </c>
      <c r="J16" s="160">
        <f>SUMIF(SALES!$B$7:$B$488,'PARTYWISE SALE'!$C$4:$C$153,SALES!$O$7:$O$488)</f>
        <v>0</v>
      </c>
    </row>
    <row r="17" spans="1:10" x14ac:dyDescent="0.3">
      <c r="A17" s="159">
        <v>14</v>
      </c>
      <c r="B17" s="136" t="s">
        <v>551</v>
      </c>
      <c r="C17" s="136" t="s">
        <v>552</v>
      </c>
      <c r="D17" s="124">
        <f>SUMIF(SALES!$B$7:$B$488,'PARTYWISE SALE'!$C$4:$C$153,SALES!$E$7:$E$488)</f>
        <v>107716.12</v>
      </c>
      <c r="E17" s="124">
        <f>SUMIF(SALES!$B$7:$B$488,'PARTYWISE SALE'!$C$4:$C$153,SALES!$V$7:$V$488)</f>
        <v>207</v>
      </c>
      <c r="F17" s="124">
        <f>SUMIF(SALES!$B$7:$B$488,'PARTYWISE SALE'!$C$4:$C$153,SALES!$K$7:$K$488)</f>
        <v>85815.56</v>
      </c>
      <c r="G17" s="124">
        <f>SUMIF(SALES!$B$7:$B$488,'PARTYWISE SALE'!$C$4:$C$153,SALES!$L$7:$L$488)</f>
        <v>0</v>
      </c>
      <c r="H17" s="124">
        <f>SUMIF(SALES!$B$7:$B$488,'PARTYWISE SALE'!$C$4:$C$153,SALES!$M$7:$M$488)</f>
        <v>10950.278399999999</v>
      </c>
      <c r="I17" s="124">
        <f>SUMIF(SALES!$B$7:$B$488,'PARTYWISE SALE'!$C$4:$C$153,SALES!$N$7:$N$488)</f>
        <v>10950.278399999999</v>
      </c>
      <c r="J17" s="160">
        <f>SUMIF(SALES!$B$7:$B$488,'PARTYWISE SALE'!$C$4:$C$153,SALES!$O$7:$O$488)</f>
        <v>0</v>
      </c>
    </row>
    <row r="18" spans="1:10" x14ac:dyDescent="0.3">
      <c r="A18" s="159">
        <v>15</v>
      </c>
      <c r="B18" s="136" t="s">
        <v>812</v>
      </c>
      <c r="C18" s="136" t="s">
        <v>813</v>
      </c>
      <c r="D18" s="124">
        <f>SUMIF(SALES!$B$7:$B$488,'PARTYWISE SALE'!$C$4:$C$153,SALES!$E$7:$E$488)</f>
        <v>33904.720000000001</v>
      </c>
      <c r="E18" s="124">
        <f>SUMIF(SALES!$B$7:$B$488,'PARTYWISE SALE'!$C$4:$C$153,SALES!$V$7:$V$488)</f>
        <v>108</v>
      </c>
      <c r="F18" s="124">
        <f>SUMIF(SALES!$B$7:$B$488,'PARTYWISE SALE'!$C$4:$C$153,SALES!$K$7:$K$488)</f>
        <v>28732.799999999999</v>
      </c>
      <c r="G18" s="124">
        <f>SUMIF(SALES!$B$7:$B$488,'PARTYWISE SALE'!$C$4:$C$153,SALES!$L$7:$L$488)</f>
        <v>0</v>
      </c>
      <c r="H18" s="124">
        <f>SUMIF(SALES!$B$7:$B$488,'PARTYWISE SALE'!$C$4:$C$153,SALES!$M$7:$M$488)</f>
        <v>2585.9519999999998</v>
      </c>
      <c r="I18" s="124">
        <f>SUMIF(SALES!$B$7:$B$488,'PARTYWISE SALE'!$C$4:$C$153,SALES!$N$7:$N$488)</f>
        <v>2585.9519999999998</v>
      </c>
      <c r="J18" s="160">
        <f>SUMIF(SALES!$B$7:$B$488,'PARTYWISE SALE'!$C$4:$C$153,SALES!$O$7:$O$488)</f>
        <v>0</v>
      </c>
    </row>
    <row r="19" spans="1:10" x14ac:dyDescent="0.3">
      <c r="A19" s="159">
        <v>16</v>
      </c>
      <c r="B19" s="136" t="s">
        <v>657</v>
      </c>
      <c r="C19" s="136" t="s">
        <v>658</v>
      </c>
      <c r="D19" s="124">
        <f>SUMIF(SALES!$B$7:$B$488,'PARTYWISE SALE'!$C$4:$C$153,SALES!$E$7:$E$488)</f>
        <v>69620</v>
      </c>
      <c r="E19" s="124">
        <f>SUMIF(SALES!$B$7:$B$488,'PARTYWISE SALE'!$C$4:$C$153,SALES!$V$7:$V$488)</f>
        <v>2000</v>
      </c>
      <c r="F19" s="124">
        <f>SUMIF(SALES!$B$7:$B$488,'PARTYWISE SALE'!$C$4:$C$153,SALES!$K$7:$K$488)</f>
        <v>59000</v>
      </c>
      <c r="G19" s="124">
        <f>SUMIF(SALES!$B$7:$B$488,'PARTYWISE SALE'!$C$4:$C$153,SALES!$L$7:$L$488)</f>
        <v>0</v>
      </c>
      <c r="H19" s="124">
        <f>SUMIF(SALES!$B$7:$B$488,'PARTYWISE SALE'!$C$4:$C$153,SALES!$M$7:$M$488)</f>
        <v>5310</v>
      </c>
      <c r="I19" s="124">
        <f>SUMIF(SALES!$B$7:$B$488,'PARTYWISE SALE'!$C$4:$C$153,SALES!$N$7:$N$488)</f>
        <v>5310</v>
      </c>
      <c r="J19" s="160">
        <f>SUMIF(SALES!$B$7:$B$488,'PARTYWISE SALE'!$C$4:$C$153,SALES!$O$7:$O$488)</f>
        <v>0</v>
      </c>
    </row>
    <row r="20" spans="1:10" ht="15" thickBot="1" x14ac:dyDescent="0.35">
      <c r="A20" s="159"/>
      <c r="B20" s="159"/>
      <c r="C20" s="5"/>
      <c r="D20" s="124"/>
      <c r="E20" s="124"/>
      <c r="F20" s="124"/>
      <c r="G20" s="124"/>
      <c r="H20" s="124"/>
      <c r="I20" s="124"/>
      <c r="J20" s="160"/>
    </row>
    <row r="21" spans="1:10" ht="15" thickBot="1" x14ac:dyDescent="0.35">
      <c r="A21" s="161"/>
      <c r="B21" s="161"/>
      <c r="C21" s="3" t="s">
        <v>31</v>
      </c>
      <c r="D21" s="18">
        <f t="shared" ref="D21:J21" si="0">SUM(D4:D20)</f>
        <v>11233998.460000001</v>
      </c>
      <c r="E21" s="18">
        <f t="shared" si="0"/>
        <v>252273</v>
      </c>
      <c r="F21" s="18">
        <f t="shared" si="0"/>
        <v>8825813.5200000014</v>
      </c>
      <c r="G21" s="18">
        <f t="shared" si="0"/>
        <v>76678.489999999991</v>
      </c>
      <c r="H21" s="18">
        <f t="shared" si="0"/>
        <v>1165753.1978000004</v>
      </c>
      <c r="I21" s="18">
        <f t="shared" si="0"/>
        <v>1165753.1978000004</v>
      </c>
      <c r="J21" s="162">
        <f t="shared" si="0"/>
        <v>0</v>
      </c>
    </row>
    <row r="22" spans="1:10" x14ac:dyDescent="0.3">
      <c r="A22" s="163"/>
      <c r="B22" s="163"/>
      <c r="C22" s="15"/>
      <c r="D22" s="133"/>
      <c r="E22" s="22"/>
      <c r="F22" s="21"/>
      <c r="G22" s="21"/>
      <c r="H22" s="21"/>
      <c r="I22" s="21"/>
      <c r="J22" s="164"/>
    </row>
    <row r="23" spans="1:10" x14ac:dyDescent="0.3">
      <c r="A23" s="165"/>
      <c r="B23" s="165"/>
      <c r="C23" s="16" t="s">
        <v>294</v>
      </c>
      <c r="D23" s="136">
        <f>+F21</f>
        <v>8825813.5200000014</v>
      </c>
      <c r="E23" s="154"/>
      <c r="F23" s="118"/>
      <c r="G23" s="141">
        <f>+G21+H21+I21</f>
        <v>2408184.8856000006</v>
      </c>
      <c r="H23" s="118"/>
      <c r="I23" s="118"/>
      <c r="J23" s="166"/>
    </row>
    <row r="24" spans="1:10" x14ac:dyDescent="0.3">
      <c r="A24" s="165"/>
      <c r="B24" s="165"/>
      <c r="C24" s="16" t="s">
        <v>290</v>
      </c>
      <c r="D24" s="136">
        <f>+G21</f>
        <v>76678.489999999991</v>
      </c>
      <c r="E24" s="154"/>
      <c r="F24" s="118"/>
      <c r="G24" s="118"/>
      <c r="H24" s="118"/>
      <c r="I24" s="118"/>
      <c r="J24" s="166"/>
    </row>
    <row r="25" spans="1:10" x14ac:dyDescent="0.3">
      <c r="A25" s="165"/>
      <c r="B25" s="165"/>
      <c r="C25" s="16" t="s">
        <v>291</v>
      </c>
      <c r="D25" s="136">
        <f>+H21</f>
        <v>1165753.1978000004</v>
      </c>
      <c r="E25" s="154"/>
      <c r="F25" s="118"/>
      <c r="G25" s="118"/>
      <c r="H25" s="118"/>
      <c r="I25" s="118"/>
      <c r="J25" s="166"/>
    </row>
    <row r="26" spans="1:10" x14ac:dyDescent="0.3">
      <c r="A26" s="165"/>
      <c r="B26" s="165"/>
      <c r="C26" s="16" t="s">
        <v>292</v>
      </c>
      <c r="D26" s="136">
        <f>+I21</f>
        <v>1165753.1978000004</v>
      </c>
      <c r="E26" s="154"/>
      <c r="F26" s="118"/>
      <c r="G26" s="118"/>
      <c r="H26" s="118"/>
      <c r="I26" s="118"/>
      <c r="J26" s="166"/>
    </row>
    <row r="27" spans="1:10" x14ac:dyDescent="0.3">
      <c r="A27" s="165"/>
      <c r="B27" s="165"/>
      <c r="C27" s="16" t="s">
        <v>295</v>
      </c>
      <c r="D27" s="136">
        <f>+J21</f>
        <v>0</v>
      </c>
      <c r="E27" s="154"/>
      <c r="F27" s="118"/>
      <c r="G27" s="118"/>
      <c r="H27" s="118"/>
      <c r="I27" s="118"/>
      <c r="J27" s="166"/>
    </row>
    <row r="28" spans="1:10" ht="15" thickBot="1" x14ac:dyDescent="0.35">
      <c r="A28" s="165"/>
      <c r="B28" s="165"/>
      <c r="C28" s="16" t="s">
        <v>47</v>
      </c>
      <c r="D28" s="136">
        <f>+D27+D26+D25+D24+D23</f>
        <v>11233998.405600002</v>
      </c>
      <c r="E28" s="154"/>
      <c r="F28" s="118"/>
      <c r="G28" s="118"/>
      <c r="H28" s="118"/>
      <c r="I28" s="118"/>
      <c r="J28" s="166"/>
    </row>
    <row r="29" spans="1:10" ht="15" thickBot="1" x14ac:dyDescent="0.35">
      <c r="A29" s="167"/>
      <c r="B29" s="167"/>
      <c r="C29" s="170" t="s">
        <v>293</v>
      </c>
      <c r="D29" s="172">
        <f>+D21-D28</f>
        <v>5.4399998858571053E-2</v>
      </c>
      <c r="E29" s="171"/>
      <c r="F29" s="168"/>
      <c r="G29" s="168"/>
      <c r="H29" s="168"/>
      <c r="I29" s="168"/>
      <c r="J29" s="169"/>
    </row>
    <row r="30" spans="1:10" ht="15" thickTop="1" x14ac:dyDescent="0.3"/>
  </sheetData>
  <pageMargins left="0.7" right="0.7" top="0.75" bottom="0.75" header="0.3" footer="0.3"/>
  <pageSetup paperSize="9" fitToHeight="0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" sqref="E1"/>
    </sheetView>
  </sheetViews>
  <sheetFormatPr defaultRowHeight="14.4" x14ac:dyDescent="0.3"/>
  <cols>
    <col min="1" max="1" width="43" bestFit="1" customWidth="1"/>
    <col min="2" max="2" width="11.6640625" bestFit="1" customWidth="1"/>
    <col min="3" max="3" width="10.6640625" bestFit="1" customWidth="1"/>
    <col min="4" max="4" width="13.33203125" bestFit="1" customWidth="1"/>
  </cols>
  <sheetData>
    <row r="1" spans="1:5" ht="27.6" x14ac:dyDescent="0.3">
      <c r="A1" s="106" t="s">
        <v>160</v>
      </c>
      <c r="B1" s="64"/>
      <c r="C1" s="107"/>
      <c r="D1" s="45"/>
      <c r="E1" s="60"/>
    </row>
    <row r="2" spans="1:5" x14ac:dyDescent="0.3">
      <c r="A2" s="26"/>
      <c r="B2" s="26"/>
      <c r="C2" s="108"/>
      <c r="D2" s="25" t="s">
        <v>161</v>
      </c>
      <c r="E2" s="25" t="s">
        <v>162</v>
      </c>
    </row>
    <row r="3" spans="1:5" x14ac:dyDescent="0.3">
      <c r="A3" s="29"/>
      <c r="B3" s="29"/>
      <c r="C3" s="109"/>
      <c r="D3" s="110">
        <f>SUM(D5:D15)</f>
        <v>450</v>
      </c>
      <c r="E3" s="110">
        <f>SUM(E5:E15)</f>
        <v>17</v>
      </c>
    </row>
    <row r="4" spans="1:5" x14ac:dyDescent="0.3">
      <c r="A4" s="111" t="s">
        <v>163</v>
      </c>
      <c r="B4" s="111" t="s">
        <v>164</v>
      </c>
      <c r="C4" s="112" t="s">
        <v>165</v>
      </c>
      <c r="D4" s="93" t="s">
        <v>161</v>
      </c>
      <c r="E4" s="113" t="s">
        <v>166</v>
      </c>
    </row>
    <row r="5" spans="1:5" x14ac:dyDescent="0.3">
      <c r="A5" s="114" t="s">
        <v>167</v>
      </c>
      <c r="B5" s="114" t="s">
        <v>168</v>
      </c>
      <c r="C5" s="115" t="s">
        <v>169</v>
      </c>
      <c r="D5" s="116">
        <v>90</v>
      </c>
      <c r="E5" s="117">
        <v>5</v>
      </c>
    </row>
    <row r="6" spans="1:5" x14ac:dyDescent="0.3">
      <c r="A6" s="114" t="s">
        <v>167</v>
      </c>
      <c r="B6" s="114" t="s">
        <v>170</v>
      </c>
      <c r="C6" s="115" t="s">
        <v>171</v>
      </c>
      <c r="D6" s="116">
        <v>339</v>
      </c>
      <c r="E6" s="117">
        <v>10</v>
      </c>
    </row>
    <row r="7" spans="1:5" x14ac:dyDescent="0.3">
      <c r="A7" s="114" t="s">
        <v>172</v>
      </c>
      <c r="B7" s="114" t="s">
        <v>173</v>
      </c>
      <c r="C7" s="115" t="s">
        <v>174</v>
      </c>
      <c r="D7" s="116">
        <v>21</v>
      </c>
      <c r="E7" s="117">
        <v>2</v>
      </c>
    </row>
    <row r="8" spans="1:5" x14ac:dyDescent="0.3">
      <c r="A8" s="114" t="s">
        <v>172</v>
      </c>
      <c r="B8" s="114"/>
      <c r="C8" s="115"/>
      <c r="D8" s="116"/>
      <c r="E8" s="117"/>
    </row>
    <row r="9" spans="1:5" x14ac:dyDescent="0.3">
      <c r="A9" s="114" t="s">
        <v>175</v>
      </c>
      <c r="B9" s="114"/>
      <c r="C9" s="115"/>
      <c r="D9" s="116"/>
      <c r="E9" s="117"/>
    </row>
    <row r="10" spans="1:5" x14ac:dyDescent="0.3">
      <c r="A10" s="114" t="s">
        <v>176</v>
      </c>
      <c r="B10" s="114"/>
      <c r="C10" s="115"/>
      <c r="D10" s="116"/>
      <c r="E10" s="117"/>
    </row>
    <row r="11" spans="1:5" x14ac:dyDescent="0.3">
      <c r="A11" s="114" t="s">
        <v>177</v>
      </c>
      <c r="B11" s="114"/>
      <c r="C11" s="115"/>
      <c r="D11" s="116"/>
      <c r="E11" s="1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D10" sqref="D10"/>
    </sheetView>
  </sheetViews>
  <sheetFormatPr defaultRowHeight="14.4" x14ac:dyDescent="0.3"/>
  <cols>
    <col min="1" max="1" width="10.88671875" customWidth="1"/>
    <col min="2" max="2" width="35" bestFit="1" customWidth="1"/>
    <col min="3" max="3" width="6.33203125" customWidth="1"/>
    <col min="4" max="4" width="10.109375" customWidth="1"/>
    <col min="5" max="5" width="14.44140625" customWidth="1"/>
    <col min="6" max="6" width="11.5546875" customWidth="1"/>
    <col min="7" max="7" width="9.33203125" customWidth="1"/>
    <col min="8" max="8" width="10.33203125" customWidth="1"/>
    <col min="9" max="9" width="11.88671875" customWidth="1"/>
  </cols>
  <sheetData>
    <row r="1" spans="1:10" ht="15.6" thickTop="1" thickBot="1" x14ac:dyDescent="0.35">
      <c r="A1" s="144"/>
      <c r="B1" s="145" t="s">
        <v>297</v>
      </c>
      <c r="C1" s="145"/>
      <c r="D1" s="145"/>
      <c r="E1" s="145"/>
      <c r="F1" s="145"/>
      <c r="G1" s="151"/>
      <c r="H1" s="151" t="s">
        <v>288</v>
      </c>
      <c r="I1" s="153" t="s">
        <v>289</v>
      </c>
      <c r="J1" s="152">
        <v>2017</v>
      </c>
    </row>
    <row r="2" spans="1:10" ht="15" thickBot="1" x14ac:dyDescent="0.35">
      <c r="A2" s="1" t="s">
        <v>7</v>
      </c>
      <c r="B2" s="1" t="s">
        <v>20</v>
      </c>
      <c r="C2" s="1" t="s">
        <v>23</v>
      </c>
      <c r="D2" s="1" t="s">
        <v>31</v>
      </c>
      <c r="E2" s="1" t="s">
        <v>31</v>
      </c>
      <c r="F2" s="9" t="s">
        <v>25</v>
      </c>
      <c r="G2" s="132" t="s">
        <v>1</v>
      </c>
      <c r="H2" s="130" t="s">
        <v>2</v>
      </c>
      <c r="I2" s="130" t="s">
        <v>3</v>
      </c>
      <c r="J2" s="131" t="s">
        <v>4</v>
      </c>
    </row>
    <row r="3" spans="1:10" ht="15" thickBot="1" x14ac:dyDescent="0.35">
      <c r="A3" s="2" t="s">
        <v>33</v>
      </c>
      <c r="B3" s="2" t="s">
        <v>21</v>
      </c>
      <c r="C3" s="5"/>
      <c r="D3" s="5" t="s">
        <v>32</v>
      </c>
      <c r="E3" s="5" t="s">
        <v>286</v>
      </c>
      <c r="F3" s="19" t="s">
        <v>18</v>
      </c>
      <c r="G3" s="1" t="s">
        <v>18</v>
      </c>
      <c r="H3" s="1" t="s">
        <v>18</v>
      </c>
      <c r="I3" s="1" t="s">
        <v>18</v>
      </c>
      <c r="J3" s="1" t="s">
        <v>18</v>
      </c>
    </row>
    <row r="4" spans="1:10" x14ac:dyDescent="0.3">
      <c r="A4" s="1">
        <v>87089900</v>
      </c>
      <c r="B4" s="120" t="s">
        <v>22</v>
      </c>
      <c r="C4" s="125" t="s">
        <v>296</v>
      </c>
      <c r="D4" s="123">
        <f>SUMIF(SALES!$P$7:$P$488,'HSN SALE SUMMERY'!A$4:$A$115,SALES!$V$7:$V$488)</f>
        <v>4710</v>
      </c>
      <c r="E4" s="123">
        <f>SUMIF(SALES!$P$7:$P$488,'HSN SALE SUMMERY'!$A$4:$A$115,SALES!$E$7:$E$488)</f>
        <v>1535318.7700000003</v>
      </c>
      <c r="F4" s="123">
        <f>SUMIF(SALES!$P$7:$P$488,'HSN SALE SUMMERY'!$A$4:$A$115,SALES!$K$7:$K$488)</f>
        <v>1199467.76</v>
      </c>
      <c r="G4" s="123">
        <f>SUMIF(SALES!$P$7:$P$488,'HSN SALE SUMMERY'!$A$4:$A$115,SALES!$L$7:$L$488)</f>
        <v>41255.491200000004</v>
      </c>
      <c r="H4" s="123">
        <f>SUMIF(SALES!$P$7:$P$488,'HSN SALE SUMMERY'!$A$4:$A$115,SALES!$M$7:$M$488)</f>
        <v>147297.76080000002</v>
      </c>
      <c r="I4" s="123">
        <f>SUMIF(SALES!$P$7:$P$488,'HSN SALE SUMMERY'!$A$4:$A$115,SALES!$N$7:$N$488)</f>
        <v>147297.76080000002</v>
      </c>
      <c r="J4" s="123">
        <f>SUMIF(SALES!$P$7:$P$488,'HSN SALE SUMMERY'!$A$4:$A$115,SALES!$O$7:$O$488)</f>
        <v>0</v>
      </c>
    </row>
    <row r="5" spans="1:10" x14ac:dyDescent="0.3">
      <c r="A5" s="5">
        <v>87081090</v>
      </c>
      <c r="B5" s="17" t="s">
        <v>22</v>
      </c>
      <c r="C5" s="126" t="s">
        <v>296</v>
      </c>
      <c r="D5" s="124">
        <f>SUMIF(SALES!$P$7:$P$488,'HSN SALE SUMMERY'!A$4:$A$115,SALES!$V$7:$V$488)</f>
        <v>43086</v>
      </c>
      <c r="E5" s="124">
        <f>SUMIF(SALES!$P$7:$P$488,'HSN SALE SUMMERY'!$A$4:$A$115,SALES!$E$7:$E$488)</f>
        <v>4721405.0600000005</v>
      </c>
      <c r="F5" s="124">
        <f>SUMIF(SALES!$P$7:$P$488,'HSN SALE SUMMERY'!$A$4:$A$115,SALES!$K$7:$K$488)</f>
        <v>3688597.6699999985</v>
      </c>
      <c r="G5" s="124">
        <f>SUMIF(SALES!$P$7:$P$488,'HSN SALE SUMMERY'!$A$4:$A$115,SALES!$L$7:$L$488)</f>
        <v>35422.998799999994</v>
      </c>
      <c r="H5" s="124">
        <f>SUMIF(SALES!$P$7:$P$488,'HSN SALE SUMMERY'!$A$4:$A$115,SALES!$M$7:$M$488)</f>
        <v>498692.19440000015</v>
      </c>
      <c r="I5" s="124">
        <f>SUMIF(SALES!$P$7:$P$488,'HSN SALE SUMMERY'!$A$4:$A$115,SALES!$N$7:$N$488)</f>
        <v>498692.19440000015</v>
      </c>
      <c r="J5" s="124">
        <f>SUMIF(SALES!$P$7:$P$488,'HSN SALE SUMMERY'!$A$4:$A$115,SALES!$O$7:$O$488)</f>
        <v>0</v>
      </c>
    </row>
    <row r="6" spans="1:10" x14ac:dyDescent="0.3">
      <c r="A6" s="5">
        <v>87141090</v>
      </c>
      <c r="B6" s="17" t="s">
        <v>22</v>
      </c>
      <c r="C6" s="126" t="s">
        <v>296</v>
      </c>
      <c r="D6" s="124">
        <f>SUMIF(SALES!$P$7:$P$488,'HSN SALE SUMMERY'!A$4:$A$115,SALES!$V$7:$V$488)</f>
        <v>132710</v>
      </c>
      <c r="E6" s="124">
        <f>SUMIF(SALES!$P$7:$P$488,'HSN SALE SUMMERY'!$A$4:$A$115,SALES!$E$7:$E$488)</f>
        <v>2007339.1799999997</v>
      </c>
      <c r="F6" s="124">
        <f>SUMIF(SALES!$P$7:$P$488,'HSN SALE SUMMERY'!$A$4:$A$115,SALES!$K$7:$K$488)</f>
        <v>1568233.7599999998</v>
      </c>
      <c r="G6" s="124">
        <f>SUMIF(SALES!$P$7:$P$488,'HSN SALE SUMMERY'!$A$4:$A$115,SALES!$L$7:$L$488)</f>
        <v>0</v>
      </c>
      <c r="H6" s="124">
        <f>SUMIF(SALES!$P$7:$P$488,'HSN SALE SUMMERY'!$A$4:$A$115,SALES!$M$7:$M$488)</f>
        <v>219552.71639999998</v>
      </c>
      <c r="I6" s="124">
        <f>SUMIF(SALES!$P$7:$P$488,'HSN SALE SUMMERY'!$A$4:$A$115,SALES!$N$7:$N$488)</f>
        <v>219552.71639999998</v>
      </c>
      <c r="J6" s="124">
        <f>SUMIF(SALES!$P$7:$P$488,'HSN SALE SUMMERY'!$A$4:$A$115,SALES!$O$7:$O$488)</f>
        <v>0</v>
      </c>
    </row>
    <row r="7" spans="1:10" x14ac:dyDescent="0.3">
      <c r="A7" s="5">
        <v>85129000</v>
      </c>
      <c r="B7" s="17" t="s">
        <v>22</v>
      </c>
      <c r="C7" s="126" t="s">
        <v>296</v>
      </c>
      <c r="D7" s="124">
        <f>SUMIF(SALES!$P$7:$P$488,'HSN SALE SUMMERY'!A$4:$A$115,SALES!$V$7:$V$488)</f>
        <v>64427</v>
      </c>
      <c r="E7" s="124">
        <f>SUMIF(SALES!$P$7:$P$488,'HSN SALE SUMMERY'!$A$4:$A$115,SALES!$E$7:$E$488)</f>
        <v>2143420.41</v>
      </c>
      <c r="F7" s="124">
        <f>SUMIF(SALES!$P$7:$P$488,'HSN SALE SUMMERY'!$A$4:$A$115,SALES!$K$7:$K$488)</f>
        <v>1674547.1700000002</v>
      </c>
      <c r="G7" s="124">
        <f>SUMIF(SALES!$P$7:$P$488,'HSN SALE SUMMERY'!$A$4:$A$115,SALES!$L$7:$L$488)</f>
        <v>0</v>
      </c>
      <c r="H7" s="124">
        <f>SUMIF(SALES!$P$7:$P$488,'HSN SALE SUMMERY'!$A$4:$A$115,SALES!$M$7:$M$488)</f>
        <v>234436.60380000001</v>
      </c>
      <c r="I7" s="124">
        <f>SUMIF(SALES!$P$7:$P$488,'HSN SALE SUMMERY'!$A$4:$A$115,SALES!$N$7:$N$488)</f>
        <v>234436.60380000001</v>
      </c>
      <c r="J7" s="124">
        <f>SUMIF(SALES!$P$7:$P$488,'HSN SALE SUMMERY'!$A$4:$A$115,SALES!$O$7:$O$488)</f>
        <v>0</v>
      </c>
    </row>
    <row r="8" spans="1:10" x14ac:dyDescent="0.3">
      <c r="A8" s="5">
        <v>998898</v>
      </c>
      <c r="B8" s="17" t="s">
        <v>22</v>
      </c>
      <c r="C8" s="126" t="s">
        <v>296</v>
      </c>
      <c r="D8" s="124">
        <f>SUMIF(SALES!$P$7:$P$488,'HSN SALE SUMMERY'!A$4:$A$115,SALES!$V$7:$V$488)</f>
        <v>2846</v>
      </c>
      <c r="E8" s="124">
        <f>SUMIF(SALES!$P$7:$P$488,'HSN SALE SUMMERY'!$A$4:$A$115,SALES!$E$7:$E$488)</f>
        <v>568524.11999999976</v>
      </c>
      <c r="F8" s="124">
        <f>SUMIF(SALES!$P$7:$P$488,'HSN SALE SUMMERY'!$A$4:$A$115,SALES!$K$7:$K$488)</f>
        <v>481800.09999999974</v>
      </c>
      <c r="G8" s="124">
        <f>SUMIF(SALES!$P$7:$P$488,'HSN SALE SUMMERY'!$A$4:$A$115,SALES!$L$7:$L$488)</f>
        <v>0</v>
      </c>
      <c r="H8" s="124">
        <f>SUMIF(SALES!$P$7:$P$488,'HSN SALE SUMMERY'!$A$4:$A$115,SALES!$M$7:$M$488)</f>
        <v>43362.008999999962</v>
      </c>
      <c r="I8" s="124">
        <f>SUMIF(SALES!$P$7:$P$488,'HSN SALE SUMMERY'!$A$4:$A$115,SALES!$N$7:$N$488)</f>
        <v>43362.008999999962</v>
      </c>
      <c r="J8" s="124">
        <f>SUMIF(SALES!$P$7:$P$488,'HSN SALE SUMMERY'!$A$4:$A$115,SALES!$O$7:$O$488)</f>
        <v>0</v>
      </c>
    </row>
    <row r="9" spans="1:10" x14ac:dyDescent="0.3">
      <c r="A9" s="5">
        <v>998873</v>
      </c>
      <c r="B9" s="17" t="s">
        <v>22</v>
      </c>
      <c r="C9" s="126" t="s">
        <v>296</v>
      </c>
      <c r="D9" s="124">
        <f>SUMIF(SALES!$P$7:$P$488,'HSN SALE SUMMERY'!A$4:$A$115,SALES!$V$7:$V$488)</f>
        <v>4287</v>
      </c>
      <c r="E9" s="124">
        <f>SUMIF(SALES!$P$7:$P$488,'HSN SALE SUMMERY'!$A$4:$A$115,SALES!$E$7:$E$488)</f>
        <v>150274.79999999999</v>
      </c>
      <c r="F9" s="124">
        <f>SUMIF(SALES!$P$7:$P$488,'HSN SALE SUMMERY'!$A$4:$A$115,SALES!$K$7:$K$488)</f>
        <v>127351.5</v>
      </c>
      <c r="G9" s="124">
        <f>SUMIF(SALES!$P$7:$P$488,'HSN SALE SUMMERY'!$A$4:$A$115,SALES!$L$7:$L$488)</f>
        <v>0</v>
      </c>
      <c r="H9" s="124">
        <f>SUMIF(SALES!$P$7:$P$488,'HSN SALE SUMMERY'!$A$4:$A$115,SALES!$M$7:$M$488)</f>
        <v>11461.635</v>
      </c>
      <c r="I9" s="124">
        <f>SUMIF(SALES!$P$7:$P$488,'HSN SALE SUMMERY'!$A$4:$A$115,SALES!$N$7:$N$488)</f>
        <v>11461.635</v>
      </c>
      <c r="J9" s="124">
        <f>SUMIF(SALES!$P$7:$P$488,'HSN SALE SUMMERY'!$A$4:$A$115,SALES!$O$7:$O$488)</f>
        <v>0</v>
      </c>
    </row>
    <row r="10" spans="1:10" x14ac:dyDescent="0.3">
      <c r="A10" s="5">
        <v>38249990</v>
      </c>
      <c r="B10" s="17" t="s">
        <v>833</v>
      </c>
      <c r="C10" s="126" t="s">
        <v>834</v>
      </c>
      <c r="D10" s="124">
        <f>SUMIF(SALES!$P$7:$P$488,'HSN SALE SUMMERY'!A$4:$A$115,SALES!$V$7:$V$488)</f>
        <v>43</v>
      </c>
      <c r="E10" s="124">
        <f>SUMIF(SALES!$P$7:$P$488,'HSN SALE SUMMERY'!$A$4:$A$115,SALES!$E$7:$E$488)</f>
        <v>25108.04</v>
      </c>
      <c r="F10" s="124">
        <f>SUMIF(SALES!$P$7:$P$488,'HSN SALE SUMMERY'!$A$4:$A$115,SALES!$K$7:$K$488)</f>
        <v>21278</v>
      </c>
      <c r="G10" s="124">
        <f>SUMIF(SALES!$P$7:$P$488,'HSN SALE SUMMERY'!$A$4:$A$115,SALES!$L$7:$L$488)</f>
        <v>0</v>
      </c>
      <c r="H10" s="124">
        <f>SUMIF(SALES!$P$7:$P$488,'HSN SALE SUMMERY'!$A$4:$A$115,SALES!$M$7:$M$488)</f>
        <v>1915.02</v>
      </c>
      <c r="I10" s="124">
        <f>SUMIF(SALES!$P$7:$P$488,'HSN SALE SUMMERY'!$A$4:$A$115,SALES!$N$7:$N$488)</f>
        <v>1915.02</v>
      </c>
      <c r="J10" s="124">
        <f>SUMIF(SALES!$P$7:$P$488,'HSN SALE SUMMERY'!$A$4:$A$115,SALES!$O$7:$O$488)</f>
        <v>0</v>
      </c>
    </row>
    <row r="11" spans="1:10" x14ac:dyDescent="0.3">
      <c r="A11" s="5">
        <v>32082090</v>
      </c>
      <c r="B11" s="17" t="s">
        <v>198</v>
      </c>
      <c r="C11" s="126" t="s">
        <v>834</v>
      </c>
      <c r="D11" s="124">
        <f>SUMIF(SALES!$P$7:$P$488,'HSN SALE SUMMERY'!A$4:$A$115,SALES!$V$7:$V$488)</f>
        <v>124</v>
      </c>
      <c r="E11" s="124">
        <f>SUMIF(SALES!$P$7:$P$488,'HSN SALE SUMMERY'!$A$4:$A$115,SALES!$E$7:$E$488)</f>
        <v>72521.679999999993</v>
      </c>
      <c r="F11" s="124">
        <f>SUMIF(SALES!$P$7:$P$488,'HSN SALE SUMMERY'!$A$4:$A$115,SALES!$K$7:$K$488)</f>
        <v>56657.56</v>
      </c>
      <c r="G11" s="124">
        <f>SUMIF(SALES!$P$7:$P$488,'HSN SALE SUMMERY'!$A$4:$A$115,SALES!$L$7:$L$488)</f>
        <v>0</v>
      </c>
      <c r="H11" s="124">
        <f>SUMIF(SALES!$P$7:$P$488,'HSN SALE SUMMERY'!$A$4:$A$115,SALES!$M$7:$M$488)</f>
        <v>7932.0583999999999</v>
      </c>
      <c r="I11" s="124">
        <f>SUMIF(SALES!$P$7:$P$488,'HSN SALE SUMMERY'!$A$4:$A$115,SALES!$N$7:$N$488)</f>
        <v>7932.0583999999999</v>
      </c>
      <c r="J11" s="124">
        <f>SUMIF(SALES!$P$7:$P$488,'HSN SALE SUMMERY'!$A$4:$A$115,SALES!$O$7:$O$488)</f>
        <v>0</v>
      </c>
    </row>
    <row r="12" spans="1:10" x14ac:dyDescent="0.3">
      <c r="A12" s="5">
        <v>38140010</v>
      </c>
      <c r="B12" s="17" t="s">
        <v>835</v>
      </c>
      <c r="C12" s="126" t="s">
        <v>834</v>
      </c>
      <c r="D12" s="124">
        <f>SUMIF(SALES!$P$7:$P$488,'HSN SALE SUMMERY'!A$4:$A$115,SALES!$V$7:$V$488)</f>
        <v>40</v>
      </c>
      <c r="E12" s="124">
        <f>SUMIF(SALES!$P$7:$P$488,'HSN SALE SUMMERY'!$A$4:$A$115,SALES!$E$7:$E$488)</f>
        <v>10086.4</v>
      </c>
      <c r="F12" s="124">
        <f>SUMIF(SALES!$P$7:$P$488,'HSN SALE SUMMERY'!$A$4:$A$115,SALES!$K$7:$K$488)</f>
        <v>7880</v>
      </c>
      <c r="G12" s="124">
        <f>SUMIF(SALES!$P$7:$P$488,'HSN SALE SUMMERY'!$A$4:$A$115,SALES!$L$7:$L$488)</f>
        <v>0</v>
      </c>
      <c r="H12" s="124">
        <f>SUMIF(SALES!$P$7:$P$488,'HSN SALE SUMMERY'!$A$4:$A$115,SALES!$M$7:$M$488)</f>
        <v>1103.2</v>
      </c>
      <c r="I12" s="124">
        <f>SUMIF(SALES!$P$7:$P$488,'HSN SALE SUMMERY'!$A$4:$A$115,SALES!$N$7:$N$488)</f>
        <v>1103.2</v>
      </c>
      <c r="J12" s="124">
        <f>SUMIF(SALES!$P$7:$P$488,'HSN SALE SUMMERY'!$A$4:$A$115,SALES!$O$7:$O$488)</f>
        <v>0</v>
      </c>
    </row>
    <row r="13" spans="1:10" x14ac:dyDescent="0.3">
      <c r="A13" s="5"/>
      <c r="B13" s="17"/>
      <c r="C13" s="126"/>
      <c r="D13" s="124">
        <f>SUMIF(SALES!$P$7:$P$488,'HSN SALE SUMMERY'!A$4:$A$115,SALES!$V$7:$V$488)</f>
        <v>0</v>
      </c>
      <c r="E13" s="124">
        <f>SUMIF(SALES!$P$7:$P$488,'HSN SALE SUMMERY'!$A$4:$A$115,SALES!$E$7:$E$488)</f>
        <v>0</v>
      </c>
      <c r="F13" s="124">
        <f>SUMIF(SALES!$P$7:$P$488,'HSN SALE SUMMERY'!$A$4:$A$115,SALES!$K$7:$K$488)</f>
        <v>0</v>
      </c>
      <c r="G13" s="124">
        <f>SUMIF(SALES!$P$7:$P$488,'HSN SALE SUMMERY'!$A$4:$A$115,SALES!$L$7:$L$488)</f>
        <v>0</v>
      </c>
      <c r="H13" s="124">
        <f>SUMIF(SALES!$P$7:$P$488,'HSN SALE SUMMERY'!$A$4:$A$115,SALES!$M$7:$M$488)</f>
        <v>0</v>
      </c>
      <c r="I13" s="124">
        <f>SUMIF(SALES!$P$7:$P$488,'HSN SALE SUMMERY'!$A$4:$A$115,SALES!$N$7:$N$488)</f>
        <v>0</v>
      </c>
      <c r="J13" s="124">
        <f>SUMIF(SALES!$P$7:$P$488,'HSN SALE SUMMERY'!$A$4:$A$115,SALES!$O$7:$O$488)</f>
        <v>0</v>
      </c>
    </row>
    <row r="14" spans="1:10" x14ac:dyDescent="0.3">
      <c r="A14" s="5"/>
      <c r="B14" s="17"/>
      <c r="C14" s="126"/>
      <c r="D14" s="124">
        <f>SUMIF(SALES!$P$7:$P$488,'HSN SALE SUMMERY'!A$4:$A$115,SALES!$V$7:$V$488)</f>
        <v>0</v>
      </c>
      <c r="E14" s="124">
        <f>SUMIF(SALES!$P$7:$P$488,'HSN SALE SUMMERY'!$A$4:$A$115,SALES!$E$7:$E$488)</f>
        <v>0</v>
      </c>
      <c r="F14" s="124">
        <f>SUMIF(SALES!$P$7:$P$488,'HSN SALE SUMMERY'!$A$4:$A$115,SALES!$K$7:$K$488)</f>
        <v>0</v>
      </c>
      <c r="G14" s="124">
        <f>SUMIF(SALES!$P$7:$P$488,'HSN SALE SUMMERY'!$A$4:$A$115,SALES!$L$7:$L$488)</f>
        <v>0</v>
      </c>
      <c r="H14" s="124">
        <f>SUMIF(SALES!$P$7:$P$488,'HSN SALE SUMMERY'!$A$4:$A$115,SALES!$M$7:$M$488)</f>
        <v>0</v>
      </c>
      <c r="I14" s="124">
        <f>SUMIF(SALES!$P$7:$P$488,'HSN SALE SUMMERY'!$A$4:$A$115,SALES!$N$7:$N$488)</f>
        <v>0</v>
      </c>
      <c r="J14" s="124">
        <f>SUMIF(SALES!$P$7:$P$488,'HSN SALE SUMMERY'!$A$4:$A$115,SALES!$O$7:$O$488)</f>
        <v>0</v>
      </c>
    </row>
    <row r="15" spans="1:10" x14ac:dyDescent="0.3">
      <c r="A15" s="5"/>
      <c r="B15" s="17"/>
      <c r="C15" s="126"/>
      <c r="D15" s="124">
        <f>SUMIF(SALES!$P$7:$P$488,'HSN SALE SUMMERY'!A$4:$A$115,SALES!$V$7:$V$488)</f>
        <v>0</v>
      </c>
      <c r="E15" s="124">
        <f>SUMIF(SALES!$P$7:$P$488,'HSN SALE SUMMERY'!$A$4:$A$115,SALES!$E$7:$E$488)</f>
        <v>0</v>
      </c>
      <c r="F15" s="124">
        <f>SUMIF(SALES!$P$7:$P$488,'HSN SALE SUMMERY'!$A$4:$A$115,SALES!$K$7:$K$488)</f>
        <v>0</v>
      </c>
      <c r="G15" s="124">
        <f>SUMIF(SALES!$P$7:$P$488,'HSN SALE SUMMERY'!$A$4:$A$115,SALES!$L$7:$L$488)</f>
        <v>0</v>
      </c>
      <c r="H15" s="124">
        <f>SUMIF(SALES!$P$7:$P$488,'HSN SALE SUMMERY'!$A$4:$A$115,SALES!$M$7:$M$488)</f>
        <v>0</v>
      </c>
      <c r="I15" s="124">
        <f>SUMIF(SALES!$P$7:$P$488,'HSN SALE SUMMERY'!$A$4:$A$115,SALES!$N$7:$N$488)</f>
        <v>0</v>
      </c>
      <c r="J15" s="124">
        <f>SUMIF(SALES!$P$7:$P$488,'HSN SALE SUMMERY'!$A$4:$A$115,SALES!$O$7:$O$488)</f>
        <v>0</v>
      </c>
    </row>
    <row r="16" spans="1:10" ht="15" thickBot="1" x14ac:dyDescent="0.35">
      <c r="A16" s="5"/>
      <c r="B16" s="119"/>
      <c r="C16" s="122"/>
      <c r="D16" s="177">
        <f>SUMIF(SALES!$P$7:$P$488,'HSN SALE SUMMERY'!A$4:$A$115,SALES!$V$7:$V$488)</f>
        <v>0</v>
      </c>
      <c r="E16" s="177">
        <f>SUMIF(SALES!$P$7:$P$488,'HSN SALE SUMMERY'!$A$4:$A$115,SALES!$E$7:$E$488)</f>
        <v>0</v>
      </c>
      <c r="F16" s="177">
        <f>SUMIF(SALES!$P$7:$P$488,'HSN SALE SUMMERY'!$A$4:$A$115,SALES!$K$7:$K$488)</f>
        <v>0</v>
      </c>
      <c r="G16" s="177">
        <f>SUMIF(SALES!$P$7:$P$488,'HSN SALE SUMMERY'!$A$4:$A$115,SALES!$L$7:$L$488)</f>
        <v>0</v>
      </c>
      <c r="H16" s="177">
        <f>SUMIF(SALES!$P$7:$P$488,'HSN SALE SUMMERY'!$A$4:$A$115,SALES!$M$7:$M$488)</f>
        <v>0</v>
      </c>
      <c r="I16" s="177">
        <f>SUMIF(SALES!$P$7:$P$488,'HSN SALE SUMMERY'!$A$4:$A$115,SALES!$N$7:$N$488)</f>
        <v>0</v>
      </c>
      <c r="J16" s="177">
        <f>SUMIF(SALES!$P$7:$P$488,'HSN SALE SUMMERY'!$A$4:$A$115,SALES!$O$7:$O$488)</f>
        <v>0</v>
      </c>
    </row>
    <row r="17" spans="1:10" ht="15" thickBot="1" x14ac:dyDescent="0.35">
      <c r="A17" s="3"/>
      <c r="B17" s="20"/>
      <c r="C17" s="3"/>
      <c r="D17" s="18">
        <f t="shared" ref="D17:J17" si="0">SUM(D4:D16)</f>
        <v>252273</v>
      </c>
      <c r="E17" s="18">
        <f t="shared" si="0"/>
        <v>11233998.460000001</v>
      </c>
      <c r="F17" s="18">
        <f t="shared" si="0"/>
        <v>8825813.5199999996</v>
      </c>
      <c r="G17" s="18">
        <f t="shared" si="0"/>
        <v>76678.489999999991</v>
      </c>
      <c r="H17" s="18">
        <f t="shared" si="0"/>
        <v>1165753.1978000002</v>
      </c>
      <c r="I17" s="18">
        <f t="shared" si="0"/>
        <v>1165753.1978000002</v>
      </c>
      <c r="J17" s="18">
        <f t="shared" si="0"/>
        <v>0</v>
      </c>
    </row>
    <row r="20" spans="1:10" x14ac:dyDescent="0.3">
      <c r="F20" s="129"/>
    </row>
    <row r="21" spans="1:10" x14ac:dyDescent="0.3">
      <c r="F21" s="129"/>
    </row>
    <row r="22" spans="1:10" x14ac:dyDescent="0.3">
      <c r="F22" s="129"/>
    </row>
    <row r="23" spans="1:10" x14ac:dyDescent="0.3">
      <c r="F23" s="129"/>
    </row>
    <row r="24" spans="1:10" x14ac:dyDescent="0.3">
      <c r="F24" s="129"/>
    </row>
    <row r="25" spans="1:10" x14ac:dyDescent="0.3">
      <c r="F25" s="129"/>
    </row>
    <row r="26" spans="1:10" x14ac:dyDescent="0.3">
      <c r="F26" s="129"/>
    </row>
    <row r="27" spans="1:10" x14ac:dyDescent="0.3">
      <c r="F27" s="129"/>
    </row>
    <row r="28" spans="1:10" x14ac:dyDescent="0.3">
      <c r="F28" s="129"/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1"/>
  <sheetViews>
    <sheetView topLeftCell="B316" workbookViewId="0">
      <selection activeCell="G336" sqref="G336"/>
    </sheetView>
  </sheetViews>
  <sheetFormatPr defaultRowHeight="14.4" x14ac:dyDescent="0.3"/>
  <cols>
    <col min="1" max="1" width="31.33203125" customWidth="1"/>
    <col min="2" max="2" width="18.6640625" bestFit="1" customWidth="1"/>
    <col min="3" max="3" width="12" bestFit="1" customWidth="1"/>
    <col min="5" max="5" width="13.6640625" bestFit="1" customWidth="1"/>
    <col min="6" max="6" width="17.33203125" bestFit="1" customWidth="1"/>
    <col min="7" max="7" width="7.44140625" customWidth="1"/>
    <col min="8" max="8" width="10.44140625" customWidth="1"/>
    <col min="11" max="11" width="13.21875" style="129" bestFit="1" customWidth="1"/>
    <col min="12" max="12" width="10.109375" style="129" bestFit="1" customWidth="1"/>
    <col min="13" max="14" width="11.109375" style="129" bestFit="1" customWidth="1"/>
    <col min="15" max="15" width="7.44140625" bestFit="1" customWidth="1"/>
    <col min="16" max="17" width="7.44140625" customWidth="1"/>
    <col min="19" max="19" width="34.5546875" customWidth="1"/>
  </cols>
  <sheetData>
    <row r="1" spans="1:28" ht="15" thickTop="1" x14ac:dyDescent="0.3">
      <c r="A1" s="144"/>
      <c r="B1" s="145"/>
      <c r="C1" s="145"/>
      <c r="D1" s="145"/>
      <c r="E1" s="145"/>
      <c r="F1" s="145"/>
      <c r="G1" s="145"/>
      <c r="H1" s="145"/>
      <c r="I1" s="145"/>
      <c r="J1" s="145"/>
      <c r="K1" s="272"/>
      <c r="L1" s="273"/>
      <c r="M1" s="273"/>
      <c r="N1" s="273"/>
      <c r="O1" s="145"/>
      <c r="P1" s="145"/>
      <c r="Q1" s="145"/>
      <c r="R1" s="179"/>
      <c r="S1" s="145"/>
      <c r="T1" s="145"/>
      <c r="U1" s="145"/>
      <c r="V1" s="145"/>
      <c r="W1" s="145"/>
      <c r="X1" s="180"/>
    </row>
    <row r="2" spans="1:28" x14ac:dyDescent="0.3">
      <c r="A2" s="165"/>
      <c r="B2" s="118"/>
      <c r="C2" s="118"/>
      <c r="D2" s="118"/>
      <c r="E2" s="118"/>
      <c r="F2" s="118"/>
      <c r="G2" s="118"/>
      <c r="H2" s="118"/>
      <c r="I2" s="118"/>
      <c r="J2" s="118"/>
      <c r="K2" s="274"/>
      <c r="L2" s="141"/>
      <c r="M2" s="141"/>
      <c r="N2" s="141"/>
      <c r="O2" s="118"/>
      <c r="P2" s="118"/>
      <c r="Q2" s="118"/>
      <c r="R2" s="182"/>
      <c r="S2" s="118"/>
      <c r="T2" s="118"/>
      <c r="U2" s="118"/>
      <c r="V2" s="118"/>
      <c r="W2" s="118"/>
      <c r="X2" s="166"/>
    </row>
    <row r="3" spans="1:28" x14ac:dyDescent="0.3">
      <c r="A3" s="165"/>
      <c r="B3" s="118"/>
      <c r="C3" s="118" t="s">
        <v>298</v>
      </c>
      <c r="D3" s="118"/>
      <c r="E3" s="118"/>
      <c r="F3" s="118"/>
      <c r="G3" s="118"/>
      <c r="H3" s="118"/>
      <c r="I3" s="118"/>
      <c r="J3" s="118"/>
      <c r="K3" s="274"/>
      <c r="L3" s="141"/>
      <c r="M3" s="141"/>
      <c r="N3" s="141"/>
      <c r="O3" s="118"/>
      <c r="P3" s="118"/>
      <c r="Q3" s="118"/>
      <c r="R3" s="182"/>
      <c r="S3" s="118"/>
      <c r="T3" s="118"/>
      <c r="U3" s="118"/>
      <c r="V3" s="118"/>
      <c r="W3" s="118"/>
      <c r="X3" s="166"/>
    </row>
    <row r="4" spans="1:28" ht="15" thickBot="1" x14ac:dyDescent="0.35">
      <c r="A4" s="183"/>
      <c r="B4" s="184"/>
      <c r="C4" s="184"/>
      <c r="D4" s="184"/>
      <c r="E4" s="184"/>
      <c r="F4" s="184"/>
      <c r="G4" s="184"/>
      <c r="H4" s="184"/>
      <c r="I4" s="184"/>
      <c r="J4" s="184"/>
      <c r="K4" s="275"/>
      <c r="L4" s="276"/>
      <c r="M4" s="276"/>
      <c r="N4" s="276"/>
      <c r="O4" s="184"/>
      <c r="P4" s="184"/>
      <c r="Q4" s="184"/>
      <c r="R4" s="186"/>
      <c r="S4" s="184"/>
      <c r="T4" s="184"/>
      <c r="U4" s="184"/>
      <c r="V4" s="184"/>
      <c r="W4" s="184"/>
      <c r="X4" s="187"/>
    </row>
    <row r="5" spans="1:28" ht="15.6" thickTop="1" thickBot="1" x14ac:dyDescent="0.35">
      <c r="A5" s="136"/>
      <c r="B5" s="136"/>
      <c r="C5" s="136"/>
      <c r="D5" s="136"/>
      <c r="E5" s="136" t="s">
        <v>18</v>
      </c>
      <c r="F5" s="136" t="s">
        <v>27</v>
      </c>
      <c r="G5" s="141" t="s">
        <v>30</v>
      </c>
      <c r="H5" s="141" t="s">
        <v>28</v>
      </c>
      <c r="I5" s="118"/>
      <c r="J5" s="139" t="s">
        <v>24</v>
      </c>
      <c r="K5" s="138" t="s">
        <v>18</v>
      </c>
      <c r="L5" s="141" t="s">
        <v>18</v>
      </c>
      <c r="M5" s="141" t="s">
        <v>18</v>
      </c>
      <c r="N5" s="141" t="s">
        <v>18</v>
      </c>
      <c r="O5" s="141" t="s">
        <v>18</v>
      </c>
      <c r="P5" s="141" t="s">
        <v>28</v>
      </c>
      <c r="Q5" s="141" t="s">
        <v>343</v>
      </c>
      <c r="R5" s="175" t="s">
        <v>33</v>
      </c>
      <c r="S5" s="136" t="s">
        <v>21</v>
      </c>
      <c r="T5" s="136"/>
      <c r="U5" s="136" t="s">
        <v>32</v>
      </c>
      <c r="V5" s="136" t="s">
        <v>32</v>
      </c>
      <c r="W5" s="136" t="s">
        <v>32</v>
      </c>
      <c r="X5" s="136" t="s">
        <v>32</v>
      </c>
    </row>
    <row r="6" spans="1:28" ht="15.6" thickTop="1" thickBot="1" x14ac:dyDescent="0.35">
      <c r="A6" s="193" t="s">
        <v>15</v>
      </c>
      <c r="B6" s="193" t="s">
        <v>0</v>
      </c>
      <c r="C6" s="193" t="s">
        <v>16</v>
      </c>
      <c r="D6" s="193" t="s">
        <v>17</v>
      </c>
      <c r="E6" s="193" t="s">
        <v>19</v>
      </c>
      <c r="F6" s="193" t="s">
        <v>26</v>
      </c>
      <c r="G6" s="193" t="s">
        <v>29</v>
      </c>
      <c r="H6" s="193" t="s">
        <v>19</v>
      </c>
      <c r="I6" s="194" t="s">
        <v>58</v>
      </c>
      <c r="J6" s="195" t="s">
        <v>35</v>
      </c>
      <c r="K6" s="196" t="s">
        <v>25</v>
      </c>
      <c r="L6" s="197" t="s">
        <v>1</v>
      </c>
      <c r="M6" s="198" t="s">
        <v>2</v>
      </c>
      <c r="N6" s="198" t="s">
        <v>3</v>
      </c>
      <c r="O6" s="198" t="s">
        <v>4</v>
      </c>
      <c r="P6" s="250" t="s">
        <v>349</v>
      </c>
      <c r="Q6" s="250" t="s">
        <v>342</v>
      </c>
      <c r="R6" s="199" t="s">
        <v>7</v>
      </c>
      <c r="S6" s="193" t="s">
        <v>20</v>
      </c>
      <c r="T6" s="193" t="s">
        <v>23</v>
      </c>
      <c r="U6" s="193" t="s">
        <v>8</v>
      </c>
      <c r="V6" s="193" t="s">
        <v>9</v>
      </c>
      <c r="W6" s="193" t="s">
        <v>10</v>
      </c>
      <c r="X6" s="193" t="s">
        <v>31</v>
      </c>
    </row>
    <row r="7" spans="1:28" ht="15" thickBot="1" x14ac:dyDescent="0.35">
      <c r="A7" s="2" t="s">
        <v>437</v>
      </c>
      <c r="B7" s="2" t="s">
        <v>438</v>
      </c>
      <c r="C7" s="2">
        <v>3101001748</v>
      </c>
      <c r="D7" s="2" t="s">
        <v>433</v>
      </c>
      <c r="E7" s="278">
        <v>102481.92</v>
      </c>
      <c r="F7" s="2" t="s">
        <v>442</v>
      </c>
      <c r="G7" s="2"/>
      <c r="H7" s="2"/>
      <c r="I7" s="23"/>
      <c r="J7" s="279">
        <v>28</v>
      </c>
      <c r="K7" s="134">
        <v>80064</v>
      </c>
      <c r="L7" s="18">
        <v>22417.919999999998</v>
      </c>
      <c r="M7" s="18">
        <v>0</v>
      </c>
      <c r="N7" s="18">
        <v>0</v>
      </c>
      <c r="O7" s="3"/>
      <c r="P7" s="2"/>
      <c r="Q7" s="2"/>
      <c r="R7" s="2">
        <v>32082090</v>
      </c>
      <c r="S7" s="281" t="s">
        <v>22</v>
      </c>
      <c r="T7" s="2" t="s">
        <v>197</v>
      </c>
      <c r="U7" s="278">
        <v>0</v>
      </c>
      <c r="V7" s="278">
        <v>0</v>
      </c>
      <c r="W7" s="278">
        <f t="shared" ref="W7:W70" si="0">+U7-V7</f>
        <v>0</v>
      </c>
      <c r="X7" s="278">
        <v>240</v>
      </c>
    </row>
    <row r="8" spans="1:28" x14ac:dyDescent="0.3">
      <c r="A8" s="5" t="s">
        <v>437</v>
      </c>
      <c r="B8" s="5" t="s">
        <v>438</v>
      </c>
      <c r="C8" s="5">
        <v>3101001748</v>
      </c>
      <c r="D8" s="5" t="s">
        <v>433</v>
      </c>
      <c r="E8" s="7">
        <v>17254</v>
      </c>
      <c r="F8" s="5" t="s">
        <v>442</v>
      </c>
      <c r="G8" s="1"/>
      <c r="H8" s="1"/>
      <c r="I8" s="1"/>
      <c r="J8" s="14">
        <v>28</v>
      </c>
      <c r="K8" s="138">
        <v>13480</v>
      </c>
      <c r="L8" s="133">
        <v>3774.4</v>
      </c>
      <c r="M8" s="133">
        <v>0</v>
      </c>
      <c r="N8" s="133">
        <v>0</v>
      </c>
      <c r="O8" s="1"/>
      <c r="P8" s="1"/>
      <c r="Q8" s="1"/>
      <c r="R8" s="5">
        <v>38140010</v>
      </c>
      <c r="S8" s="17" t="s">
        <v>199</v>
      </c>
      <c r="T8" s="5" t="s">
        <v>197</v>
      </c>
      <c r="U8" s="7">
        <v>0</v>
      </c>
      <c r="V8" s="7">
        <v>0</v>
      </c>
      <c r="W8" s="7">
        <f t="shared" si="0"/>
        <v>0</v>
      </c>
      <c r="X8" s="7">
        <v>40</v>
      </c>
    </row>
    <row r="9" spans="1:28" x14ac:dyDescent="0.3">
      <c r="A9" s="5" t="s">
        <v>428</v>
      </c>
      <c r="B9" s="5" t="s">
        <v>429</v>
      </c>
      <c r="C9" s="5">
        <v>1106</v>
      </c>
      <c r="D9" s="5" t="s">
        <v>430</v>
      </c>
      <c r="E9" s="7">
        <v>24780</v>
      </c>
      <c r="F9" s="5" t="s">
        <v>14</v>
      </c>
      <c r="G9" s="5"/>
      <c r="H9" s="5"/>
      <c r="I9" s="5"/>
      <c r="J9" s="14">
        <v>18</v>
      </c>
      <c r="K9" s="138">
        <v>21000</v>
      </c>
      <c r="L9" s="136">
        <v>0</v>
      </c>
      <c r="M9" s="136">
        <v>1890</v>
      </c>
      <c r="N9" s="136">
        <v>1890</v>
      </c>
      <c r="O9" s="5"/>
      <c r="P9" s="5"/>
      <c r="Q9" s="5"/>
      <c r="R9" s="5">
        <v>90318000</v>
      </c>
      <c r="S9" s="17" t="s">
        <v>464</v>
      </c>
      <c r="T9" s="5" t="s">
        <v>13</v>
      </c>
      <c r="U9" s="7">
        <v>0</v>
      </c>
      <c r="V9" s="7">
        <v>0</v>
      </c>
      <c r="W9" s="7">
        <f t="shared" si="0"/>
        <v>0</v>
      </c>
      <c r="X9" s="7">
        <v>1</v>
      </c>
    </row>
    <row r="10" spans="1:28" x14ac:dyDescent="0.3">
      <c r="A10" s="5" t="s">
        <v>307</v>
      </c>
      <c r="B10" s="5" t="s">
        <v>308</v>
      </c>
      <c r="C10" s="5">
        <v>814</v>
      </c>
      <c r="D10" s="5" t="s">
        <v>361</v>
      </c>
      <c r="E10" s="7">
        <v>4130</v>
      </c>
      <c r="F10" s="5" t="s">
        <v>14</v>
      </c>
      <c r="G10" s="5" t="s">
        <v>11</v>
      </c>
      <c r="H10" s="5" t="s">
        <v>12</v>
      </c>
      <c r="I10" s="5"/>
      <c r="J10" s="14">
        <v>18</v>
      </c>
      <c r="K10" s="138">
        <v>3500</v>
      </c>
      <c r="L10" s="136">
        <v>0</v>
      </c>
      <c r="M10" s="136">
        <v>315</v>
      </c>
      <c r="N10" s="136">
        <v>315</v>
      </c>
      <c r="O10" s="5"/>
      <c r="P10" s="5" t="s">
        <v>350</v>
      </c>
      <c r="Q10" s="5" t="s">
        <v>342</v>
      </c>
      <c r="R10" s="5">
        <v>998422</v>
      </c>
      <c r="S10" s="17" t="s">
        <v>445</v>
      </c>
      <c r="T10" s="5" t="s">
        <v>197</v>
      </c>
      <c r="U10" s="7">
        <v>0</v>
      </c>
      <c r="V10" s="7">
        <v>0</v>
      </c>
      <c r="W10" s="7">
        <f t="shared" si="0"/>
        <v>0</v>
      </c>
      <c r="X10" s="7">
        <v>0</v>
      </c>
    </row>
    <row r="11" spans="1:28" x14ac:dyDescent="0.3">
      <c r="A11" s="5" t="s">
        <v>425</v>
      </c>
      <c r="B11" s="5" t="s">
        <v>426</v>
      </c>
      <c r="C11" s="5" t="s">
        <v>427</v>
      </c>
      <c r="D11" s="5" t="s">
        <v>424</v>
      </c>
      <c r="E11" s="7">
        <f>13788+1930.32+1930.32</f>
        <v>17648.64</v>
      </c>
      <c r="F11" s="5" t="s">
        <v>14</v>
      </c>
      <c r="G11" s="5"/>
      <c r="H11" s="5"/>
      <c r="I11" s="5"/>
      <c r="J11" s="14">
        <v>28</v>
      </c>
      <c r="K11" s="138">
        <v>13788</v>
      </c>
      <c r="L11" s="136">
        <v>0</v>
      </c>
      <c r="M11" s="136">
        <v>1930.32</v>
      </c>
      <c r="N11" s="136">
        <v>1930.32</v>
      </c>
      <c r="O11" s="5"/>
      <c r="P11" s="5"/>
      <c r="Q11" s="5"/>
      <c r="R11" s="5">
        <v>85446090</v>
      </c>
      <c r="S11" s="17" t="s">
        <v>463</v>
      </c>
      <c r="T11" s="5" t="s">
        <v>13</v>
      </c>
      <c r="U11" s="7">
        <v>0</v>
      </c>
      <c r="V11" s="7">
        <v>0</v>
      </c>
      <c r="W11" s="7">
        <f t="shared" si="0"/>
        <v>0</v>
      </c>
      <c r="X11" s="7">
        <f>20+31+21</f>
        <v>72</v>
      </c>
    </row>
    <row r="12" spans="1:28" x14ac:dyDescent="0.3">
      <c r="A12" s="5" t="s">
        <v>425</v>
      </c>
      <c r="B12" s="5" t="s">
        <v>426</v>
      </c>
      <c r="C12" s="5" t="s">
        <v>427</v>
      </c>
      <c r="D12" s="5" t="s">
        <v>424</v>
      </c>
      <c r="E12" s="7">
        <f>60+5.4+5.4</f>
        <v>70.800000000000011</v>
      </c>
      <c r="F12" s="5" t="s">
        <v>14</v>
      </c>
      <c r="G12" s="5"/>
      <c r="H12" s="5"/>
      <c r="I12" s="5"/>
      <c r="J12" s="14">
        <v>18</v>
      </c>
      <c r="K12" s="138">
        <v>60</v>
      </c>
      <c r="L12" s="136">
        <v>0</v>
      </c>
      <c r="M12" s="136">
        <v>5.3999999999999995</v>
      </c>
      <c r="N12" s="136">
        <v>5.3999999999999995</v>
      </c>
      <c r="O12" s="5"/>
      <c r="P12" s="5"/>
      <c r="Q12" s="5"/>
      <c r="R12" s="5">
        <v>8546</v>
      </c>
      <c r="S12" s="17" t="s">
        <v>463</v>
      </c>
      <c r="T12" s="5" t="s">
        <v>13</v>
      </c>
      <c r="U12" s="7">
        <v>0</v>
      </c>
      <c r="V12" s="7">
        <v>0</v>
      </c>
      <c r="W12" s="7">
        <f t="shared" si="0"/>
        <v>0</v>
      </c>
      <c r="X12" s="7">
        <v>6</v>
      </c>
      <c r="Y12">
        <f>+K12/100*9</f>
        <v>5.3999999999999995</v>
      </c>
      <c r="Z12">
        <f>+K12/100*9</f>
        <v>5.3999999999999995</v>
      </c>
      <c r="AA12" s="129">
        <f>+Y12-M12</f>
        <v>0</v>
      </c>
      <c r="AB12" s="129">
        <f>+N12-Z12</f>
        <v>0</v>
      </c>
    </row>
    <row r="13" spans="1:28" x14ac:dyDescent="0.3">
      <c r="A13" s="5" t="s">
        <v>201</v>
      </c>
      <c r="B13" s="5" t="s">
        <v>200</v>
      </c>
      <c r="C13" s="5">
        <v>1784</v>
      </c>
      <c r="D13" s="5" t="s">
        <v>368</v>
      </c>
      <c r="E13" s="7">
        <v>39565</v>
      </c>
      <c r="F13" s="5" t="s">
        <v>14</v>
      </c>
      <c r="G13" s="5" t="s">
        <v>11</v>
      </c>
      <c r="H13" s="5" t="s">
        <v>12</v>
      </c>
      <c r="I13" s="5"/>
      <c r="J13" s="14">
        <v>28</v>
      </c>
      <c r="K13" s="138">
        <v>30910</v>
      </c>
      <c r="L13" s="136">
        <v>0</v>
      </c>
      <c r="M13" s="136">
        <v>4327.4000000000005</v>
      </c>
      <c r="N13" s="136">
        <v>4327.4000000000005</v>
      </c>
      <c r="O13" s="5"/>
      <c r="P13" s="5" t="s">
        <v>350</v>
      </c>
      <c r="Q13" s="5" t="s">
        <v>342</v>
      </c>
      <c r="R13" s="5">
        <v>85129000</v>
      </c>
      <c r="S13" s="5" t="s">
        <v>202</v>
      </c>
      <c r="T13" s="5" t="s">
        <v>13</v>
      </c>
      <c r="U13" s="7">
        <v>0</v>
      </c>
      <c r="V13" s="7">
        <v>0</v>
      </c>
      <c r="W13" s="7">
        <f t="shared" si="0"/>
        <v>0</v>
      </c>
      <c r="X13" s="7">
        <v>1100</v>
      </c>
      <c r="Y13">
        <f t="shared" ref="Y13:Y14" si="1">+K13/100*9</f>
        <v>2781.9</v>
      </c>
      <c r="Z13">
        <f t="shared" ref="Z13:Z14" si="2">+K13/100*9</f>
        <v>2781.9</v>
      </c>
      <c r="AA13" s="129">
        <f t="shared" ref="AA13:AA14" si="3">+Y13-M13</f>
        <v>-1545.5000000000005</v>
      </c>
      <c r="AB13" s="129">
        <f t="shared" ref="AB13:AB14" si="4">+N13-Z13</f>
        <v>1545.5000000000005</v>
      </c>
    </row>
    <row r="14" spans="1:28" x14ac:dyDescent="0.3">
      <c r="A14" s="5" t="s">
        <v>201</v>
      </c>
      <c r="B14" s="5" t="s">
        <v>200</v>
      </c>
      <c r="C14" s="5">
        <v>1820</v>
      </c>
      <c r="D14" s="5" t="s">
        <v>375</v>
      </c>
      <c r="E14" s="7">
        <v>21905</v>
      </c>
      <c r="F14" s="5" t="s">
        <v>14</v>
      </c>
      <c r="G14" s="5" t="s">
        <v>11</v>
      </c>
      <c r="H14" s="5" t="s">
        <v>12</v>
      </c>
      <c r="I14" s="5"/>
      <c r="J14" s="14">
        <v>28</v>
      </c>
      <c r="K14" s="138">
        <v>17112.900000000001</v>
      </c>
      <c r="L14" s="136">
        <v>0</v>
      </c>
      <c r="M14" s="136">
        <v>2395.8060000000005</v>
      </c>
      <c r="N14" s="136">
        <v>2395.8060000000005</v>
      </c>
      <c r="O14" s="5"/>
      <c r="P14" s="5" t="s">
        <v>350</v>
      </c>
      <c r="Q14" s="5" t="s">
        <v>342</v>
      </c>
      <c r="R14" s="5">
        <v>85129000</v>
      </c>
      <c r="S14" s="5" t="s">
        <v>202</v>
      </c>
      <c r="T14" s="5" t="s">
        <v>13</v>
      </c>
      <c r="U14" s="7">
        <v>0</v>
      </c>
      <c r="V14" s="7">
        <v>0</v>
      </c>
      <c r="W14" s="7">
        <f t="shared" si="0"/>
        <v>0</v>
      </c>
      <c r="X14" s="7">
        <v>609</v>
      </c>
      <c r="Y14">
        <f t="shared" si="1"/>
        <v>1540.1610000000001</v>
      </c>
      <c r="Z14">
        <f t="shared" si="2"/>
        <v>1540.1610000000001</v>
      </c>
      <c r="AA14" s="129">
        <f t="shared" si="3"/>
        <v>-855.64500000000044</v>
      </c>
      <c r="AB14" s="129">
        <f t="shared" si="4"/>
        <v>855.64500000000044</v>
      </c>
    </row>
    <row r="15" spans="1:28" x14ac:dyDescent="0.3">
      <c r="A15" s="5" t="s">
        <v>201</v>
      </c>
      <c r="B15" s="5" t="s">
        <v>200</v>
      </c>
      <c r="C15" s="5">
        <v>1874</v>
      </c>
      <c r="D15" s="5" t="s">
        <v>386</v>
      </c>
      <c r="E15" s="7">
        <v>17984</v>
      </c>
      <c r="F15" s="5" t="s">
        <v>14</v>
      </c>
      <c r="G15" s="5" t="s">
        <v>11</v>
      </c>
      <c r="H15" s="5" t="s">
        <v>12</v>
      </c>
      <c r="I15" s="5"/>
      <c r="J15" s="14">
        <v>28</v>
      </c>
      <c r="K15" s="138">
        <v>14050</v>
      </c>
      <c r="L15" s="136">
        <v>0</v>
      </c>
      <c r="M15" s="136">
        <v>1967</v>
      </c>
      <c r="N15" s="136">
        <v>1967</v>
      </c>
      <c r="O15" s="5"/>
      <c r="P15" s="5" t="s">
        <v>350</v>
      </c>
      <c r="Q15" s="5" t="s">
        <v>342</v>
      </c>
      <c r="R15" s="5">
        <v>85129000</v>
      </c>
      <c r="S15" s="5" t="s">
        <v>202</v>
      </c>
      <c r="T15" s="5" t="s">
        <v>13</v>
      </c>
      <c r="U15" s="7">
        <v>0</v>
      </c>
      <c r="V15" s="7">
        <v>0</v>
      </c>
      <c r="W15" s="7">
        <f t="shared" si="0"/>
        <v>0</v>
      </c>
      <c r="X15" s="7">
        <v>500</v>
      </c>
    </row>
    <row r="16" spans="1:28" x14ac:dyDescent="0.3">
      <c r="A16" s="5" t="s">
        <v>201</v>
      </c>
      <c r="B16" s="5" t="s">
        <v>200</v>
      </c>
      <c r="C16" s="5">
        <v>1882</v>
      </c>
      <c r="D16" s="5" t="s">
        <v>387</v>
      </c>
      <c r="E16" s="7">
        <v>25178</v>
      </c>
      <c r="F16" s="5" t="s">
        <v>14</v>
      </c>
      <c r="G16" s="5" t="s">
        <v>11</v>
      </c>
      <c r="H16" s="5" t="s">
        <v>12</v>
      </c>
      <c r="I16" s="5"/>
      <c r="J16" s="14">
        <v>28</v>
      </c>
      <c r="K16" s="138">
        <v>19670</v>
      </c>
      <c r="L16" s="136">
        <v>0</v>
      </c>
      <c r="M16" s="136">
        <v>2753.7999999999997</v>
      </c>
      <c r="N16" s="136">
        <v>2753.7999999999997</v>
      </c>
      <c r="O16" s="5"/>
      <c r="P16" s="5" t="s">
        <v>350</v>
      </c>
      <c r="Q16" s="5" t="s">
        <v>342</v>
      </c>
      <c r="R16" s="5">
        <v>85129000</v>
      </c>
      <c r="S16" s="5" t="s">
        <v>202</v>
      </c>
      <c r="T16" s="5" t="s">
        <v>13</v>
      </c>
      <c r="U16" s="7">
        <v>0</v>
      </c>
      <c r="V16" s="7">
        <v>0</v>
      </c>
      <c r="W16" s="7">
        <f t="shared" si="0"/>
        <v>0</v>
      </c>
      <c r="X16" s="7">
        <v>700</v>
      </c>
    </row>
    <row r="17" spans="1:28" x14ac:dyDescent="0.3">
      <c r="A17" s="5" t="s">
        <v>201</v>
      </c>
      <c r="B17" s="5" t="s">
        <v>200</v>
      </c>
      <c r="C17" s="5">
        <v>1883</v>
      </c>
      <c r="D17" s="5" t="s">
        <v>390</v>
      </c>
      <c r="E17" s="7">
        <v>43162</v>
      </c>
      <c r="F17" s="5" t="s">
        <v>14</v>
      </c>
      <c r="G17" s="5" t="s">
        <v>11</v>
      </c>
      <c r="H17" s="5" t="s">
        <v>12</v>
      </c>
      <c r="I17" s="5"/>
      <c r="J17" s="14">
        <v>28</v>
      </c>
      <c r="K17" s="138">
        <v>33720</v>
      </c>
      <c r="L17" s="136">
        <v>0</v>
      </c>
      <c r="M17" s="136">
        <v>4720.8</v>
      </c>
      <c r="N17" s="136">
        <v>4720.8</v>
      </c>
      <c r="O17" s="5"/>
      <c r="P17" s="5" t="s">
        <v>350</v>
      </c>
      <c r="Q17" s="5" t="s">
        <v>342</v>
      </c>
      <c r="R17" s="5">
        <v>85129000</v>
      </c>
      <c r="S17" s="5" t="s">
        <v>202</v>
      </c>
      <c r="T17" s="5" t="s">
        <v>13</v>
      </c>
      <c r="U17" s="7">
        <v>0</v>
      </c>
      <c r="V17" s="7">
        <v>0</v>
      </c>
      <c r="W17" s="7">
        <f t="shared" si="0"/>
        <v>0</v>
      </c>
      <c r="X17" s="7">
        <v>1200</v>
      </c>
    </row>
    <row r="18" spans="1:28" x14ac:dyDescent="0.3">
      <c r="A18" s="5" t="s">
        <v>201</v>
      </c>
      <c r="B18" s="5" t="s">
        <v>200</v>
      </c>
      <c r="C18" s="5">
        <v>1893</v>
      </c>
      <c r="D18" s="5" t="s">
        <v>392</v>
      </c>
      <c r="E18" s="7">
        <v>43162</v>
      </c>
      <c r="F18" s="5" t="s">
        <v>14</v>
      </c>
      <c r="G18" s="5" t="s">
        <v>11</v>
      </c>
      <c r="H18" s="5" t="s">
        <v>12</v>
      </c>
      <c r="I18" s="5"/>
      <c r="J18" s="14">
        <v>28</v>
      </c>
      <c r="K18" s="138">
        <v>33720</v>
      </c>
      <c r="L18" s="136">
        <v>0</v>
      </c>
      <c r="M18" s="136">
        <v>4720.8</v>
      </c>
      <c r="N18" s="136">
        <v>4720.8</v>
      </c>
      <c r="O18" s="5"/>
      <c r="P18" s="5" t="s">
        <v>350</v>
      </c>
      <c r="Q18" s="5" t="s">
        <v>342</v>
      </c>
      <c r="R18" s="5">
        <v>85129000</v>
      </c>
      <c r="S18" s="5" t="s">
        <v>202</v>
      </c>
      <c r="T18" s="5" t="s">
        <v>13</v>
      </c>
      <c r="U18" s="7">
        <v>0</v>
      </c>
      <c r="V18" s="7">
        <v>0</v>
      </c>
      <c r="W18" s="7">
        <f t="shared" si="0"/>
        <v>0</v>
      </c>
      <c r="X18" s="7">
        <v>1200</v>
      </c>
    </row>
    <row r="19" spans="1:28" x14ac:dyDescent="0.3">
      <c r="A19" s="5" t="s">
        <v>201</v>
      </c>
      <c r="B19" s="5" t="s">
        <v>200</v>
      </c>
      <c r="C19" s="5">
        <v>1918</v>
      </c>
      <c r="D19" s="5" t="s">
        <v>396</v>
      </c>
      <c r="E19" s="7">
        <v>11258</v>
      </c>
      <c r="F19" s="5" t="s">
        <v>14</v>
      </c>
      <c r="G19" s="5" t="s">
        <v>11</v>
      </c>
      <c r="H19" s="5" t="s">
        <v>12</v>
      </c>
      <c r="I19" s="5"/>
      <c r="J19" s="14">
        <v>28</v>
      </c>
      <c r="K19" s="138">
        <v>8795.2999999999993</v>
      </c>
      <c r="L19" s="136">
        <v>0</v>
      </c>
      <c r="M19" s="136">
        <v>1231.3419999999999</v>
      </c>
      <c r="N19" s="136">
        <v>1231.3419999999999</v>
      </c>
      <c r="O19" s="5"/>
      <c r="P19" s="5" t="s">
        <v>350</v>
      </c>
      <c r="Q19" s="5" t="s">
        <v>342</v>
      </c>
      <c r="R19" s="5">
        <v>85129000</v>
      </c>
      <c r="S19" s="5" t="s">
        <v>202</v>
      </c>
      <c r="T19" s="5" t="s">
        <v>13</v>
      </c>
      <c r="U19" s="7">
        <v>0</v>
      </c>
      <c r="V19" s="7">
        <v>0</v>
      </c>
      <c r="W19" s="7">
        <f t="shared" si="0"/>
        <v>0</v>
      </c>
      <c r="X19" s="7">
        <v>313</v>
      </c>
    </row>
    <row r="20" spans="1:28" x14ac:dyDescent="0.3">
      <c r="A20" s="5" t="s">
        <v>201</v>
      </c>
      <c r="B20" s="5" t="s">
        <v>200</v>
      </c>
      <c r="C20" s="5">
        <v>1931</v>
      </c>
      <c r="D20" s="5" t="s">
        <v>398</v>
      </c>
      <c r="E20" s="7">
        <v>39565</v>
      </c>
      <c r="F20" s="5" t="s">
        <v>14</v>
      </c>
      <c r="G20" s="5" t="s">
        <v>11</v>
      </c>
      <c r="H20" s="5" t="s">
        <v>12</v>
      </c>
      <c r="I20" s="5"/>
      <c r="J20" s="14">
        <v>28</v>
      </c>
      <c r="K20" s="138">
        <v>30910</v>
      </c>
      <c r="L20" s="136">
        <v>0</v>
      </c>
      <c r="M20" s="136">
        <v>4327.4000000000005</v>
      </c>
      <c r="N20" s="136">
        <v>4327.4000000000005</v>
      </c>
      <c r="O20" s="5"/>
      <c r="P20" s="5" t="s">
        <v>350</v>
      </c>
      <c r="Q20" s="5" t="s">
        <v>342</v>
      </c>
      <c r="R20" s="5">
        <v>85129000</v>
      </c>
      <c r="S20" s="5" t="s">
        <v>202</v>
      </c>
      <c r="T20" s="5" t="s">
        <v>13</v>
      </c>
      <c r="U20" s="7">
        <v>0</v>
      </c>
      <c r="V20" s="7">
        <v>0</v>
      </c>
      <c r="W20" s="7">
        <f t="shared" si="0"/>
        <v>0</v>
      </c>
      <c r="X20" s="7">
        <v>1100</v>
      </c>
      <c r="Y20">
        <f t="shared" ref="Y20:Y21" si="5">+K20/100*9</f>
        <v>2781.9</v>
      </c>
      <c r="Z20">
        <f t="shared" ref="Z20:Z21" si="6">+K20/100*9</f>
        <v>2781.9</v>
      </c>
      <c r="AA20" s="129">
        <f t="shared" ref="AA20:AA21" si="7">+Y20-M20</f>
        <v>-1545.5000000000005</v>
      </c>
      <c r="AB20" s="129">
        <f t="shared" ref="AB20:AB21" si="8">+N20-Z20</f>
        <v>1545.5000000000005</v>
      </c>
    </row>
    <row r="21" spans="1:28" x14ac:dyDescent="0.3">
      <c r="A21" s="5" t="s">
        <v>201</v>
      </c>
      <c r="B21" s="5" t="s">
        <v>200</v>
      </c>
      <c r="C21" s="5">
        <v>1956</v>
      </c>
      <c r="D21" s="5" t="s">
        <v>404</v>
      </c>
      <c r="E21" s="7">
        <v>297392</v>
      </c>
      <c r="F21" s="5" t="s">
        <v>14</v>
      </c>
      <c r="G21" s="5" t="s">
        <v>11</v>
      </c>
      <c r="H21" s="5" t="s">
        <v>12</v>
      </c>
      <c r="I21" s="5"/>
      <c r="J21" s="14">
        <v>28</v>
      </c>
      <c r="K21" s="138">
        <v>232337.66</v>
      </c>
      <c r="L21" s="136">
        <v>0</v>
      </c>
      <c r="M21" s="136">
        <v>32527.272400000002</v>
      </c>
      <c r="N21" s="136">
        <v>32527.272400000002</v>
      </c>
      <c r="O21" s="5"/>
      <c r="P21" s="5" t="s">
        <v>350</v>
      </c>
      <c r="Q21" s="5" t="s">
        <v>342</v>
      </c>
      <c r="R21" s="5">
        <v>85129000</v>
      </c>
      <c r="S21" s="5" t="s">
        <v>202</v>
      </c>
      <c r="T21" s="5" t="s">
        <v>13</v>
      </c>
      <c r="U21" s="7">
        <v>0</v>
      </c>
      <c r="V21" s="7">
        <v>0</v>
      </c>
      <c r="W21" s="7">
        <f t="shared" si="0"/>
        <v>0</v>
      </c>
      <c r="X21" s="7">
        <v>32314</v>
      </c>
      <c r="Y21">
        <f t="shared" si="5"/>
        <v>20910.3894</v>
      </c>
      <c r="Z21">
        <f t="shared" si="6"/>
        <v>20910.3894</v>
      </c>
      <c r="AA21" s="129">
        <f t="shared" si="7"/>
        <v>-11616.883000000002</v>
      </c>
      <c r="AB21" s="129">
        <f t="shared" si="8"/>
        <v>11616.883000000002</v>
      </c>
    </row>
    <row r="22" spans="1:28" x14ac:dyDescent="0.3">
      <c r="A22" s="5" t="s">
        <v>201</v>
      </c>
      <c r="B22" s="5" t="s">
        <v>200</v>
      </c>
      <c r="C22" s="5">
        <v>1970</v>
      </c>
      <c r="D22" s="5" t="s">
        <v>405</v>
      </c>
      <c r="E22" s="7">
        <v>36137</v>
      </c>
      <c r="F22" s="5" t="s">
        <v>14</v>
      </c>
      <c r="G22" s="5" t="s">
        <v>11</v>
      </c>
      <c r="H22" s="5" t="s">
        <v>12</v>
      </c>
      <c r="I22" s="5"/>
      <c r="J22" s="14">
        <v>28</v>
      </c>
      <c r="K22" s="138">
        <v>28232</v>
      </c>
      <c r="L22" s="136">
        <v>0</v>
      </c>
      <c r="M22" s="136">
        <v>3952.48</v>
      </c>
      <c r="N22" s="136">
        <v>3952.48</v>
      </c>
      <c r="O22" s="5"/>
      <c r="P22" s="5" t="s">
        <v>350</v>
      </c>
      <c r="Q22" s="5" t="s">
        <v>342</v>
      </c>
      <c r="R22" s="5">
        <v>85129000</v>
      </c>
      <c r="S22" s="5" t="s">
        <v>202</v>
      </c>
      <c r="T22" s="5" t="s">
        <v>13</v>
      </c>
      <c r="U22" s="7">
        <v>0</v>
      </c>
      <c r="V22" s="7">
        <v>0</v>
      </c>
      <c r="W22" s="7">
        <f t="shared" si="0"/>
        <v>0</v>
      </c>
      <c r="X22" s="7">
        <v>800</v>
      </c>
    </row>
    <row r="23" spans="1:28" x14ac:dyDescent="0.3">
      <c r="A23" s="5" t="s">
        <v>201</v>
      </c>
      <c r="B23" s="5" t="s">
        <v>200</v>
      </c>
      <c r="C23" s="5">
        <v>2040</v>
      </c>
      <c r="D23" s="5" t="s">
        <v>367</v>
      </c>
      <c r="E23" s="7">
        <v>13100</v>
      </c>
      <c r="F23" s="5" t="s">
        <v>14</v>
      </c>
      <c r="G23" s="5"/>
      <c r="H23" s="5"/>
      <c r="I23" s="5"/>
      <c r="J23" s="14">
        <v>28</v>
      </c>
      <c r="K23" s="138">
        <v>10234.1</v>
      </c>
      <c r="L23" s="136">
        <v>0</v>
      </c>
      <c r="M23" s="136">
        <v>1432.7740000000001</v>
      </c>
      <c r="N23" s="136">
        <v>1432.7740000000001</v>
      </c>
      <c r="O23" s="5"/>
      <c r="P23" s="5"/>
      <c r="Q23" s="5"/>
      <c r="R23" s="5">
        <v>85129000</v>
      </c>
      <c r="S23" s="5" t="s">
        <v>202</v>
      </c>
      <c r="T23" s="5" t="s">
        <v>13</v>
      </c>
      <c r="U23" s="7">
        <v>0</v>
      </c>
      <c r="V23" s="7">
        <v>0</v>
      </c>
      <c r="W23" s="7">
        <f t="shared" si="0"/>
        <v>0</v>
      </c>
      <c r="X23" s="7">
        <v>290</v>
      </c>
    </row>
    <row r="24" spans="1:28" x14ac:dyDescent="0.3">
      <c r="A24" s="5" t="s">
        <v>201</v>
      </c>
      <c r="B24" s="5" t="s">
        <v>200</v>
      </c>
      <c r="C24" s="5">
        <v>2057</v>
      </c>
      <c r="D24" s="5" t="s">
        <v>419</v>
      </c>
      <c r="E24" s="7">
        <v>108411</v>
      </c>
      <c r="F24" s="5" t="s">
        <v>14</v>
      </c>
      <c r="G24" s="5"/>
      <c r="H24" s="5"/>
      <c r="I24" s="5"/>
      <c r="J24" s="14">
        <v>28</v>
      </c>
      <c r="K24" s="138">
        <v>84696</v>
      </c>
      <c r="L24" s="136">
        <v>0</v>
      </c>
      <c r="M24" s="136">
        <v>11857.44</v>
      </c>
      <c r="N24" s="136">
        <v>11857.44</v>
      </c>
      <c r="O24" s="5"/>
      <c r="P24" s="5"/>
      <c r="Q24" s="5"/>
      <c r="R24" s="5">
        <v>85129000</v>
      </c>
      <c r="S24" s="5" t="s">
        <v>202</v>
      </c>
      <c r="T24" s="5" t="s">
        <v>13</v>
      </c>
      <c r="U24" s="7">
        <v>0</v>
      </c>
      <c r="V24" s="7">
        <v>0</v>
      </c>
      <c r="W24" s="7">
        <f t="shared" si="0"/>
        <v>0</v>
      </c>
      <c r="X24" s="7">
        <v>2400</v>
      </c>
    </row>
    <row r="25" spans="1:28" x14ac:dyDescent="0.3">
      <c r="A25" s="5" t="s">
        <v>210</v>
      </c>
      <c r="B25" s="5" t="s">
        <v>393</v>
      </c>
      <c r="C25" s="5" t="s">
        <v>394</v>
      </c>
      <c r="D25" s="5" t="s">
        <v>392</v>
      </c>
      <c r="E25" s="7">
        <v>27435</v>
      </c>
      <c r="F25" s="5" t="s">
        <v>14</v>
      </c>
      <c r="G25" s="5" t="s">
        <v>11</v>
      </c>
      <c r="H25" s="5" t="s">
        <v>12</v>
      </c>
      <c r="I25" s="5"/>
      <c r="J25" s="14">
        <v>18</v>
      </c>
      <c r="K25" s="138">
        <v>23250</v>
      </c>
      <c r="L25" s="136">
        <v>0</v>
      </c>
      <c r="M25" s="136">
        <v>2092.5</v>
      </c>
      <c r="N25" s="136">
        <v>2092.5</v>
      </c>
      <c r="O25" s="5"/>
      <c r="P25" s="5" t="s">
        <v>350</v>
      </c>
      <c r="Q25" s="5" t="s">
        <v>342</v>
      </c>
      <c r="R25" s="5">
        <v>68052090</v>
      </c>
      <c r="S25" s="17" t="s">
        <v>198</v>
      </c>
      <c r="T25" s="5" t="s">
        <v>197</v>
      </c>
      <c r="U25" s="7">
        <v>0</v>
      </c>
      <c r="V25" s="7">
        <v>0</v>
      </c>
      <c r="W25" s="7">
        <f t="shared" si="0"/>
        <v>0</v>
      </c>
      <c r="X25" s="7">
        <v>2000</v>
      </c>
      <c r="Y25">
        <f t="shared" ref="Y25:Y27" si="9">+K25/100*9</f>
        <v>2092.5</v>
      </c>
      <c r="Z25">
        <f t="shared" ref="Z25:Z27" si="10">+K25/100*9</f>
        <v>2092.5</v>
      </c>
      <c r="AA25" s="129">
        <f t="shared" ref="AA25:AA27" si="11">+Y25-M25</f>
        <v>0</v>
      </c>
      <c r="AB25" s="129">
        <f t="shared" ref="AB25:AB27" si="12">+N25-Z25</f>
        <v>0</v>
      </c>
    </row>
    <row r="26" spans="1:28" x14ac:dyDescent="0.3">
      <c r="A26" s="5" t="s">
        <v>273</v>
      </c>
      <c r="B26" s="5" t="s">
        <v>272</v>
      </c>
      <c r="C26" s="5">
        <v>183</v>
      </c>
      <c r="D26" s="5" t="s">
        <v>368</v>
      </c>
      <c r="E26" s="7">
        <v>3835</v>
      </c>
      <c r="F26" s="5" t="s">
        <v>14</v>
      </c>
      <c r="G26" s="5" t="s">
        <v>11</v>
      </c>
      <c r="H26" s="5" t="s">
        <v>12</v>
      </c>
      <c r="I26" s="5"/>
      <c r="J26" s="14">
        <v>18</v>
      </c>
      <c r="K26" s="138">
        <v>3250</v>
      </c>
      <c r="L26" s="136">
        <v>0</v>
      </c>
      <c r="M26" s="136">
        <v>292.5</v>
      </c>
      <c r="N26" s="136">
        <v>292.5</v>
      </c>
      <c r="O26" s="5"/>
      <c r="P26" s="5" t="s">
        <v>350</v>
      </c>
      <c r="Q26" s="5" t="s">
        <v>342</v>
      </c>
      <c r="R26" s="5">
        <v>4821102</v>
      </c>
      <c r="S26" s="5" t="s">
        <v>448</v>
      </c>
      <c r="T26" s="5" t="s">
        <v>13</v>
      </c>
      <c r="U26" s="7">
        <v>0</v>
      </c>
      <c r="V26" s="7">
        <v>0</v>
      </c>
      <c r="W26" s="7">
        <f t="shared" si="0"/>
        <v>0</v>
      </c>
      <c r="X26" s="7">
        <v>5000</v>
      </c>
      <c r="Y26">
        <f t="shared" si="9"/>
        <v>292.5</v>
      </c>
      <c r="Z26">
        <f t="shared" si="10"/>
        <v>292.5</v>
      </c>
      <c r="AA26" s="129">
        <f t="shared" si="11"/>
        <v>0</v>
      </c>
      <c r="AB26" s="129">
        <f t="shared" si="12"/>
        <v>0</v>
      </c>
    </row>
    <row r="27" spans="1:28" x14ac:dyDescent="0.3">
      <c r="A27" s="5" t="s">
        <v>259</v>
      </c>
      <c r="B27" s="5" t="s">
        <v>258</v>
      </c>
      <c r="C27" s="5">
        <v>515</v>
      </c>
      <c r="D27" s="5" t="s">
        <v>368</v>
      </c>
      <c r="E27" s="7">
        <v>704</v>
      </c>
      <c r="F27" s="5" t="s">
        <v>14</v>
      </c>
      <c r="G27" s="5" t="s">
        <v>11</v>
      </c>
      <c r="H27" s="5" t="s">
        <v>12</v>
      </c>
      <c r="I27" s="5"/>
      <c r="J27" s="14">
        <v>28</v>
      </c>
      <c r="K27" s="138">
        <v>550</v>
      </c>
      <c r="L27" s="136">
        <v>0</v>
      </c>
      <c r="M27" s="136">
        <v>77</v>
      </c>
      <c r="N27" s="136">
        <v>77</v>
      </c>
      <c r="O27" s="5"/>
      <c r="P27" s="5" t="s">
        <v>350</v>
      </c>
      <c r="Q27" s="5" t="s">
        <v>342</v>
      </c>
      <c r="R27" s="5">
        <v>85177090</v>
      </c>
      <c r="S27" s="17" t="s">
        <v>260</v>
      </c>
      <c r="T27" s="5" t="s">
        <v>13</v>
      </c>
      <c r="U27" s="7">
        <v>0</v>
      </c>
      <c r="V27" s="7">
        <v>0</v>
      </c>
      <c r="W27" s="7">
        <f t="shared" si="0"/>
        <v>0</v>
      </c>
      <c r="X27" s="7">
        <v>2</v>
      </c>
      <c r="Y27">
        <f t="shared" si="9"/>
        <v>49.5</v>
      </c>
      <c r="Z27">
        <f t="shared" si="10"/>
        <v>49.5</v>
      </c>
      <c r="AA27" s="129">
        <f t="shared" si="11"/>
        <v>-27.5</v>
      </c>
      <c r="AB27" s="129">
        <f t="shared" si="12"/>
        <v>27.5</v>
      </c>
    </row>
    <row r="28" spans="1:28" x14ac:dyDescent="0.3">
      <c r="A28" s="5" t="s">
        <v>259</v>
      </c>
      <c r="B28" s="5" t="s">
        <v>258</v>
      </c>
      <c r="C28" s="5">
        <v>574</v>
      </c>
      <c r="D28" s="5" t="s">
        <v>406</v>
      </c>
      <c r="E28" s="7">
        <v>354</v>
      </c>
      <c r="F28" s="5" t="s">
        <v>14</v>
      </c>
      <c r="G28" s="5" t="s">
        <v>11</v>
      </c>
      <c r="H28" s="5" t="s">
        <v>12</v>
      </c>
      <c r="I28" s="5"/>
      <c r="J28" s="14">
        <v>18</v>
      </c>
      <c r="K28" s="138">
        <v>300</v>
      </c>
      <c r="L28" s="136">
        <v>0</v>
      </c>
      <c r="M28" s="136">
        <v>27</v>
      </c>
      <c r="N28" s="136">
        <v>27</v>
      </c>
      <c r="O28" s="5"/>
      <c r="P28" s="5" t="s">
        <v>350</v>
      </c>
      <c r="Q28" s="5" t="s">
        <v>342</v>
      </c>
      <c r="R28" s="5">
        <v>37079090</v>
      </c>
      <c r="S28" s="17" t="s">
        <v>260</v>
      </c>
      <c r="T28" s="5" t="s">
        <v>13</v>
      </c>
      <c r="U28" s="7">
        <v>0</v>
      </c>
      <c r="V28" s="7">
        <v>0</v>
      </c>
      <c r="W28" s="7">
        <f t="shared" si="0"/>
        <v>0</v>
      </c>
      <c r="X28" s="7">
        <v>1</v>
      </c>
    </row>
    <row r="29" spans="1:28" x14ac:dyDescent="0.3">
      <c r="A29" s="5" t="s">
        <v>259</v>
      </c>
      <c r="B29" s="5" t="s">
        <v>258</v>
      </c>
      <c r="C29" s="5">
        <v>600</v>
      </c>
      <c r="D29" s="5" t="s">
        <v>419</v>
      </c>
      <c r="E29" s="7">
        <v>23010</v>
      </c>
      <c r="F29" s="5" t="s">
        <v>14</v>
      </c>
      <c r="G29" s="5"/>
      <c r="H29" s="5"/>
      <c r="I29" s="5"/>
      <c r="J29" s="14">
        <v>18</v>
      </c>
      <c r="K29" s="138">
        <v>19500</v>
      </c>
      <c r="L29" s="136">
        <v>0</v>
      </c>
      <c r="M29" s="136">
        <v>1755</v>
      </c>
      <c r="N29" s="136">
        <v>1755</v>
      </c>
      <c r="O29" s="5"/>
      <c r="P29" s="5"/>
      <c r="Q29" s="5"/>
      <c r="R29" s="5">
        <v>998599</v>
      </c>
      <c r="S29" s="17" t="s">
        <v>462</v>
      </c>
      <c r="T29" s="5" t="s">
        <v>13</v>
      </c>
      <c r="U29" s="7">
        <v>0</v>
      </c>
      <c r="V29" s="7">
        <v>0</v>
      </c>
      <c r="W29" s="7">
        <f t="shared" si="0"/>
        <v>0</v>
      </c>
      <c r="X29" s="7">
        <v>0</v>
      </c>
      <c r="Y29">
        <f t="shared" ref="Y29:Y34" si="13">+K29/100*9</f>
        <v>1755</v>
      </c>
      <c r="Z29">
        <f t="shared" ref="Z29:Z34" si="14">+K29/100*9</f>
        <v>1755</v>
      </c>
      <c r="AA29" s="129">
        <f t="shared" ref="AA29:AA34" si="15">+Y29-M29</f>
        <v>0</v>
      </c>
      <c r="AB29" s="129">
        <f t="shared" ref="AB29:AB34" si="16">+N29-Z29</f>
        <v>0</v>
      </c>
    </row>
    <row r="30" spans="1:28" x14ac:dyDescent="0.3">
      <c r="A30" s="5" t="s">
        <v>259</v>
      </c>
      <c r="B30" s="5" t="s">
        <v>258</v>
      </c>
      <c r="C30" s="5">
        <v>604</v>
      </c>
      <c r="D30" s="5" t="s">
        <v>424</v>
      </c>
      <c r="E30" s="7">
        <v>354</v>
      </c>
      <c r="F30" s="5" t="s">
        <v>14</v>
      </c>
      <c r="G30" s="5"/>
      <c r="H30" s="5"/>
      <c r="I30" s="5"/>
      <c r="J30" s="14">
        <v>18</v>
      </c>
      <c r="K30" s="138">
        <v>300</v>
      </c>
      <c r="L30" s="136">
        <v>0</v>
      </c>
      <c r="M30" s="136">
        <v>27</v>
      </c>
      <c r="N30" s="136">
        <v>27</v>
      </c>
      <c r="O30" s="5"/>
      <c r="P30" s="5"/>
      <c r="Q30" s="5"/>
      <c r="R30" s="5">
        <v>37079090</v>
      </c>
      <c r="S30" s="17" t="s">
        <v>462</v>
      </c>
      <c r="T30" s="5" t="s">
        <v>13</v>
      </c>
      <c r="U30" s="7">
        <v>0</v>
      </c>
      <c r="V30" s="7">
        <v>0</v>
      </c>
      <c r="W30" s="7">
        <f t="shared" si="0"/>
        <v>0</v>
      </c>
      <c r="X30" s="7">
        <v>1</v>
      </c>
      <c r="Y30">
        <f t="shared" si="13"/>
        <v>27</v>
      </c>
      <c r="Z30">
        <f t="shared" si="14"/>
        <v>27</v>
      </c>
      <c r="AA30" s="129">
        <f t="shared" si="15"/>
        <v>0</v>
      </c>
      <c r="AB30" s="129">
        <f t="shared" si="16"/>
        <v>0</v>
      </c>
    </row>
    <row r="31" spans="1:28" x14ac:dyDescent="0.3">
      <c r="A31" s="5" t="s">
        <v>376</v>
      </c>
      <c r="B31" s="5" t="s">
        <v>377</v>
      </c>
      <c r="C31" s="5">
        <v>9081</v>
      </c>
      <c r="D31" s="5" t="s">
        <v>375</v>
      </c>
      <c r="E31" s="7">
        <v>8320</v>
      </c>
      <c r="F31" s="5" t="s">
        <v>14</v>
      </c>
      <c r="G31" s="5" t="s">
        <v>11</v>
      </c>
      <c r="H31" s="5" t="s">
        <v>12</v>
      </c>
      <c r="I31" s="5"/>
      <c r="J31" s="14">
        <v>28</v>
      </c>
      <c r="K31" s="138">
        <v>6500</v>
      </c>
      <c r="L31" s="136">
        <v>0</v>
      </c>
      <c r="M31" s="136">
        <v>910</v>
      </c>
      <c r="N31" s="136">
        <v>910</v>
      </c>
      <c r="O31" s="5"/>
      <c r="P31" s="5" t="s">
        <v>350</v>
      </c>
      <c r="Q31" s="5" t="s">
        <v>342</v>
      </c>
      <c r="R31" s="5">
        <v>34029092</v>
      </c>
      <c r="S31" s="17" t="s">
        <v>194</v>
      </c>
      <c r="T31" s="5" t="s">
        <v>449</v>
      </c>
      <c r="U31" s="7">
        <v>0</v>
      </c>
      <c r="V31" s="7">
        <v>0</v>
      </c>
      <c r="W31" s="7">
        <f t="shared" si="0"/>
        <v>0</v>
      </c>
      <c r="X31" s="7">
        <v>100</v>
      </c>
      <c r="Y31">
        <f t="shared" si="13"/>
        <v>585</v>
      </c>
      <c r="Z31">
        <f t="shared" si="14"/>
        <v>585</v>
      </c>
      <c r="AA31" s="129">
        <f t="shared" si="15"/>
        <v>-325</v>
      </c>
      <c r="AB31" s="129">
        <f t="shared" si="16"/>
        <v>325</v>
      </c>
    </row>
    <row r="32" spans="1:28" x14ac:dyDescent="0.3">
      <c r="A32" s="5" t="s">
        <v>431</v>
      </c>
      <c r="B32" s="5" t="s">
        <v>432</v>
      </c>
      <c r="C32" s="5">
        <v>81</v>
      </c>
      <c r="D32" s="5" t="s">
        <v>430</v>
      </c>
      <c r="E32" s="7">
        <v>90</v>
      </c>
      <c r="F32" s="5" t="s">
        <v>14</v>
      </c>
      <c r="G32" s="5"/>
      <c r="H32" s="5"/>
      <c r="I32" s="5"/>
      <c r="J32" s="14">
        <v>28</v>
      </c>
      <c r="K32" s="138">
        <v>70</v>
      </c>
      <c r="L32" s="136">
        <v>0</v>
      </c>
      <c r="M32" s="136">
        <v>9.9999999999999982</v>
      </c>
      <c r="N32" s="136">
        <v>9.9999999999999982</v>
      </c>
      <c r="O32" s="5"/>
      <c r="P32" s="5"/>
      <c r="Q32" s="5"/>
      <c r="R32" s="5">
        <v>9611000</v>
      </c>
      <c r="S32" s="17" t="s">
        <v>466</v>
      </c>
      <c r="T32" s="5" t="s">
        <v>13</v>
      </c>
      <c r="U32" s="7">
        <v>0</v>
      </c>
      <c r="V32" s="7">
        <v>0</v>
      </c>
      <c r="W32" s="7">
        <f t="shared" si="0"/>
        <v>0</v>
      </c>
      <c r="X32" s="7">
        <v>1</v>
      </c>
      <c r="Y32">
        <f t="shared" si="13"/>
        <v>6.3</v>
      </c>
      <c r="Z32">
        <f t="shared" si="14"/>
        <v>6.3</v>
      </c>
      <c r="AA32" s="129">
        <f t="shared" si="15"/>
        <v>-3.6999999999999984</v>
      </c>
      <c r="AB32" s="129">
        <f t="shared" si="16"/>
        <v>3.6999999999999984</v>
      </c>
    </row>
    <row r="33" spans="1:28" x14ac:dyDescent="0.3">
      <c r="A33" s="260" t="s">
        <v>411</v>
      </c>
      <c r="B33" s="5" t="s">
        <v>304</v>
      </c>
      <c r="C33" s="5">
        <v>3190</v>
      </c>
      <c r="D33" s="5" t="s">
        <v>410</v>
      </c>
      <c r="E33" s="7">
        <f>1119.36+1611.2+76.32+15+313.42+451.14+21.37+2.7</f>
        <v>3610.5099999999998</v>
      </c>
      <c r="F33" s="5" t="s">
        <v>14</v>
      </c>
      <c r="G33" s="5"/>
      <c r="H33" s="5"/>
      <c r="I33" s="5"/>
      <c r="J33" s="14">
        <v>28</v>
      </c>
      <c r="K33" s="138">
        <v>2806.88</v>
      </c>
      <c r="L33" s="136">
        <v>0</v>
      </c>
      <c r="M33" s="136">
        <v>392.96</v>
      </c>
      <c r="N33" s="136">
        <v>392.96</v>
      </c>
      <c r="O33" s="5"/>
      <c r="P33" s="5"/>
      <c r="Q33" s="5"/>
      <c r="R33" s="5">
        <v>8539</v>
      </c>
      <c r="S33" s="17" t="s">
        <v>459</v>
      </c>
      <c r="T33" s="5" t="s">
        <v>13</v>
      </c>
      <c r="U33" s="7">
        <v>0</v>
      </c>
      <c r="V33" s="7">
        <v>0</v>
      </c>
      <c r="W33" s="7">
        <f t="shared" si="0"/>
        <v>0</v>
      </c>
      <c r="X33" s="7">
        <f>24+10+6+1</f>
        <v>41</v>
      </c>
      <c r="Y33">
        <f t="shared" si="13"/>
        <v>252.61920000000001</v>
      </c>
      <c r="Z33">
        <f t="shared" si="14"/>
        <v>252.61920000000001</v>
      </c>
      <c r="AA33" s="129">
        <f t="shared" si="15"/>
        <v>-140.34079999999997</v>
      </c>
      <c r="AB33" s="129">
        <f t="shared" si="16"/>
        <v>140.34079999999997</v>
      </c>
    </row>
    <row r="34" spans="1:28" x14ac:dyDescent="0.3">
      <c r="A34" s="260" t="s">
        <v>411</v>
      </c>
      <c r="B34" s="5" t="s">
        <v>304</v>
      </c>
      <c r="C34" s="5">
        <v>3190</v>
      </c>
      <c r="D34" s="5" t="s">
        <v>410</v>
      </c>
      <c r="E34" s="7">
        <f>45.6+8.21</f>
        <v>53.81</v>
      </c>
      <c r="F34" s="5" t="s">
        <v>14</v>
      </c>
      <c r="G34" s="5"/>
      <c r="H34" s="5"/>
      <c r="I34" s="5"/>
      <c r="J34" s="14">
        <v>18</v>
      </c>
      <c r="K34" s="138">
        <v>45.6</v>
      </c>
      <c r="L34" s="136">
        <v>0</v>
      </c>
      <c r="M34" s="136">
        <v>4.1040000000000001</v>
      </c>
      <c r="N34" s="136">
        <v>4.1040000000000001</v>
      </c>
      <c r="O34" s="5"/>
      <c r="P34" s="5"/>
      <c r="Q34" s="5"/>
      <c r="R34" s="5">
        <v>8203</v>
      </c>
      <c r="S34" s="17" t="s">
        <v>459</v>
      </c>
      <c r="T34" s="5" t="s">
        <v>13</v>
      </c>
      <c r="U34" s="7">
        <v>0</v>
      </c>
      <c r="V34" s="7">
        <v>0</v>
      </c>
      <c r="W34" s="7">
        <f t="shared" si="0"/>
        <v>0</v>
      </c>
      <c r="X34" s="7">
        <v>1</v>
      </c>
      <c r="Y34">
        <f t="shared" si="13"/>
        <v>4.1040000000000001</v>
      </c>
      <c r="Z34">
        <f t="shared" si="14"/>
        <v>4.1040000000000001</v>
      </c>
      <c r="AA34" s="129">
        <f t="shared" si="15"/>
        <v>0</v>
      </c>
      <c r="AB34" s="129">
        <f t="shared" si="16"/>
        <v>0</v>
      </c>
    </row>
    <row r="35" spans="1:28" x14ac:dyDescent="0.3">
      <c r="A35" s="260" t="s">
        <v>411</v>
      </c>
      <c r="B35" s="5" t="s">
        <v>304</v>
      </c>
      <c r="C35" s="5">
        <v>3190</v>
      </c>
      <c r="D35" s="5" t="s">
        <v>410</v>
      </c>
      <c r="E35" s="7">
        <f>123.34+165+22.2+29.7</f>
        <v>340.24</v>
      </c>
      <c r="F35" s="5" t="s">
        <v>14</v>
      </c>
      <c r="G35" s="5"/>
      <c r="H35" s="5"/>
      <c r="I35" s="5"/>
      <c r="J35" s="14">
        <v>18</v>
      </c>
      <c r="K35" s="138">
        <f>123.34+165</f>
        <v>288.34000000000003</v>
      </c>
      <c r="L35" s="136">
        <v>0</v>
      </c>
      <c r="M35" s="136">
        <v>25.950600000000005</v>
      </c>
      <c r="N35" s="136">
        <v>25.950600000000005</v>
      </c>
      <c r="O35" s="5"/>
      <c r="P35" s="5"/>
      <c r="Q35" s="5"/>
      <c r="R35" s="5">
        <v>3506</v>
      </c>
      <c r="S35" s="17" t="s">
        <v>459</v>
      </c>
      <c r="T35" s="5" t="s">
        <v>13</v>
      </c>
      <c r="U35" s="7">
        <v>0</v>
      </c>
      <c r="V35" s="7">
        <v>0</v>
      </c>
      <c r="W35" s="7">
        <f t="shared" si="0"/>
        <v>0</v>
      </c>
      <c r="X35" s="7">
        <f>2+1</f>
        <v>3</v>
      </c>
    </row>
    <row r="36" spans="1:28" x14ac:dyDescent="0.3">
      <c r="A36" s="260" t="s">
        <v>411</v>
      </c>
      <c r="B36" s="5" t="s">
        <v>304</v>
      </c>
      <c r="C36" s="5">
        <v>3190</v>
      </c>
      <c r="D36" s="5" t="s">
        <v>410</v>
      </c>
      <c r="E36" s="7">
        <f>45+8.1</f>
        <v>53.1</v>
      </c>
      <c r="F36" s="5" t="s">
        <v>14</v>
      </c>
      <c r="G36" s="5"/>
      <c r="H36" s="5"/>
      <c r="I36" s="5"/>
      <c r="J36" s="14">
        <v>18</v>
      </c>
      <c r="K36" s="138">
        <v>45</v>
      </c>
      <c r="L36" s="136">
        <v>0</v>
      </c>
      <c r="M36" s="136">
        <v>4.05</v>
      </c>
      <c r="N36" s="136">
        <v>4.05</v>
      </c>
      <c r="O36" s="5"/>
      <c r="P36" s="5"/>
      <c r="Q36" s="5"/>
      <c r="R36" s="5">
        <v>8205</v>
      </c>
      <c r="S36" s="17" t="s">
        <v>459</v>
      </c>
      <c r="T36" s="5" t="s">
        <v>13</v>
      </c>
      <c r="U36" s="7">
        <v>0</v>
      </c>
      <c r="V36" s="7">
        <v>0</v>
      </c>
      <c r="W36" s="7">
        <f t="shared" si="0"/>
        <v>0</v>
      </c>
      <c r="X36" s="7">
        <v>1</v>
      </c>
    </row>
    <row r="37" spans="1:28" x14ac:dyDescent="0.3">
      <c r="A37" s="260" t="s">
        <v>411</v>
      </c>
      <c r="B37" s="5" t="s">
        <v>304</v>
      </c>
      <c r="C37" s="5">
        <v>3190</v>
      </c>
      <c r="D37" s="5" t="s">
        <v>410</v>
      </c>
      <c r="E37" s="7">
        <f>82.35+14.82</f>
        <v>97.169999999999987</v>
      </c>
      <c r="F37" s="5" t="s">
        <v>14</v>
      </c>
      <c r="G37" s="5"/>
      <c r="H37" s="5"/>
      <c r="I37" s="5"/>
      <c r="J37" s="14">
        <v>18</v>
      </c>
      <c r="K37" s="138">
        <v>82.35</v>
      </c>
      <c r="L37" s="136">
        <v>0</v>
      </c>
      <c r="M37" s="136">
        <v>7.4114999999999993</v>
      </c>
      <c r="N37" s="136">
        <v>7.4114999999999993</v>
      </c>
      <c r="O37" s="5"/>
      <c r="P37" s="5"/>
      <c r="Q37" s="5"/>
      <c r="R37" s="5">
        <v>3917</v>
      </c>
      <c r="S37" s="17" t="s">
        <v>459</v>
      </c>
      <c r="T37" s="5" t="s">
        <v>13</v>
      </c>
      <c r="U37" s="7">
        <v>0</v>
      </c>
      <c r="V37" s="7">
        <v>0</v>
      </c>
      <c r="W37" s="7">
        <f t="shared" si="0"/>
        <v>0</v>
      </c>
      <c r="X37" s="7">
        <v>1</v>
      </c>
    </row>
    <row r="38" spans="1:28" x14ac:dyDescent="0.3">
      <c r="A38" s="260" t="s">
        <v>411</v>
      </c>
      <c r="B38" s="5" t="s">
        <v>304</v>
      </c>
      <c r="C38" s="5">
        <v>3190</v>
      </c>
      <c r="D38" s="5" t="s">
        <v>410</v>
      </c>
      <c r="E38" s="7">
        <f>280+33.6</f>
        <v>313.60000000000002</v>
      </c>
      <c r="F38" s="5" t="s">
        <v>14</v>
      </c>
      <c r="G38" s="5"/>
      <c r="H38" s="5"/>
      <c r="I38" s="5"/>
      <c r="J38" s="14">
        <v>12</v>
      </c>
      <c r="K38" s="138">
        <v>280</v>
      </c>
      <c r="L38" s="136">
        <v>0</v>
      </c>
      <c r="M38" s="136">
        <v>16.799999999999997</v>
      </c>
      <c r="N38" s="136">
        <v>16.799999999999997</v>
      </c>
      <c r="O38" s="5"/>
      <c r="P38" s="5"/>
      <c r="Q38" s="5"/>
      <c r="R38" s="5">
        <v>9405</v>
      </c>
      <c r="S38" s="17" t="s">
        <v>459</v>
      </c>
      <c r="T38" s="5" t="s">
        <v>13</v>
      </c>
      <c r="U38" s="7">
        <v>0</v>
      </c>
      <c r="V38" s="7">
        <v>0</v>
      </c>
      <c r="W38" s="7">
        <f t="shared" si="0"/>
        <v>0</v>
      </c>
      <c r="X38" s="7">
        <v>1</v>
      </c>
      <c r="Y38">
        <f>+K38/100*9</f>
        <v>25.2</v>
      </c>
      <c r="Z38">
        <f>+K38/100*9</f>
        <v>25.2</v>
      </c>
      <c r="AA38" s="129">
        <f>+Y38-M38</f>
        <v>8.4000000000000021</v>
      </c>
      <c r="AB38" s="129">
        <f>+N38-Z38</f>
        <v>-8.4000000000000021</v>
      </c>
    </row>
    <row r="39" spans="1:28" x14ac:dyDescent="0.3">
      <c r="A39" s="265" t="s">
        <v>411</v>
      </c>
      <c r="B39" s="5" t="s">
        <v>304</v>
      </c>
      <c r="C39" s="5">
        <v>3190</v>
      </c>
      <c r="D39" s="5" t="s">
        <v>410</v>
      </c>
      <c r="E39" s="7">
        <f>360+100.8</f>
        <v>460.8</v>
      </c>
      <c r="F39" s="5" t="s">
        <v>14</v>
      </c>
      <c r="G39" s="5"/>
      <c r="H39" s="5"/>
      <c r="I39" s="5"/>
      <c r="J39" s="14">
        <v>28</v>
      </c>
      <c r="K39" s="282">
        <v>360</v>
      </c>
      <c r="L39" s="136">
        <v>0</v>
      </c>
      <c r="M39" s="136">
        <v>50.4</v>
      </c>
      <c r="N39" s="136">
        <v>50.4</v>
      </c>
      <c r="O39" s="5"/>
      <c r="P39" s="5"/>
      <c r="Q39" s="5"/>
      <c r="R39" s="5">
        <v>8414</v>
      </c>
      <c r="S39" s="17" t="s">
        <v>459</v>
      </c>
      <c r="T39" s="5" t="s">
        <v>13</v>
      </c>
      <c r="U39" s="7">
        <v>0</v>
      </c>
      <c r="V39" s="7">
        <v>0</v>
      </c>
      <c r="W39" s="7">
        <f t="shared" si="0"/>
        <v>0</v>
      </c>
      <c r="X39" s="7">
        <v>2</v>
      </c>
    </row>
    <row r="40" spans="1:28" x14ac:dyDescent="0.3">
      <c r="A40" s="260" t="s">
        <v>411</v>
      </c>
      <c r="B40" s="5" t="s">
        <v>304</v>
      </c>
      <c r="C40" s="5">
        <v>3190</v>
      </c>
      <c r="D40" s="5" t="s">
        <v>410</v>
      </c>
      <c r="E40" s="7">
        <f>50+9</f>
        <v>59</v>
      </c>
      <c r="F40" s="5" t="s">
        <v>14</v>
      </c>
      <c r="G40" s="5"/>
      <c r="H40" s="5"/>
      <c r="I40" s="5"/>
      <c r="J40" s="14">
        <v>18</v>
      </c>
      <c r="K40" s="282">
        <v>50</v>
      </c>
      <c r="L40" s="136">
        <v>0</v>
      </c>
      <c r="M40" s="136">
        <v>4.5</v>
      </c>
      <c r="N40" s="136">
        <v>4.5</v>
      </c>
      <c r="O40" s="5"/>
      <c r="P40" s="5"/>
      <c r="Q40" s="5"/>
      <c r="R40" s="5">
        <v>8207</v>
      </c>
      <c r="S40" s="17" t="s">
        <v>459</v>
      </c>
      <c r="T40" s="5" t="s">
        <v>13</v>
      </c>
      <c r="U40" s="7">
        <v>0</v>
      </c>
      <c r="V40" s="7">
        <v>0</v>
      </c>
      <c r="W40" s="7">
        <f t="shared" si="0"/>
        <v>0</v>
      </c>
      <c r="X40" s="7">
        <v>2</v>
      </c>
    </row>
    <row r="41" spans="1:28" x14ac:dyDescent="0.3">
      <c r="A41" s="260" t="s">
        <v>411</v>
      </c>
      <c r="B41" s="5" t="s">
        <v>304</v>
      </c>
      <c r="C41" s="5">
        <v>3190</v>
      </c>
      <c r="D41" s="5" t="s">
        <v>410</v>
      </c>
      <c r="E41" s="7">
        <f>100+18</f>
        <v>118</v>
      </c>
      <c r="F41" s="5" t="s">
        <v>14</v>
      </c>
      <c r="G41" s="5"/>
      <c r="H41" s="5"/>
      <c r="I41" s="5"/>
      <c r="J41" s="14">
        <v>18</v>
      </c>
      <c r="K41" s="282">
        <v>100</v>
      </c>
      <c r="L41" s="136">
        <v>0</v>
      </c>
      <c r="M41" s="136">
        <v>9</v>
      </c>
      <c r="N41" s="136">
        <v>9</v>
      </c>
      <c r="O41" s="5"/>
      <c r="P41" s="5"/>
      <c r="Q41" s="5"/>
      <c r="R41" s="5">
        <v>8202</v>
      </c>
      <c r="S41" s="17" t="s">
        <v>459</v>
      </c>
      <c r="T41" s="5" t="s">
        <v>13</v>
      </c>
      <c r="U41" s="7">
        <v>0</v>
      </c>
      <c r="V41" s="7">
        <v>0</v>
      </c>
      <c r="W41" s="7">
        <f t="shared" si="0"/>
        <v>0</v>
      </c>
      <c r="X41" s="7">
        <v>2</v>
      </c>
    </row>
    <row r="42" spans="1:28" x14ac:dyDescent="0.3">
      <c r="A42" s="260" t="s">
        <v>411</v>
      </c>
      <c r="B42" s="5" t="s">
        <v>304</v>
      </c>
      <c r="C42" s="5">
        <v>3190</v>
      </c>
      <c r="D42" s="5" t="s">
        <v>410</v>
      </c>
      <c r="E42" s="7">
        <f>52+15+24+45+9.36+2.7+4.32+8.1</f>
        <v>160.47999999999999</v>
      </c>
      <c r="F42" s="5" t="s">
        <v>14</v>
      </c>
      <c r="G42" s="5"/>
      <c r="H42" s="5"/>
      <c r="I42" s="5"/>
      <c r="J42" s="14">
        <v>18</v>
      </c>
      <c r="K42" s="282">
        <f>52+15+24+45</f>
        <v>136</v>
      </c>
      <c r="L42" s="136">
        <v>0</v>
      </c>
      <c r="M42" s="136">
        <v>12.24</v>
      </c>
      <c r="N42" s="136">
        <v>12.24</v>
      </c>
      <c r="O42" s="5"/>
      <c r="P42" s="5"/>
      <c r="Q42" s="5"/>
      <c r="R42" s="5">
        <v>7318</v>
      </c>
      <c r="S42" s="17" t="s">
        <v>459</v>
      </c>
      <c r="T42" s="5" t="s">
        <v>13</v>
      </c>
      <c r="U42" s="7">
        <v>0</v>
      </c>
      <c r="V42" s="7">
        <v>0</v>
      </c>
      <c r="W42" s="7">
        <f t="shared" si="0"/>
        <v>0</v>
      </c>
      <c r="X42" s="7">
        <f>26+3+2+3</f>
        <v>34</v>
      </c>
    </row>
    <row r="43" spans="1:28" x14ac:dyDescent="0.3">
      <c r="A43" s="5" t="s">
        <v>235</v>
      </c>
      <c r="B43" s="5" t="s">
        <v>234</v>
      </c>
      <c r="C43" s="5">
        <v>106</v>
      </c>
      <c r="D43" s="5" t="s">
        <v>380</v>
      </c>
      <c r="E43" s="7">
        <v>12980</v>
      </c>
      <c r="F43" s="5" t="s">
        <v>14</v>
      </c>
      <c r="G43" s="5" t="s">
        <v>11</v>
      </c>
      <c r="H43" s="5" t="s">
        <v>12</v>
      </c>
      <c r="I43" s="5"/>
      <c r="J43" s="14">
        <v>18</v>
      </c>
      <c r="K43" s="138">
        <v>11000</v>
      </c>
      <c r="L43" s="136">
        <v>0</v>
      </c>
      <c r="M43" s="136">
        <v>990</v>
      </c>
      <c r="N43" s="136">
        <v>990</v>
      </c>
      <c r="O43" s="5"/>
      <c r="P43" s="5" t="s">
        <v>350</v>
      </c>
      <c r="Q43" s="5" t="s">
        <v>342</v>
      </c>
      <c r="R43" s="5">
        <v>39201091</v>
      </c>
      <c r="S43" s="17" t="s">
        <v>194</v>
      </c>
      <c r="T43" s="5" t="s">
        <v>13</v>
      </c>
      <c r="U43" s="7">
        <v>0</v>
      </c>
      <c r="V43" s="7">
        <v>0</v>
      </c>
      <c r="W43" s="7">
        <f t="shared" si="0"/>
        <v>0</v>
      </c>
      <c r="X43" s="7">
        <v>20</v>
      </c>
    </row>
    <row r="44" spans="1:28" x14ac:dyDescent="0.3">
      <c r="A44" s="5" t="s">
        <v>235</v>
      </c>
      <c r="B44" s="5" t="s">
        <v>234</v>
      </c>
      <c r="C44" s="5">
        <v>108</v>
      </c>
      <c r="D44" s="5" t="s">
        <v>383</v>
      </c>
      <c r="E44" s="7">
        <v>6726</v>
      </c>
      <c r="F44" s="5" t="s">
        <v>14</v>
      </c>
      <c r="G44" s="5" t="s">
        <v>11</v>
      </c>
      <c r="H44" s="5" t="s">
        <v>12</v>
      </c>
      <c r="I44" s="5"/>
      <c r="J44" s="14">
        <v>18</v>
      </c>
      <c r="K44" s="138">
        <v>5700</v>
      </c>
      <c r="L44" s="136">
        <v>0</v>
      </c>
      <c r="M44" s="136">
        <v>513</v>
      </c>
      <c r="N44" s="136">
        <v>513</v>
      </c>
      <c r="O44" s="5"/>
      <c r="P44" s="5" t="s">
        <v>350</v>
      </c>
      <c r="Q44" s="5" t="s">
        <v>342</v>
      </c>
      <c r="R44" s="5">
        <v>39239090</v>
      </c>
      <c r="S44" s="17" t="s">
        <v>194</v>
      </c>
      <c r="T44" s="5" t="s">
        <v>13</v>
      </c>
      <c r="U44" s="7">
        <v>0</v>
      </c>
      <c r="V44" s="7">
        <v>0</v>
      </c>
      <c r="W44" s="7">
        <f t="shared" si="0"/>
        <v>0</v>
      </c>
      <c r="X44" s="7">
        <v>1900</v>
      </c>
    </row>
    <row r="45" spans="1:28" x14ac:dyDescent="0.3">
      <c r="A45" s="5" t="s">
        <v>242</v>
      </c>
      <c r="B45" s="5" t="s">
        <v>241</v>
      </c>
      <c r="C45" s="5">
        <v>481</v>
      </c>
      <c r="D45" s="5" t="s">
        <v>361</v>
      </c>
      <c r="E45" s="7">
        <v>49064.800000000003</v>
      </c>
      <c r="F45" s="5" t="s">
        <v>14</v>
      </c>
      <c r="G45" s="5" t="s">
        <v>11</v>
      </c>
      <c r="H45" s="5" t="s">
        <v>12</v>
      </c>
      <c r="I45" s="5"/>
      <c r="J45" s="14">
        <v>18</v>
      </c>
      <c r="K45" s="138">
        <v>41580</v>
      </c>
      <c r="L45" s="136">
        <v>0</v>
      </c>
      <c r="M45" s="136">
        <v>3742.4</v>
      </c>
      <c r="N45" s="136">
        <v>3742.4</v>
      </c>
      <c r="O45" s="5"/>
      <c r="P45" s="5" t="s">
        <v>350</v>
      </c>
      <c r="Q45" s="5" t="s">
        <v>342</v>
      </c>
      <c r="R45" s="5">
        <v>29023000</v>
      </c>
      <c r="S45" s="17" t="s">
        <v>243</v>
      </c>
      <c r="T45" s="5" t="s">
        <v>197</v>
      </c>
      <c r="U45" s="7">
        <v>0</v>
      </c>
      <c r="V45" s="7">
        <v>0</v>
      </c>
      <c r="W45" s="7">
        <f t="shared" si="0"/>
        <v>0</v>
      </c>
      <c r="X45" s="7">
        <v>660</v>
      </c>
    </row>
    <row r="46" spans="1:28" x14ac:dyDescent="0.3">
      <c r="A46" s="5" t="s">
        <v>242</v>
      </c>
      <c r="B46" s="5" t="s">
        <v>241</v>
      </c>
      <c r="C46" s="5">
        <v>481</v>
      </c>
      <c r="D46" s="5" t="s">
        <v>361</v>
      </c>
      <c r="E46" s="7">
        <v>31671.200000000001</v>
      </c>
      <c r="F46" s="5" t="s">
        <v>14</v>
      </c>
      <c r="G46" s="5" t="s">
        <v>11</v>
      </c>
      <c r="H46" s="5" t="s">
        <v>12</v>
      </c>
      <c r="I46" s="5"/>
      <c r="J46" s="14">
        <v>18</v>
      </c>
      <c r="K46" s="138">
        <v>26840</v>
      </c>
      <c r="L46" s="136">
        <v>0</v>
      </c>
      <c r="M46" s="136">
        <v>2415.6</v>
      </c>
      <c r="N46" s="136">
        <v>2415.6</v>
      </c>
      <c r="O46" s="5"/>
      <c r="P46" s="5" t="s">
        <v>350</v>
      </c>
      <c r="Q46" s="5" t="s">
        <v>342</v>
      </c>
      <c r="R46" s="5">
        <v>29051220</v>
      </c>
      <c r="S46" s="17" t="s">
        <v>243</v>
      </c>
      <c r="T46" s="5" t="s">
        <v>197</v>
      </c>
      <c r="U46" s="7">
        <v>0</v>
      </c>
      <c r="V46" s="7">
        <v>0</v>
      </c>
      <c r="W46" s="7">
        <f t="shared" si="0"/>
        <v>0</v>
      </c>
      <c r="X46" s="7">
        <v>440</v>
      </c>
    </row>
    <row r="47" spans="1:28" x14ac:dyDescent="0.3">
      <c r="A47" s="5" t="s">
        <v>242</v>
      </c>
      <c r="B47" s="5" t="s">
        <v>241</v>
      </c>
      <c r="C47" s="5">
        <v>530</v>
      </c>
      <c r="D47" s="5" t="s">
        <v>367</v>
      </c>
      <c r="E47" s="7">
        <f>41580+3742.2+3742.2</f>
        <v>49064.399999999994</v>
      </c>
      <c r="F47" s="5" t="s">
        <v>14</v>
      </c>
      <c r="G47" s="5"/>
      <c r="H47" s="5"/>
      <c r="I47" s="5"/>
      <c r="J47" s="14">
        <v>18</v>
      </c>
      <c r="K47" s="138">
        <v>41580</v>
      </c>
      <c r="L47" s="136">
        <v>0</v>
      </c>
      <c r="M47" s="136">
        <v>3742.2000000000003</v>
      </c>
      <c r="N47" s="136">
        <v>3742.2000000000003</v>
      </c>
      <c r="O47" s="5"/>
      <c r="P47" s="5"/>
      <c r="Q47" s="5"/>
      <c r="R47" s="5">
        <v>29141100</v>
      </c>
      <c r="S47" s="17" t="s">
        <v>243</v>
      </c>
      <c r="T47" s="5" t="s">
        <v>197</v>
      </c>
      <c r="U47" s="7">
        <v>0</v>
      </c>
      <c r="V47" s="7">
        <v>0</v>
      </c>
      <c r="W47" s="7">
        <f t="shared" si="0"/>
        <v>0</v>
      </c>
      <c r="X47" s="7">
        <v>660</v>
      </c>
    </row>
    <row r="48" spans="1:28" x14ac:dyDescent="0.3">
      <c r="A48" s="5" t="s">
        <v>242</v>
      </c>
      <c r="B48" s="5" t="s">
        <v>241</v>
      </c>
      <c r="C48" s="5">
        <v>530</v>
      </c>
      <c r="D48" s="5" t="s">
        <v>367</v>
      </c>
      <c r="E48" s="7">
        <f>13420.06+1207.8+1207.8</f>
        <v>15835.659999999998</v>
      </c>
      <c r="F48" s="5" t="s">
        <v>14</v>
      </c>
      <c r="G48" s="5"/>
      <c r="H48" s="5"/>
      <c r="I48" s="5"/>
      <c r="J48" s="14">
        <v>18</v>
      </c>
      <c r="K48" s="138">
        <v>13420</v>
      </c>
      <c r="L48" s="136">
        <v>0</v>
      </c>
      <c r="M48" s="136">
        <v>1207.8</v>
      </c>
      <c r="N48" s="136">
        <v>1207.8</v>
      </c>
      <c r="O48" s="5"/>
      <c r="P48" s="5"/>
      <c r="Q48" s="5"/>
      <c r="R48" s="5">
        <v>29051220</v>
      </c>
      <c r="S48" s="17" t="s">
        <v>243</v>
      </c>
      <c r="T48" s="5" t="s">
        <v>197</v>
      </c>
      <c r="U48" s="7">
        <v>0</v>
      </c>
      <c r="V48" s="7">
        <v>0</v>
      </c>
      <c r="W48" s="7">
        <f t="shared" si="0"/>
        <v>0</v>
      </c>
      <c r="X48" s="7">
        <v>220</v>
      </c>
    </row>
    <row r="49" spans="1:28" x14ac:dyDescent="0.3">
      <c r="A49" s="5" t="s">
        <v>263</v>
      </c>
      <c r="B49" s="5" t="s">
        <v>262</v>
      </c>
      <c r="C49" s="5">
        <v>1286</v>
      </c>
      <c r="D49" s="5" t="s">
        <v>368</v>
      </c>
      <c r="E49" s="7">
        <v>59938.559999999998</v>
      </c>
      <c r="F49" s="5" t="s">
        <v>14</v>
      </c>
      <c r="G49" s="5" t="s">
        <v>11</v>
      </c>
      <c r="H49" s="5" t="s">
        <v>12</v>
      </c>
      <c r="I49" s="5"/>
      <c r="J49" s="14">
        <v>28</v>
      </c>
      <c r="K49" s="138">
        <v>46827</v>
      </c>
      <c r="L49" s="136">
        <v>0</v>
      </c>
      <c r="M49" s="136">
        <v>6555.78</v>
      </c>
      <c r="N49" s="136">
        <v>6555.78</v>
      </c>
      <c r="O49" s="5"/>
      <c r="P49" s="5" t="s">
        <v>350</v>
      </c>
      <c r="Q49" s="5" t="s">
        <v>342</v>
      </c>
      <c r="R49" s="5">
        <v>87082900</v>
      </c>
      <c r="S49" s="17" t="s">
        <v>22</v>
      </c>
      <c r="T49" s="5" t="s">
        <v>13</v>
      </c>
      <c r="U49" s="7">
        <v>0</v>
      </c>
      <c r="V49" s="7">
        <v>0</v>
      </c>
      <c r="W49" s="7">
        <f t="shared" si="0"/>
        <v>0</v>
      </c>
      <c r="X49" s="7">
        <v>1100</v>
      </c>
    </row>
    <row r="50" spans="1:28" x14ac:dyDescent="0.3">
      <c r="A50" s="5" t="s">
        <v>263</v>
      </c>
      <c r="B50" s="5" t="s">
        <v>262</v>
      </c>
      <c r="C50" s="5">
        <v>1334</v>
      </c>
      <c r="D50" s="5" t="s">
        <v>380</v>
      </c>
      <c r="E50" s="7">
        <v>59938.559999999998</v>
      </c>
      <c r="F50" s="5" t="s">
        <v>14</v>
      </c>
      <c r="G50" s="5" t="s">
        <v>101</v>
      </c>
      <c r="H50" s="5" t="s">
        <v>12</v>
      </c>
      <c r="I50" s="5"/>
      <c r="J50" s="14">
        <v>28</v>
      </c>
      <c r="K50" s="138">
        <v>46827</v>
      </c>
      <c r="L50" s="136">
        <v>0</v>
      </c>
      <c r="M50" s="136">
        <v>6555.78</v>
      </c>
      <c r="N50" s="136">
        <v>6555.78</v>
      </c>
      <c r="O50" s="5"/>
      <c r="P50" s="5" t="s">
        <v>350</v>
      </c>
      <c r="Q50" s="5" t="s">
        <v>342</v>
      </c>
      <c r="R50" s="5">
        <v>87082900</v>
      </c>
      <c r="S50" s="17" t="s">
        <v>22</v>
      </c>
      <c r="T50" s="5" t="s">
        <v>13</v>
      </c>
      <c r="U50" s="7">
        <v>0</v>
      </c>
      <c r="V50" s="7">
        <v>0</v>
      </c>
      <c r="W50" s="7">
        <f t="shared" si="0"/>
        <v>0</v>
      </c>
      <c r="X50" s="7">
        <v>1100</v>
      </c>
    </row>
    <row r="51" spans="1:28" x14ac:dyDescent="0.3">
      <c r="A51" s="5" t="s">
        <v>263</v>
      </c>
      <c r="B51" s="5" t="s">
        <v>262</v>
      </c>
      <c r="C51" s="5">
        <v>1370</v>
      </c>
      <c r="D51" s="5" t="s">
        <v>385</v>
      </c>
      <c r="E51" s="7">
        <v>49040.639999999999</v>
      </c>
      <c r="F51" s="5" t="s">
        <v>14</v>
      </c>
      <c r="G51" s="5" t="s">
        <v>11</v>
      </c>
      <c r="H51" s="5" t="s">
        <v>12</v>
      </c>
      <c r="I51" s="5"/>
      <c r="J51" s="14">
        <v>28</v>
      </c>
      <c r="K51" s="138">
        <v>38313</v>
      </c>
      <c r="L51" s="136">
        <v>0</v>
      </c>
      <c r="M51" s="136">
        <v>5363.82</v>
      </c>
      <c r="N51" s="136">
        <v>5363.82</v>
      </c>
      <c r="O51" s="5"/>
      <c r="P51" s="5" t="s">
        <v>350</v>
      </c>
      <c r="Q51" s="5" t="s">
        <v>342</v>
      </c>
      <c r="R51" s="5">
        <v>87082900</v>
      </c>
      <c r="S51" s="17" t="s">
        <v>22</v>
      </c>
      <c r="T51" s="5" t="s">
        <v>13</v>
      </c>
      <c r="U51" s="7">
        <v>0</v>
      </c>
      <c r="V51" s="7">
        <v>0</v>
      </c>
      <c r="W51" s="7">
        <f t="shared" si="0"/>
        <v>0</v>
      </c>
      <c r="X51" s="7">
        <v>900</v>
      </c>
    </row>
    <row r="52" spans="1:28" x14ac:dyDescent="0.3">
      <c r="A52" s="5" t="s">
        <v>263</v>
      </c>
      <c r="B52" s="5" t="s">
        <v>262</v>
      </c>
      <c r="C52" s="5">
        <v>1416</v>
      </c>
      <c r="D52" s="5" t="s">
        <v>387</v>
      </c>
      <c r="E52" s="7">
        <v>56669.18</v>
      </c>
      <c r="F52" s="5" t="s">
        <v>14</v>
      </c>
      <c r="G52" s="5" t="s">
        <v>11</v>
      </c>
      <c r="H52" s="5" t="s">
        <v>12</v>
      </c>
      <c r="I52" s="5"/>
      <c r="J52" s="14">
        <v>28</v>
      </c>
      <c r="K52" s="138">
        <v>44272.800000000003</v>
      </c>
      <c r="L52" s="136">
        <v>0</v>
      </c>
      <c r="M52" s="136">
        <v>6198.192</v>
      </c>
      <c r="N52" s="136">
        <v>6198.192</v>
      </c>
      <c r="O52" s="5"/>
      <c r="P52" s="5" t="s">
        <v>350</v>
      </c>
      <c r="Q52" s="5" t="s">
        <v>342</v>
      </c>
      <c r="R52" s="5">
        <v>87082900</v>
      </c>
      <c r="S52" s="17" t="s">
        <v>22</v>
      </c>
      <c r="T52" s="5" t="s">
        <v>13</v>
      </c>
      <c r="U52" s="7">
        <v>0</v>
      </c>
      <c r="V52" s="7">
        <v>0</v>
      </c>
      <c r="W52" s="7">
        <f t="shared" si="0"/>
        <v>0</v>
      </c>
      <c r="X52" s="7">
        <v>1040</v>
      </c>
    </row>
    <row r="53" spans="1:28" x14ac:dyDescent="0.3">
      <c r="A53" s="5" t="s">
        <v>263</v>
      </c>
      <c r="B53" s="5" t="s">
        <v>262</v>
      </c>
      <c r="C53" s="5">
        <v>1464</v>
      </c>
      <c r="D53" s="5" t="s">
        <v>396</v>
      </c>
      <c r="E53" s="7">
        <v>59938.559999999998</v>
      </c>
      <c r="F53" s="5" t="s">
        <v>14</v>
      </c>
      <c r="G53" s="5" t="s">
        <v>11</v>
      </c>
      <c r="H53" s="5" t="s">
        <v>12</v>
      </c>
      <c r="I53" s="5"/>
      <c r="J53" s="14">
        <v>28</v>
      </c>
      <c r="K53" s="138">
        <v>46827</v>
      </c>
      <c r="L53" s="136">
        <v>0</v>
      </c>
      <c r="M53" s="136">
        <v>6555.78</v>
      </c>
      <c r="N53" s="136">
        <v>6555.78</v>
      </c>
      <c r="O53" s="5"/>
      <c r="P53" s="5" t="s">
        <v>350</v>
      </c>
      <c r="Q53" s="5" t="s">
        <v>342</v>
      </c>
      <c r="R53" s="5">
        <v>87082900</v>
      </c>
      <c r="S53" s="17" t="s">
        <v>22</v>
      </c>
      <c r="T53" s="5" t="s">
        <v>13</v>
      </c>
      <c r="U53" s="7">
        <v>0</v>
      </c>
      <c r="V53" s="7">
        <v>0</v>
      </c>
      <c r="W53" s="7">
        <f t="shared" si="0"/>
        <v>0</v>
      </c>
      <c r="X53" s="7">
        <v>1100</v>
      </c>
      <c r="Y53">
        <f>+K53/100*9</f>
        <v>4214.43</v>
      </c>
      <c r="Z53">
        <f>+K53/100*9</f>
        <v>4214.43</v>
      </c>
      <c r="AA53" s="129">
        <f>+Y53-M53</f>
        <v>-2341.3499999999995</v>
      </c>
      <c r="AB53" s="129">
        <f>+N53-Z53</f>
        <v>2341.3499999999995</v>
      </c>
    </row>
    <row r="54" spans="1:28" x14ac:dyDescent="0.3">
      <c r="A54" s="5" t="s">
        <v>263</v>
      </c>
      <c r="B54" s="5" t="s">
        <v>262</v>
      </c>
      <c r="C54" s="5">
        <v>1595</v>
      </c>
      <c r="D54" s="5" t="s">
        <v>410</v>
      </c>
      <c r="E54" s="7">
        <v>59938.559999999998</v>
      </c>
      <c r="F54" s="5" t="s">
        <v>14</v>
      </c>
      <c r="G54" s="5"/>
      <c r="H54" s="5"/>
      <c r="I54" s="5"/>
      <c r="J54" s="14">
        <v>28</v>
      </c>
      <c r="K54" s="138">
        <v>46827</v>
      </c>
      <c r="L54" s="136">
        <v>0</v>
      </c>
      <c r="M54" s="136">
        <v>6555.78</v>
      </c>
      <c r="N54" s="136">
        <v>6555.78</v>
      </c>
      <c r="O54" s="5"/>
      <c r="P54" s="5"/>
      <c r="Q54" s="5"/>
      <c r="R54" s="5">
        <v>87082900</v>
      </c>
      <c r="S54" s="17" t="s">
        <v>22</v>
      </c>
      <c r="T54" s="5" t="s">
        <v>13</v>
      </c>
      <c r="U54" s="7">
        <v>0</v>
      </c>
      <c r="V54" s="7">
        <v>0</v>
      </c>
      <c r="W54" s="7">
        <f t="shared" si="0"/>
        <v>0</v>
      </c>
      <c r="X54" s="7">
        <v>1100</v>
      </c>
    </row>
    <row r="55" spans="1:28" x14ac:dyDescent="0.3">
      <c r="A55" s="5" t="s">
        <v>263</v>
      </c>
      <c r="B55" s="5" t="s">
        <v>262</v>
      </c>
      <c r="C55" s="5">
        <v>1654</v>
      </c>
      <c r="D55" s="5" t="s">
        <v>418</v>
      </c>
      <c r="E55" s="7">
        <v>27244.799999999999</v>
      </c>
      <c r="F55" s="5" t="s">
        <v>14</v>
      </c>
      <c r="G55" s="5"/>
      <c r="H55" s="5"/>
      <c r="I55" s="5"/>
      <c r="J55" s="14">
        <v>28</v>
      </c>
      <c r="K55" s="138">
        <v>21285</v>
      </c>
      <c r="L55" s="136">
        <v>0</v>
      </c>
      <c r="M55" s="136">
        <v>2979.9</v>
      </c>
      <c r="N55" s="136">
        <v>2979.9</v>
      </c>
      <c r="O55" s="5"/>
      <c r="P55" s="5"/>
      <c r="Q55" s="5"/>
      <c r="R55" s="5">
        <v>87082900</v>
      </c>
      <c r="S55" s="17" t="s">
        <v>22</v>
      </c>
      <c r="T55" s="5" t="s">
        <v>13</v>
      </c>
      <c r="U55" s="7">
        <v>0</v>
      </c>
      <c r="V55" s="7">
        <v>0</v>
      </c>
      <c r="W55" s="7">
        <f t="shared" si="0"/>
        <v>0</v>
      </c>
      <c r="X55" s="7">
        <v>500</v>
      </c>
    </row>
    <row r="56" spans="1:28" x14ac:dyDescent="0.3">
      <c r="A56" s="5" t="s">
        <v>263</v>
      </c>
      <c r="B56" s="5" t="s">
        <v>262</v>
      </c>
      <c r="C56" s="5">
        <v>1737</v>
      </c>
      <c r="D56" s="5" t="s">
        <v>433</v>
      </c>
      <c r="E56" s="7">
        <v>16346.88</v>
      </c>
      <c r="F56" s="5" t="s">
        <v>14</v>
      </c>
      <c r="G56" s="5"/>
      <c r="H56" s="5"/>
      <c r="I56" s="5"/>
      <c r="J56" s="14">
        <v>28</v>
      </c>
      <c r="K56" s="138">
        <v>12771</v>
      </c>
      <c r="L56" s="136">
        <v>0</v>
      </c>
      <c r="M56" s="136">
        <v>1787.9399999999998</v>
      </c>
      <c r="N56" s="136">
        <v>1787.9399999999998</v>
      </c>
      <c r="O56" s="5"/>
      <c r="P56" s="5"/>
      <c r="Q56" s="5"/>
      <c r="R56" s="5">
        <v>87082900</v>
      </c>
      <c r="S56" s="17" t="s">
        <v>22</v>
      </c>
      <c r="T56" s="5" t="s">
        <v>13</v>
      </c>
      <c r="U56" s="7">
        <v>0</v>
      </c>
      <c r="V56" s="7">
        <v>0</v>
      </c>
      <c r="W56" s="7">
        <f t="shared" si="0"/>
        <v>0</v>
      </c>
      <c r="X56" s="7">
        <v>300</v>
      </c>
      <c r="Y56">
        <f t="shared" ref="Y56:Y57" si="17">+K56/100*9</f>
        <v>1149.3899999999999</v>
      </c>
      <c r="Z56">
        <f t="shared" ref="Z56:Z57" si="18">+K56/100*9</f>
        <v>1149.3899999999999</v>
      </c>
      <c r="AA56" s="129">
        <f t="shared" ref="AA56:AA57" si="19">+Y56-M56</f>
        <v>-638.54999999999995</v>
      </c>
      <c r="AB56" s="129">
        <f t="shared" ref="AB56:AB57" si="20">+N56-Z56</f>
        <v>638.54999999999995</v>
      </c>
    </row>
    <row r="57" spans="1:28" x14ac:dyDescent="0.3">
      <c r="A57" s="5" t="s">
        <v>362</v>
      </c>
      <c r="B57" s="5" t="s">
        <v>306</v>
      </c>
      <c r="C57" s="5">
        <v>30</v>
      </c>
      <c r="D57" s="5" t="s">
        <v>361</v>
      </c>
      <c r="E57" s="7">
        <v>1190777</v>
      </c>
      <c r="F57" s="5" t="s">
        <v>14</v>
      </c>
      <c r="G57" s="5" t="s">
        <v>11</v>
      </c>
      <c r="H57" s="5" t="s">
        <v>12</v>
      </c>
      <c r="I57" s="5"/>
      <c r="J57" s="14">
        <v>18</v>
      </c>
      <c r="K57" s="138">
        <v>1009133</v>
      </c>
      <c r="L57" s="136">
        <v>0</v>
      </c>
      <c r="M57" s="136">
        <v>90822</v>
      </c>
      <c r="N57" s="136">
        <v>90822</v>
      </c>
      <c r="O57" s="5"/>
      <c r="P57" s="5" t="s">
        <v>350</v>
      </c>
      <c r="Q57" s="5" t="s">
        <v>342</v>
      </c>
      <c r="R57" s="5">
        <v>998519</v>
      </c>
      <c r="S57" s="17" t="s">
        <v>443</v>
      </c>
      <c r="T57" s="5" t="s">
        <v>13</v>
      </c>
      <c r="U57" s="7">
        <v>0</v>
      </c>
      <c r="V57" s="7">
        <v>0</v>
      </c>
      <c r="W57" s="7">
        <f t="shared" si="0"/>
        <v>0</v>
      </c>
      <c r="X57" s="7">
        <v>0</v>
      </c>
      <c r="Y57">
        <f t="shared" si="17"/>
        <v>90821.97</v>
      </c>
      <c r="Z57">
        <f t="shared" si="18"/>
        <v>90821.97</v>
      </c>
      <c r="AA57" s="129">
        <f t="shared" si="19"/>
        <v>-2.9999999998835847E-2</v>
      </c>
      <c r="AB57" s="129">
        <f t="shared" si="20"/>
        <v>2.9999999998835847E-2</v>
      </c>
    </row>
    <row r="58" spans="1:28" x14ac:dyDescent="0.3">
      <c r="A58" s="5" t="s">
        <v>362</v>
      </c>
      <c r="B58" s="5" t="s">
        <v>306</v>
      </c>
      <c r="C58" s="5">
        <v>31</v>
      </c>
      <c r="D58" s="5" t="s">
        <v>361</v>
      </c>
      <c r="E58" s="7">
        <v>26385</v>
      </c>
      <c r="F58" s="5" t="s">
        <v>14</v>
      </c>
      <c r="G58" s="5" t="s">
        <v>11</v>
      </c>
      <c r="H58" s="5" t="s">
        <v>12</v>
      </c>
      <c r="I58" s="5"/>
      <c r="J58" s="14">
        <v>18</v>
      </c>
      <c r="K58" s="138">
        <v>22361</v>
      </c>
      <c r="L58" s="136">
        <v>0</v>
      </c>
      <c r="M58" s="136">
        <v>2012.0000000000002</v>
      </c>
      <c r="N58" s="136">
        <v>2012.0000000000002</v>
      </c>
      <c r="O58" s="5"/>
      <c r="P58" s="5" t="s">
        <v>350</v>
      </c>
      <c r="Q58" s="5" t="s">
        <v>342</v>
      </c>
      <c r="R58" s="5">
        <v>998519</v>
      </c>
      <c r="S58" s="17" t="s">
        <v>443</v>
      </c>
      <c r="T58" s="5" t="s">
        <v>13</v>
      </c>
      <c r="U58" s="7">
        <v>0</v>
      </c>
      <c r="V58" s="7">
        <v>0</v>
      </c>
      <c r="W58" s="7">
        <f t="shared" si="0"/>
        <v>0</v>
      </c>
      <c r="X58" s="7">
        <v>0</v>
      </c>
    </row>
    <row r="59" spans="1:28" x14ac:dyDescent="0.3">
      <c r="A59" s="5" t="s">
        <v>265</v>
      </c>
      <c r="B59" s="5" t="s">
        <v>264</v>
      </c>
      <c r="C59" s="5">
        <v>1320</v>
      </c>
      <c r="D59" s="5" t="s">
        <v>380</v>
      </c>
      <c r="E59" s="7">
        <v>3658</v>
      </c>
      <c r="F59" s="5" t="s">
        <v>14</v>
      </c>
      <c r="G59" s="5" t="s">
        <v>11</v>
      </c>
      <c r="H59" s="5" t="s">
        <v>12</v>
      </c>
      <c r="I59" s="5"/>
      <c r="J59" s="14">
        <v>18</v>
      </c>
      <c r="K59" s="138">
        <v>3100</v>
      </c>
      <c r="L59" s="136">
        <v>0</v>
      </c>
      <c r="M59" s="136">
        <v>279</v>
      </c>
      <c r="N59" s="136">
        <v>279</v>
      </c>
      <c r="O59" s="5"/>
      <c r="P59" s="5" t="s">
        <v>350</v>
      </c>
      <c r="Q59" s="5" t="s">
        <v>342</v>
      </c>
      <c r="R59" s="5">
        <v>998933</v>
      </c>
      <c r="S59" s="17" t="s">
        <v>22</v>
      </c>
      <c r="T59" s="5" t="s">
        <v>13</v>
      </c>
      <c r="U59" s="7">
        <v>0</v>
      </c>
      <c r="V59" s="7">
        <v>0</v>
      </c>
      <c r="W59" s="7">
        <f t="shared" si="0"/>
        <v>0</v>
      </c>
      <c r="X59" s="7">
        <v>400</v>
      </c>
    </row>
    <row r="60" spans="1:28" x14ac:dyDescent="0.3">
      <c r="A60" s="5" t="s">
        <v>265</v>
      </c>
      <c r="B60" s="5" t="s">
        <v>264</v>
      </c>
      <c r="C60" s="5">
        <v>1379</v>
      </c>
      <c r="D60" s="5" t="s">
        <v>390</v>
      </c>
      <c r="E60" s="7">
        <v>3658</v>
      </c>
      <c r="F60" s="5" t="s">
        <v>14</v>
      </c>
      <c r="G60" s="5" t="s">
        <v>11</v>
      </c>
      <c r="H60" s="5" t="s">
        <v>12</v>
      </c>
      <c r="I60" s="5"/>
      <c r="J60" s="14">
        <v>18</v>
      </c>
      <c r="K60" s="138">
        <v>3100</v>
      </c>
      <c r="L60" s="136">
        <v>0</v>
      </c>
      <c r="M60" s="136">
        <v>279</v>
      </c>
      <c r="N60" s="136">
        <v>279</v>
      </c>
      <c r="O60" s="5"/>
      <c r="P60" s="5" t="s">
        <v>350</v>
      </c>
      <c r="Q60" s="5" t="s">
        <v>342</v>
      </c>
      <c r="R60" s="5">
        <v>998933</v>
      </c>
      <c r="S60" s="17" t="s">
        <v>22</v>
      </c>
      <c r="T60" s="5" t="s">
        <v>13</v>
      </c>
      <c r="U60" s="7">
        <v>0</v>
      </c>
      <c r="V60" s="7">
        <v>0</v>
      </c>
      <c r="W60" s="7">
        <f t="shared" si="0"/>
        <v>0</v>
      </c>
      <c r="X60" s="7">
        <v>400</v>
      </c>
    </row>
    <row r="61" spans="1:28" x14ac:dyDescent="0.3">
      <c r="A61" s="5" t="s">
        <v>265</v>
      </c>
      <c r="B61" s="5" t="s">
        <v>264</v>
      </c>
      <c r="C61" s="5">
        <v>1410</v>
      </c>
      <c r="D61" s="5" t="s">
        <v>396</v>
      </c>
      <c r="E61" s="7">
        <v>3658</v>
      </c>
      <c r="F61" s="5" t="s">
        <v>14</v>
      </c>
      <c r="G61" s="5" t="s">
        <v>11</v>
      </c>
      <c r="H61" s="5" t="s">
        <v>12</v>
      </c>
      <c r="I61" s="5"/>
      <c r="J61" s="14">
        <v>18</v>
      </c>
      <c r="K61" s="138">
        <v>3100</v>
      </c>
      <c r="L61" s="136">
        <v>0</v>
      </c>
      <c r="M61" s="136">
        <v>279</v>
      </c>
      <c r="N61" s="136">
        <v>279</v>
      </c>
      <c r="O61" s="5"/>
      <c r="P61" s="5" t="s">
        <v>350</v>
      </c>
      <c r="Q61" s="5" t="s">
        <v>342</v>
      </c>
      <c r="R61" s="5">
        <v>998933</v>
      </c>
      <c r="S61" s="17" t="s">
        <v>22</v>
      </c>
      <c r="T61" s="5" t="s">
        <v>13</v>
      </c>
      <c r="U61" s="7">
        <v>0</v>
      </c>
      <c r="V61" s="7">
        <v>0</v>
      </c>
      <c r="W61" s="7">
        <f t="shared" si="0"/>
        <v>0</v>
      </c>
      <c r="X61" s="7">
        <v>400</v>
      </c>
    </row>
    <row r="62" spans="1:28" x14ac:dyDescent="0.3">
      <c r="A62" s="5" t="s">
        <v>265</v>
      </c>
      <c r="B62" s="5" t="s">
        <v>264</v>
      </c>
      <c r="C62" s="5">
        <v>1436</v>
      </c>
      <c r="D62" s="5" t="s">
        <v>398</v>
      </c>
      <c r="E62" s="7">
        <v>3201</v>
      </c>
      <c r="F62" s="5" t="s">
        <v>14</v>
      </c>
      <c r="G62" s="5" t="s">
        <v>11</v>
      </c>
      <c r="H62" s="5" t="s">
        <v>12</v>
      </c>
      <c r="I62" s="5"/>
      <c r="J62" s="14">
        <v>18</v>
      </c>
      <c r="K62" s="138">
        <v>2712.5</v>
      </c>
      <c r="L62" s="136">
        <v>0</v>
      </c>
      <c r="M62" s="136">
        <v>244.13499999999999</v>
      </c>
      <c r="N62" s="136">
        <v>244.13499999999999</v>
      </c>
      <c r="O62" s="5"/>
      <c r="P62" s="5" t="s">
        <v>350</v>
      </c>
      <c r="Q62" s="5" t="s">
        <v>342</v>
      </c>
      <c r="R62" s="5">
        <v>998933</v>
      </c>
      <c r="S62" s="17" t="s">
        <v>22</v>
      </c>
      <c r="T62" s="5" t="s">
        <v>13</v>
      </c>
      <c r="U62" s="7">
        <v>0</v>
      </c>
      <c r="V62" s="7">
        <v>0</v>
      </c>
      <c r="W62" s="7">
        <f t="shared" si="0"/>
        <v>0</v>
      </c>
      <c r="X62" s="7">
        <v>350</v>
      </c>
    </row>
    <row r="63" spans="1:28" x14ac:dyDescent="0.3">
      <c r="A63" s="5" t="s">
        <v>265</v>
      </c>
      <c r="B63" s="5" t="s">
        <v>264</v>
      </c>
      <c r="C63" s="5">
        <v>1459</v>
      </c>
      <c r="D63" s="5" t="s">
        <v>401</v>
      </c>
      <c r="E63" s="7">
        <v>3658</v>
      </c>
      <c r="F63" s="5" t="s">
        <v>14</v>
      </c>
      <c r="G63" s="5" t="s">
        <v>11</v>
      </c>
      <c r="H63" s="5" t="s">
        <v>12</v>
      </c>
      <c r="I63" s="5"/>
      <c r="J63" s="14">
        <v>18</v>
      </c>
      <c r="K63" s="138">
        <v>3100</v>
      </c>
      <c r="L63" s="136">
        <v>0</v>
      </c>
      <c r="M63" s="136">
        <v>279</v>
      </c>
      <c r="N63" s="136">
        <v>279</v>
      </c>
      <c r="O63" s="5"/>
      <c r="P63" s="5" t="s">
        <v>350</v>
      </c>
      <c r="Q63" s="5" t="s">
        <v>342</v>
      </c>
      <c r="R63" s="5">
        <v>998933</v>
      </c>
      <c r="S63" s="17" t="s">
        <v>22</v>
      </c>
      <c r="T63" s="5" t="s">
        <v>13</v>
      </c>
      <c r="U63" s="7">
        <v>0</v>
      </c>
      <c r="V63" s="7">
        <v>0</v>
      </c>
      <c r="W63" s="7">
        <f t="shared" si="0"/>
        <v>0</v>
      </c>
      <c r="X63" s="7">
        <v>400</v>
      </c>
    </row>
    <row r="64" spans="1:28" x14ac:dyDescent="0.3">
      <c r="A64" s="5" t="s">
        <v>265</v>
      </c>
      <c r="B64" s="5" t="s">
        <v>264</v>
      </c>
      <c r="C64" s="5">
        <v>1496</v>
      </c>
      <c r="D64" s="5" t="s">
        <v>405</v>
      </c>
      <c r="E64" s="7">
        <v>3475</v>
      </c>
      <c r="F64" s="5" t="s">
        <v>14</v>
      </c>
      <c r="G64" s="5" t="s">
        <v>11</v>
      </c>
      <c r="H64" s="5" t="s">
        <v>12</v>
      </c>
      <c r="I64" s="5"/>
      <c r="J64" s="14">
        <v>18</v>
      </c>
      <c r="K64" s="138">
        <v>2945</v>
      </c>
      <c r="L64" s="136">
        <v>0</v>
      </c>
      <c r="M64" s="136">
        <v>265.05</v>
      </c>
      <c r="N64" s="136">
        <v>265.05</v>
      </c>
      <c r="O64" s="5"/>
      <c r="P64" s="5" t="s">
        <v>350</v>
      </c>
      <c r="Q64" s="5" t="s">
        <v>342</v>
      </c>
      <c r="R64" s="5">
        <v>998933</v>
      </c>
      <c r="S64" s="17" t="s">
        <v>22</v>
      </c>
      <c r="T64" s="5" t="s">
        <v>13</v>
      </c>
      <c r="U64" s="7">
        <v>0</v>
      </c>
      <c r="V64" s="7">
        <v>0</v>
      </c>
      <c r="W64" s="7">
        <f t="shared" si="0"/>
        <v>0</v>
      </c>
      <c r="X64" s="7">
        <v>380</v>
      </c>
    </row>
    <row r="65" spans="1:28" x14ac:dyDescent="0.3">
      <c r="A65" s="5" t="s">
        <v>265</v>
      </c>
      <c r="B65" s="5" t="s">
        <v>264</v>
      </c>
      <c r="C65" s="5">
        <v>1527</v>
      </c>
      <c r="D65" s="5" t="s">
        <v>409</v>
      </c>
      <c r="E65" s="7">
        <v>3658</v>
      </c>
      <c r="F65" s="5" t="s">
        <v>14</v>
      </c>
      <c r="G65" s="5"/>
      <c r="H65" s="5"/>
      <c r="I65" s="5"/>
      <c r="J65" s="14">
        <v>18</v>
      </c>
      <c r="K65" s="138">
        <v>3100</v>
      </c>
      <c r="L65" s="136">
        <v>0</v>
      </c>
      <c r="M65" s="136">
        <v>279</v>
      </c>
      <c r="N65" s="136">
        <v>279</v>
      </c>
      <c r="O65" s="5"/>
      <c r="P65" s="5"/>
      <c r="Q65" s="5"/>
      <c r="R65" s="5">
        <v>998933</v>
      </c>
      <c r="S65" s="17" t="s">
        <v>22</v>
      </c>
      <c r="T65" s="5" t="s">
        <v>13</v>
      </c>
      <c r="U65" s="7">
        <v>0</v>
      </c>
      <c r="V65" s="7">
        <v>0</v>
      </c>
      <c r="W65" s="7">
        <f t="shared" si="0"/>
        <v>0</v>
      </c>
      <c r="X65" s="7">
        <v>400</v>
      </c>
    </row>
    <row r="66" spans="1:28" x14ac:dyDescent="0.3">
      <c r="A66" s="5" t="s">
        <v>265</v>
      </c>
      <c r="B66" s="5" t="s">
        <v>264</v>
      </c>
      <c r="C66" s="5">
        <v>1587</v>
      </c>
      <c r="D66" s="5" t="s">
        <v>367</v>
      </c>
      <c r="E66" s="7">
        <v>457.26</v>
      </c>
      <c r="F66" s="5" t="s">
        <v>14</v>
      </c>
      <c r="G66" s="5"/>
      <c r="H66" s="5"/>
      <c r="I66" s="5"/>
      <c r="J66" s="14">
        <v>18</v>
      </c>
      <c r="K66" s="138">
        <v>387.5</v>
      </c>
      <c r="L66" s="136">
        <v>0</v>
      </c>
      <c r="M66" s="136">
        <v>34.875</v>
      </c>
      <c r="N66" s="136">
        <v>34.875</v>
      </c>
      <c r="O66" s="5"/>
      <c r="P66" s="5"/>
      <c r="Q66" s="5"/>
      <c r="R66" s="5">
        <v>998933</v>
      </c>
      <c r="S66" s="17" t="s">
        <v>22</v>
      </c>
      <c r="T66" s="5" t="s">
        <v>13</v>
      </c>
      <c r="U66" s="7">
        <v>0</v>
      </c>
      <c r="V66" s="7">
        <v>0</v>
      </c>
      <c r="W66" s="7">
        <f t="shared" si="0"/>
        <v>0</v>
      </c>
      <c r="X66" s="7">
        <v>50</v>
      </c>
    </row>
    <row r="67" spans="1:28" x14ac:dyDescent="0.3">
      <c r="A67" s="5" t="s">
        <v>265</v>
      </c>
      <c r="B67" s="5" t="s">
        <v>264</v>
      </c>
      <c r="C67" s="5">
        <v>1588</v>
      </c>
      <c r="D67" s="5" t="s">
        <v>367</v>
      </c>
      <c r="E67" s="7">
        <v>3658</v>
      </c>
      <c r="F67" s="5" t="s">
        <v>14</v>
      </c>
      <c r="G67" s="5"/>
      <c r="H67" s="5"/>
      <c r="I67" s="5"/>
      <c r="J67" s="14">
        <v>18</v>
      </c>
      <c r="K67" s="138">
        <v>3100</v>
      </c>
      <c r="L67" s="136">
        <v>0</v>
      </c>
      <c r="M67" s="136">
        <v>279</v>
      </c>
      <c r="N67" s="136">
        <v>279</v>
      </c>
      <c r="O67" s="5"/>
      <c r="P67" s="5"/>
      <c r="Q67" s="5"/>
      <c r="R67" s="5">
        <v>998933</v>
      </c>
      <c r="S67" s="17" t="s">
        <v>22</v>
      </c>
      <c r="T67" s="5" t="s">
        <v>13</v>
      </c>
      <c r="U67" s="7">
        <v>0</v>
      </c>
      <c r="V67" s="7">
        <v>0</v>
      </c>
      <c r="W67" s="7">
        <f t="shared" si="0"/>
        <v>0</v>
      </c>
      <c r="X67" s="7">
        <v>400</v>
      </c>
    </row>
    <row r="68" spans="1:28" x14ac:dyDescent="0.3">
      <c r="A68" s="5" t="s">
        <v>265</v>
      </c>
      <c r="B68" s="5" t="s">
        <v>264</v>
      </c>
      <c r="C68" s="5">
        <v>1589</v>
      </c>
      <c r="D68" s="5" t="s">
        <v>367</v>
      </c>
      <c r="E68" s="7">
        <v>1829</v>
      </c>
      <c r="F68" s="5" t="s">
        <v>14</v>
      </c>
      <c r="G68" s="5"/>
      <c r="H68" s="5"/>
      <c r="I68" s="5"/>
      <c r="J68" s="14">
        <v>18</v>
      </c>
      <c r="K68" s="138">
        <v>1550</v>
      </c>
      <c r="L68" s="136">
        <v>0</v>
      </c>
      <c r="M68" s="136">
        <v>139.5</v>
      </c>
      <c r="N68" s="136">
        <v>139.5</v>
      </c>
      <c r="O68" s="5"/>
      <c r="P68" s="5"/>
      <c r="Q68" s="5"/>
      <c r="R68" s="5">
        <v>998933</v>
      </c>
      <c r="S68" s="17" t="s">
        <v>22</v>
      </c>
      <c r="T68" s="5" t="s">
        <v>13</v>
      </c>
      <c r="U68" s="7">
        <v>0</v>
      </c>
      <c r="V68" s="7">
        <v>0</v>
      </c>
      <c r="W68" s="7">
        <f t="shared" si="0"/>
        <v>0</v>
      </c>
      <c r="X68" s="7">
        <v>200</v>
      </c>
    </row>
    <row r="69" spans="1:28" x14ac:dyDescent="0.3">
      <c r="A69" s="5" t="s">
        <v>265</v>
      </c>
      <c r="B69" s="5" t="s">
        <v>264</v>
      </c>
      <c r="C69" s="5">
        <v>1669</v>
      </c>
      <c r="D69" s="5" t="s">
        <v>433</v>
      </c>
      <c r="E69" s="7">
        <v>480</v>
      </c>
      <c r="F69" s="5" t="s">
        <v>14</v>
      </c>
      <c r="G69" s="5"/>
      <c r="H69" s="5"/>
      <c r="I69" s="5"/>
      <c r="J69" s="14">
        <v>18</v>
      </c>
      <c r="K69" s="138">
        <v>406.7</v>
      </c>
      <c r="L69" s="136">
        <v>0</v>
      </c>
      <c r="M69" s="136">
        <v>36.603000000000002</v>
      </c>
      <c r="N69" s="136">
        <v>36.603000000000002</v>
      </c>
      <c r="O69" s="5"/>
      <c r="P69" s="5"/>
      <c r="Q69" s="5"/>
      <c r="R69" s="5">
        <v>998933</v>
      </c>
      <c r="S69" s="17" t="s">
        <v>22</v>
      </c>
      <c r="T69" s="5" t="s">
        <v>13</v>
      </c>
      <c r="U69" s="7">
        <v>0</v>
      </c>
      <c r="V69" s="7">
        <v>0</v>
      </c>
      <c r="W69" s="7">
        <f t="shared" si="0"/>
        <v>0</v>
      </c>
      <c r="X69" s="7">
        <v>5</v>
      </c>
    </row>
    <row r="70" spans="1:28" x14ac:dyDescent="0.3">
      <c r="A70" s="5" t="s">
        <v>265</v>
      </c>
      <c r="B70" s="5" t="s">
        <v>264</v>
      </c>
      <c r="C70" s="5">
        <v>1683</v>
      </c>
      <c r="D70" s="5" t="s">
        <v>433</v>
      </c>
      <c r="E70" s="7">
        <v>1829</v>
      </c>
      <c r="F70" s="5" t="s">
        <v>14</v>
      </c>
      <c r="G70" s="5"/>
      <c r="H70" s="5"/>
      <c r="I70" s="5"/>
      <c r="J70" s="14">
        <v>18</v>
      </c>
      <c r="K70" s="138">
        <v>1550</v>
      </c>
      <c r="L70" s="136">
        <v>0</v>
      </c>
      <c r="M70" s="136">
        <v>139.5</v>
      </c>
      <c r="N70" s="136">
        <v>139.5</v>
      </c>
      <c r="O70" s="5"/>
      <c r="P70" s="5"/>
      <c r="Q70" s="5"/>
      <c r="R70" s="5">
        <v>998933</v>
      </c>
      <c r="S70" s="17" t="s">
        <v>22</v>
      </c>
      <c r="T70" s="5" t="s">
        <v>13</v>
      </c>
      <c r="U70" s="7">
        <v>0</v>
      </c>
      <c r="V70" s="7">
        <v>0</v>
      </c>
      <c r="W70" s="7">
        <f t="shared" si="0"/>
        <v>0</v>
      </c>
      <c r="X70" s="7">
        <v>200</v>
      </c>
    </row>
    <row r="71" spans="1:28" x14ac:dyDescent="0.3">
      <c r="A71" s="5" t="s">
        <v>265</v>
      </c>
      <c r="B71" s="5" t="s">
        <v>264</v>
      </c>
      <c r="C71" s="5">
        <v>1684</v>
      </c>
      <c r="D71" s="5" t="s">
        <v>433</v>
      </c>
      <c r="E71" s="7">
        <v>1427</v>
      </c>
      <c r="F71" s="5" t="s">
        <v>14</v>
      </c>
      <c r="G71" s="5"/>
      <c r="H71" s="5"/>
      <c r="I71" s="5"/>
      <c r="J71" s="14">
        <v>18</v>
      </c>
      <c r="K71" s="138">
        <v>1209</v>
      </c>
      <c r="L71" s="136">
        <v>0</v>
      </c>
      <c r="M71" s="136">
        <v>108.84</v>
      </c>
      <c r="N71" s="136">
        <v>108.84</v>
      </c>
      <c r="O71" s="5"/>
      <c r="P71" s="5"/>
      <c r="Q71" s="5"/>
      <c r="R71" s="5">
        <v>998933</v>
      </c>
      <c r="S71" s="17" t="s">
        <v>22</v>
      </c>
      <c r="T71" s="5" t="s">
        <v>13</v>
      </c>
      <c r="U71" s="7">
        <v>0</v>
      </c>
      <c r="V71" s="7">
        <v>0</v>
      </c>
      <c r="W71" s="7">
        <f t="shared" ref="W71:W134" si="21">+U71-V71</f>
        <v>0</v>
      </c>
      <c r="X71" s="7">
        <v>156</v>
      </c>
    </row>
    <row r="72" spans="1:28" x14ac:dyDescent="0.3">
      <c r="A72" s="5" t="s">
        <v>213</v>
      </c>
      <c r="B72" s="5" t="s">
        <v>212</v>
      </c>
      <c r="C72" s="5">
        <v>1903</v>
      </c>
      <c r="D72" s="5" t="s">
        <v>367</v>
      </c>
      <c r="E72" s="7">
        <f>3750+525+525</f>
        <v>4800</v>
      </c>
      <c r="F72" s="5" t="s">
        <v>14</v>
      </c>
      <c r="G72" s="5" t="s">
        <v>11</v>
      </c>
      <c r="H72" s="5" t="s">
        <v>12</v>
      </c>
      <c r="I72" s="5"/>
      <c r="J72" s="14">
        <v>28</v>
      </c>
      <c r="K72" s="138">
        <v>3750</v>
      </c>
      <c r="L72" s="136">
        <v>0</v>
      </c>
      <c r="M72" s="136">
        <v>525</v>
      </c>
      <c r="N72" s="136">
        <v>525</v>
      </c>
      <c r="O72" s="5"/>
      <c r="P72" s="5" t="s">
        <v>350</v>
      </c>
      <c r="Q72" s="5" t="s">
        <v>342</v>
      </c>
      <c r="R72" s="5">
        <v>25232910</v>
      </c>
      <c r="S72" s="17" t="s">
        <v>446</v>
      </c>
      <c r="T72" s="5" t="s">
        <v>13</v>
      </c>
      <c r="U72" s="7">
        <v>0</v>
      </c>
      <c r="V72" s="7">
        <v>0</v>
      </c>
      <c r="W72" s="7">
        <f t="shared" si="21"/>
        <v>0</v>
      </c>
      <c r="X72" s="7">
        <v>15</v>
      </c>
    </row>
    <row r="73" spans="1:28" x14ac:dyDescent="0.3">
      <c r="A73" s="5" t="s">
        <v>213</v>
      </c>
      <c r="B73" s="5" t="s">
        <v>212</v>
      </c>
      <c r="C73" s="5">
        <v>1903</v>
      </c>
      <c r="D73" s="5" t="s">
        <v>367</v>
      </c>
      <c r="E73" s="7">
        <f>200+28+28</f>
        <v>256</v>
      </c>
      <c r="F73" s="5" t="s">
        <v>14</v>
      </c>
      <c r="G73" s="5" t="s">
        <v>11</v>
      </c>
      <c r="H73" s="5" t="s">
        <v>12</v>
      </c>
      <c r="I73" s="5"/>
      <c r="J73" s="14">
        <v>28</v>
      </c>
      <c r="K73" s="138">
        <v>200</v>
      </c>
      <c r="L73" s="136">
        <v>0</v>
      </c>
      <c r="M73" s="136">
        <v>28</v>
      </c>
      <c r="N73" s="136">
        <v>28</v>
      </c>
      <c r="O73" s="5"/>
      <c r="P73" s="5" t="s">
        <v>350</v>
      </c>
      <c r="Q73" s="5" t="s">
        <v>342</v>
      </c>
      <c r="R73" s="5">
        <v>3925</v>
      </c>
      <c r="S73" s="17" t="s">
        <v>446</v>
      </c>
      <c r="T73" s="5" t="s">
        <v>13</v>
      </c>
      <c r="U73" s="7">
        <v>0</v>
      </c>
      <c r="V73" s="7">
        <v>0</v>
      </c>
      <c r="W73" s="7">
        <f t="shared" si="21"/>
        <v>0</v>
      </c>
      <c r="X73" s="7">
        <v>0</v>
      </c>
    </row>
    <row r="74" spans="1:28" x14ac:dyDescent="0.3">
      <c r="A74" s="5" t="s">
        <v>300</v>
      </c>
      <c r="B74" s="5" t="s">
        <v>301</v>
      </c>
      <c r="C74" s="5">
        <v>239</v>
      </c>
      <c r="D74" s="5" t="s">
        <v>368</v>
      </c>
      <c r="E74" s="7">
        <v>11142.81</v>
      </c>
      <c r="F74" s="5" t="s">
        <v>14</v>
      </c>
      <c r="G74" s="5" t="s">
        <v>11</v>
      </c>
      <c r="H74" s="5" t="s">
        <v>12</v>
      </c>
      <c r="I74" s="5"/>
      <c r="J74" s="14">
        <v>18</v>
      </c>
      <c r="K74" s="138">
        <v>9443.07</v>
      </c>
      <c r="L74" s="136">
        <v>0</v>
      </c>
      <c r="M74" s="136">
        <v>849.86630000000002</v>
      </c>
      <c r="N74" s="136">
        <v>849.86630000000002</v>
      </c>
      <c r="O74" s="5"/>
      <c r="P74" s="5" t="s">
        <v>350</v>
      </c>
      <c r="Q74" s="5" t="s">
        <v>342</v>
      </c>
      <c r="R74" s="5">
        <v>27111900</v>
      </c>
      <c r="S74" s="17" t="s">
        <v>447</v>
      </c>
      <c r="T74" s="5" t="s">
        <v>13</v>
      </c>
      <c r="U74" s="7">
        <v>0</v>
      </c>
      <c r="V74" s="7">
        <v>0</v>
      </c>
      <c r="W74" s="7">
        <f t="shared" si="21"/>
        <v>0</v>
      </c>
      <c r="X74" s="7">
        <v>9</v>
      </c>
    </row>
    <row r="75" spans="1:28" x14ac:dyDescent="0.3">
      <c r="A75" s="5" t="s">
        <v>300</v>
      </c>
      <c r="B75" s="5" t="s">
        <v>301</v>
      </c>
      <c r="C75" s="5">
        <v>280</v>
      </c>
      <c r="D75" s="5" t="s">
        <v>395</v>
      </c>
      <c r="E75" s="7">
        <v>15972.98</v>
      </c>
      <c r="F75" s="5" t="s">
        <v>14</v>
      </c>
      <c r="G75" s="5" t="s">
        <v>11</v>
      </c>
      <c r="H75" s="5" t="s">
        <v>12</v>
      </c>
      <c r="I75" s="5"/>
      <c r="J75" s="14">
        <v>18</v>
      </c>
      <c r="K75" s="138">
        <v>13536.42</v>
      </c>
      <c r="L75" s="136">
        <v>0</v>
      </c>
      <c r="M75" s="136">
        <v>1218.2778000000001</v>
      </c>
      <c r="N75" s="136">
        <v>1218.2778000000001</v>
      </c>
      <c r="O75" s="5"/>
      <c r="P75" s="5" t="s">
        <v>350</v>
      </c>
      <c r="Q75" s="5" t="s">
        <v>342</v>
      </c>
      <c r="R75" s="5">
        <v>27111900</v>
      </c>
      <c r="S75" s="17" t="s">
        <v>447</v>
      </c>
      <c r="T75" s="5" t="s">
        <v>13</v>
      </c>
      <c r="U75" s="7">
        <v>0</v>
      </c>
      <c r="V75" s="7">
        <v>0</v>
      </c>
      <c r="W75" s="7">
        <f t="shared" si="21"/>
        <v>0</v>
      </c>
      <c r="X75" s="7">
        <v>14</v>
      </c>
    </row>
    <row r="76" spans="1:28" x14ac:dyDescent="0.3">
      <c r="A76" s="5" t="s">
        <v>300</v>
      </c>
      <c r="B76" s="5" t="s">
        <v>301</v>
      </c>
      <c r="C76" s="5">
        <v>308</v>
      </c>
      <c r="D76" s="5" t="s">
        <v>401</v>
      </c>
      <c r="E76" s="7">
        <v>15781.92</v>
      </c>
      <c r="F76" s="5" t="s">
        <v>14</v>
      </c>
      <c r="G76" s="5" t="s">
        <v>11</v>
      </c>
      <c r="H76" s="5" t="s">
        <v>12</v>
      </c>
      <c r="I76" s="5"/>
      <c r="J76" s="14">
        <v>18</v>
      </c>
      <c r="K76" s="138">
        <v>13374.5</v>
      </c>
      <c r="L76" s="136">
        <v>0</v>
      </c>
      <c r="M76" s="136">
        <v>1203.7049999999999</v>
      </c>
      <c r="N76" s="136">
        <v>1203.7049999999999</v>
      </c>
      <c r="O76" s="5"/>
      <c r="P76" s="5" t="s">
        <v>350</v>
      </c>
      <c r="Q76" s="5" t="s">
        <v>342</v>
      </c>
      <c r="R76" s="5">
        <v>27111900</v>
      </c>
      <c r="S76" s="17" t="s">
        <v>447</v>
      </c>
      <c r="T76" s="5" t="s">
        <v>13</v>
      </c>
      <c r="U76" s="7">
        <v>0</v>
      </c>
      <c r="V76" s="7">
        <v>0</v>
      </c>
      <c r="W76" s="7">
        <f t="shared" si="21"/>
        <v>0</v>
      </c>
      <c r="X76" s="7">
        <v>10</v>
      </c>
    </row>
    <row r="77" spans="1:28" x14ac:dyDescent="0.3">
      <c r="A77" s="5" t="s">
        <v>300</v>
      </c>
      <c r="B77" s="5" t="s">
        <v>301</v>
      </c>
      <c r="C77" s="5">
        <v>346</v>
      </c>
      <c r="D77" s="5" t="s">
        <v>413</v>
      </c>
      <c r="E77" s="7">
        <v>11190.64</v>
      </c>
      <c r="F77" s="5" t="s">
        <v>14</v>
      </c>
      <c r="G77" s="5"/>
      <c r="H77" s="5"/>
      <c r="I77" s="5"/>
      <c r="J77" s="14">
        <v>18</v>
      </c>
      <c r="K77" s="138">
        <v>9483.6</v>
      </c>
      <c r="L77" s="136">
        <v>0</v>
      </c>
      <c r="M77" s="136">
        <v>853.524</v>
      </c>
      <c r="N77" s="136">
        <v>853.524</v>
      </c>
      <c r="O77" s="5"/>
      <c r="P77" s="5"/>
      <c r="Q77" s="5"/>
      <c r="R77" s="5">
        <v>27111900</v>
      </c>
      <c r="S77" s="17" t="s">
        <v>447</v>
      </c>
      <c r="T77" s="5" t="s">
        <v>13</v>
      </c>
      <c r="U77" s="7">
        <v>0</v>
      </c>
      <c r="V77" s="7">
        <v>0</v>
      </c>
      <c r="W77" s="7">
        <f t="shared" si="21"/>
        <v>0</v>
      </c>
      <c r="X77" s="7">
        <v>10</v>
      </c>
    </row>
    <row r="78" spans="1:28" x14ac:dyDescent="0.3">
      <c r="A78" s="5" t="s">
        <v>191</v>
      </c>
      <c r="B78" s="5" t="s">
        <v>190</v>
      </c>
      <c r="C78" s="5">
        <v>171800229</v>
      </c>
      <c r="D78" s="5" t="s">
        <v>404</v>
      </c>
      <c r="E78" s="7">
        <v>81715</v>
      </c>
      <c r="F78" s="5" t="s">
        <v>14</v>
      </c>
      <c r="G78" s="5" t="s">
        <v>11</v>
      </c>
      <c r="H78" s="5" t="s">
        <v>12</v>
      </c>
      <c r="I78" s="5"/>
      <c r="J78" s="14">
        <v>28</v>
      </c>
      <c r="K78" s="138">
        <v>63840</v>
      </c>
      <c r="L78" s="136">
        <v>0</v>
      </c>
      <c r="M78" s="136">
        <v>8937.6</v>
      </c>
      <c r="N78" s="136">
        <v>8937.6</v>
      </c>
      <c r="O78" s="5"/>
      <c r="P78" s="5" t="s">
        <v>350</v>
      </c>
      <c r="Q78" s="5" t="s">
        <v>342</v>
      </c>
      <c r="R78" s="5">
        <v>39269099</v>
      </c>
      <c r="S78" s="17" t="s">
        <v>22</v>
      </c>
      <c r="T78" s="5" t="s">
        <v>13</v>
      </c>
      <c r="U78" s="7">
        <v>0</v>
      </c>
      <c r="V78" s="7">
        <v>0</v>
      </c>
      <c r="W78" s="7">
        <f t="shared" si="21"/>
        <v>0</v>
      </c>
      <c r="X78" s="7">
        <v>106400</v>
      </c>
    </row>
    <row r="79" spans="1:28" x14ac:dyDescent="0.3">
      <c r="A79" s="5" t="s">
        <v>191</v>
      </c>
      <c r="B79" s="5" t="s">
        <v>190</v>
      </c>
      <c r="C79" s="5">
        <v>171800255</v>
      </c>
      <c r="D79" s="5" t="s">
        <v>409</v>
      </c>
      <c r="E79" s="7">
        <v>30996</v>
      </c>
      <c r="F79" s="5" t="s">
        <v>14</v>
      </c>
      <c r="G79" s="5"/>
      <c r="H79" s="7">
        <f>+SUM(K77:N77)</f>
        <v>11190.647999999999</v>
      </c>
      <c r="I79" s="5"/>
      <c r="J79" s="14">
        <v>28</v>
      </c>
      <c r="K79" s="138">
        <v>24216</v>
      </c>
      <c r="L79" s="136">
        <v>0</v>
      </c>
      <c r="M79" s="136">
        <v>3390.24</v>
      </c>
      <c r="N79" s="136">
        <v>3390.24</v>
      </c>
      <c r="O79" s="5"/>
      <c r="P79" s="5"/>
      <c r="Q79" s="5"/>
      <c r="R79" s="5">
        <v>39269099</v>
      </c>
      <c r="S79" s="17" t="s">
        <v>22</v>
      </c>
      <c r="T79" s="5" t="s">
        <v>13</v>
      </c>
      <c r="U79" s="7">
        <v>0</v>
      </c>
      <c r="V79" s="7">
        <v>0</v>
      </c>
      <c r="W79" s="7">
        <f t="shared" si="21"/>
        <v>0</v>
      </c>
      <c r="X79" s="7">
        <v>2400</v>
      </c>
      <c r="Y79">
        <f>+K79/100*9</f>
        <v>2179.44</v>
      </c>
      <c r="Z79">
        <f>+K79/100*9</f>
        <v>2179.44</v>
      </c>
      <c r="AA79" s="129">
        <f>+Y79-M79</f>
        <v>-1210.7999999999997</v>
      </c>
      <c r="AB79" s="129">
        <f>+N79-Z79</f>
        <v>1210.7999999999997</v>
      </c>
    </row>
    <row r="80" spans="1:28" x14ac:dyDescent="0.3">
      <c r="A80" s="5" t="s">
        <v>191</v>
      </c>
      <c r="B80" s="5" t="s">
        <v>190</v>
      </c>
      <c r="C80" s="5">
        <v>171800262</v>
      </c>
      <c r="D80" s="5" t="s">
        <v>410</v>
      </c>
      <c r="E80" s="7">
        <v>30996</v>
      </c>
      <c r="F80" s="5" t="s">
        <v>14</v>
      </c>
      <c r="G80" s="5"/>
      <c r="H80" s="5"/>
      <c r="I80" s="5"/>
      <c r="J80" s="14">
        <v>28</v>
      </c>
      <c r="K80" s="138">
        <v>24216</v>
      </c>
      <c r="L80" s="136">
        <v>0</v>
      </c>
      <c r="M80" s="136">
        <v>3390.24</v>
      </c>
      <c r="N80" s="136">
        <v>3390.24</v>
      </c>
      <c r="O80" s="5"/>
      <c r="P80" s="5"/>
      <c r="Q80" s="5"/>
      <c r="R80" s="5">
        <v>39269099</v>
      </c>
      <c r="S80" s="17" t="s">
        <v>22</v>
      </c>
      <c r="T80" s="5" t="s">
        <v>13</v>
      </c>
      <c r="U80" s="7">
        <v>0</v>
      </c>
      <c r="V80" s="7">
        <v>0</v>
      </c>
      <c r="W80" s="7">
        <f t="shared" si="21"/>
        <v>0</v>
      </c>
      <c r="X80" s="7">
        <v>2400</v>
      </c>
    </row>
    <row r="81" spans="1:28" x14ac:dyDescent="0.3">
      <c r="A81" s="5" t="s">
        <v>191</v>
      </c>
      <c r="B81" s="5" t="s">
        <v>190</v>
      </c>
      <c r="C81" s="5">
        <v>171800268</v>
      </c>
      <c r="D81" s="5" t="s">
        <v>410</v>
      </c>
      <c r="E81" s="7">
        <v>29963</v>
      </c>
      <c r="F81" s="5" t="s">
        <v>14</v>
      </c>
      <c r="G81" s="5"/>
      <c r="H81" s="5"/>
      <c r="I81" s="5"/>
      <c r="J81" s="14">
        <v>28</v>
      </c>
      <c r="K81" s="138">
        <v>23408.799999999999</v>
      </c>
      <c r="L81" s="136">
        <v>0</v>
      </c>
      <c r="M81" s="136">
        <v>3277.232</v>
      </c>
      <c r="N81" s="136">
        <v>3277.232</v>
      </c>
      <c r="O81" s="5"/>
      <c r="P81" s="5"/>
      <c r="Q81" s="5"/>
      <c r="R81" s="5">
        <v>39269099</v>
      </c>
      <c r="S81" s="17" t="s">
        <v>22</v>
      </c>
      <c r="T81" s="5" t="s">
        <v>13</v>
      </c>
      <c r="U81" s="7">
        <v>0</v>
      </c>
      <c r="V81" s="7">
        <v>0</v>
      </c>
      <c r="W81" s="7">
        <f t="shared" si="21"/>
        <v>0</v>
      </c>
      <c r="X81" s="7">
        <v>2320</v>
      </c>
    </row>
    <row r="82" spans="1:28" x14ac:dyDescent="0.3">
      <c r="A82" s="5" t="s">
        <v>219</v>
      </c>
      <c r="B82" s="5" t="s">
        <v>218</v>
      </c>
      <c r="C82" s="5">
        <v>2837</v>
      </c>
      <c r="D82" s="5" t="s">
        <v>361</v>
      </c>
      <c r="E82" s="7">
        <v>1260</v>
      </c>
      <c r="F82" s="5" t="s">
        <v>14</v>
      </c>
      <c r="G82" s="5" t="s">
        <v>11</v>
      </c>
      <c r="H82" s="5" t="s">
        <v>12</v>
      </c>
      <c r="I82" s="5"/>
      <c r="J82" s="14">
        <v>5</v>
      </c>
      <c r="K82" s="138">
        <v>1200</v>
      </c>
      <c r="L82" s="136">
        <v>0</v>
      </c>
      <c r="M82" s="136">
        <v>30</v>
      </c>
      <c r="N82" s="136">
        <v>30</v>
      </c>
      <c r="O82" s="5"/>
      <c r="P82" s="5" t="s">
        <v>350</v>
      </c>
      <c r="Q82" s="5" t="s">
        <v>342</v>
      </c>
      <c r="R82" s="5">
        <v>61169200</v>
      </c>
      <c r="S82" s="17" t="s">
        <v>222</v>
      </c>
      <c r="T82" s="5" t="s">
        <v>13</v>
      </c>
      <c r="U82" s="7">
        <v>0</v>
      </c>
      <c r="V82" s="7">
        <v>0</v>
      </c>
      <c r="W82" s="7">
        <f t="shared" si="21"/>
        <v>0</v>
      </c>
      <c r="X82" s="7">
        <v>100</v>
      </c>
    </row>
    <row r="83" spans="1:28" x14ac:dyDescent="0.3">
      <c r="A83" s="5" t="s">
        <v>219</v>
      </c>
      <c r="B83" s="5" t="s">
        <v>218</v>
      </c>
      <c r="C83" s="5">
        <v>2837</v>
      </c>
      <c r="D83" s="5" t="s">
        <v>361</v>
      </c>
      <c r="E83" s="7">
        <v>13892</v>
      </c>
      <c r="F83" s="5" t="s">
        <v>14</v>
      </c>
      <c r="G83" s="5" t="s">
        <v>11</v>
      </c>
      <c r="H83" s="5" t="s">
        <v>12</v>
      </c>
      <c r="I83" s="5"/>
      <c r="J83" s="14">
        <v>5</v>
      </c>
      <c r="K83" s="138">
        <v>13230</v>
      </c>
      <c r="L83" s="136">
        <v>0</v>
      </c>
      <c r="M83" s="136">
        <v>330.75</v>
      </c>
      <c r="N83" s="136">
        <v>330.75</v>
      </c>
      <c r="O83" s="5"/>
      <c r="P83" s="5" t="s">
        <v>350</v>
      </c>
      <c r="Q83" s="5" t="s">
        <v>342</v>
      </c>
      <c r="R83" s="5">
        <v>5407</v>
      </c>
      <c r="S83" s="17" t="s">
        <v>222</v>
      </c>
      <c r="T83" s="5" t="s">
        <v>13</v>
      </c>
      <c r="U83" s="7">
        <v>0</v>
      </c>
      <c r="V83" s="7">
        <v>0</v>
      </c>
      <c r="W83" s="7">
        <f t="shared" si="21"/>
        <v>0</v>
      </c>
      <c r="X83" s="7">
        <v>49</v>
      </c>
    </row>
    <row r="84" spans="1:28" x14ac:dyDescent="0.3">
      <c r="A84" s="5" t="s">
        <v>219</v>
      </c>
      <c r="B84" s="5" t="s">
        <v>218</v>
      </c>
      <c r="C84" s="5">
        <v>2837</v>
      </c>
      <c r="D84" s="5" t="s">
        <v>361</v>
      </c>
      <c r="E84" s="7">
        <v>1732</v>
      </c>
      <c r="F84" s="5" t="s">
        <v>14</v>
      </c>
      <c r="G84" s="5" t="s">
        <v>11</v>
      </c>
      <c r="H84" s="5" t="s">
        <v>12</v>
      </c>
      <c r="I84" s="5"/>
      <c r="J84" s="14">
        <v>5</v>
      </c>
      <c r="K84" s="138">
        <v>1650</v>
      </c>
      <c r="L84" s="136">
        <v>0</v>
      </c>
      <c r="M84" s="136">
        <v>41.25</v>
      </c>
      <c r="N84" s="136">
        <v>41.25</v>
      </c>
      <c r="O84" s="5"/>
      <c r="P84" s="5" t="s">
        <v>350</v>
      </c>
      <c r="Q84" s="5" t="s">
        <v>342</v>
      </c>
      <c r="R84" s="5">
        <v>60060000</v>
      </c>
      <c r="S84" s="17" t="s">
        <v>222</v>
      </c>
      <c r="T84" s="5" t="s">
        <v>13</v>
      </c>
      <c r="U84" s="7">
        <v>0</v>
      </c>
      <c r="V84" s="7">
        <v>0</v>
      </c>
      <c r="W84" s="7">
        <f t="shared" si="21"/>
        <v>0</v>
      </c>
      <c r="X84" s="7">
        <v>50</v>
      </c>
      <c r="Y84">
        <f>+K84/100*9</f>
        <v>148.5</v>
      </c>
      <c r="Z84">
        <f>+K84/100*9</f>
        <v>148.5</v>
      </c>
      <c r="AA84" s="129">
        <f>+Y84-M84</f>
        <v>107.25</v>
      </c>
      <c r="AB84" s="129">
        <f>+N84-Z84</f>
        <v>-107.25</v>
      </c>
    </row>
    <row r="85" spans="1:28" x14ac:dyDescent="0.3">
      <c r="A85" s="5" t="s">
        <v>219</v>
      </c>
      <c r="B85" s="5" t="s">
        <v>218</v>
      </c>
      <c r="C85" s="5">
        <v>2839</v>
      </c>
      <c r="D85" s="5" t="s">
        <v>361</v>
      </c>
      <c r="E85" s="7">
        <v>590</v>
      </c>
      <c r="F85" s="5" t="s">
        <v>14</v>
      </c>
      <c r="G85" s="5" t="s">
        <v>11</v>
      </c>
      <c r="H85" s="5" t="s">
        <v>12</v>
      </c>
      <c r="I85" s="5"/>
      <c r="J85" s="14">
        <v>18</v>
      </c>
      <c r="K85" s="138">
        <v>500</v>
      </c>
      <c r="L85" s="136">
        <v>0</v>
      </c>
      <c r="M85" s="136">
        <v>45</v>
      </c>
      <c r="N85" s="136">
        <v>45</v>
      </c>
      <c r="O85" s="5"/>
      <c r="P85" s="5" t="s">
        <v>350</v>
      </c>
      <c r="Q85" s="5" t="s">
        <v>342</v>
      </c>
      <c r="R85" s="5">
        <v>39261019</v>
      </c>
      <c r="S85" s="17" t="s">
        <v>222</v>
      </c>
      <c r="T85" s="5" t="s">
        <v>13</v>
      </c>
      <c r="U85" s="7">
        <v>0</v>
      </c>
      <c r="V85" s="7">
        <v>0</v>
      </c>
      <c r="W85" s="7">
        <f t="shared" si="21"/>
        <v>0</v>
      </c>
      <c r="X85" s="7">
        <v>100</v>
      </c>
    </row>
    <row r="86" spans="1:28" x14ac:dyDescent="0.3">
      <c r="A86" s="5" t="s">
        <v>219</v>
      </c>
      <c r="B86" s="5" t="s">
        <v>218</v>
      </c>
      <c r="C86" s="5">
        <v>2839</v>
      </c>
      <c r="D86" s="5" t="s">
        <v>361</v>
      </c>
      <c r="E86" s="7">
        <v>237.18</v>
      </c>
      <c r="F86" s="5" t="s">
        <v>14</v>
      </c>
      <c r="G86" s="5" t="s">
        <v>11</v>
      </c>
      <c r="H86" s="5" t="s">
        <v>12</v>
      </c>
      <c r="I86" s="5"/>
      <c r="J86" s="14">
        <v>18</v>
      </c>
      <c r="K86" s="138">
        <v>201</v>
      </c>
      <c r="L86" s="136">
        <v>0</v>
      </c>
      <c r="M86" s="136">
        <v>18.089999999999996</v>
      </c>
      <c r="N86" s="136">
        <v>18.089999999999996</v>
      </c>
      <c r="O86" s="5"/>
      <c r="P86" s="5" t="s">
        <v>350</v>
      </c>
      <c r="Q86" s="5" t="s">
        <v>342</v>
      </c>
      <c r="R86" s="5">
        <v>34022090</v>
      </c>
      <c r="S86" s="17" t="s">
        <v>222</v>
      </c>
      <c r="T86" s="5" t="s">
        <v>13</v>
      </c>
      <c r="U86" s="7">
        <v>0</v>
      </c>
      <c r="V86" s="7">
        <v>0</v>
      </c>
      <c r="W86" s="7">
        <f t="shared" si="21"/>
        <v>0</v>
      </c>
      <c r="X86" s="7">
        <v>3</v>
      </c>
      <c r="Y86">
        <f>+K86/100*9</f>
        <v>18.089999999999996</v>
      </c>
      <c r="Z86">
        <f>+K86/100*9</f>
        <v>18.089999999999996</v>
      </c>
      <c r="AA86" s="129">
        <f>+Y86-M86</f>
        <v>0</v>
      </c>
      <c r="AB86" s="129">
        <f>+N86-Z86</f>
        <v>0</v>
      </c>
    </row>
    <row r="87" spans="1:28" x14ac:dyDescent="0.3">
      <c r="A87" s="5" t="s">
        <v>219</v>
      </c>
      <c r="B87" s="5" t="s">
        <v>218</v>
      </c>
      <c r="C87" s="5">
        <v>2839</v>
      </c>
      <c r="D87" s="5" t="s">
        <v>361</v>
      </c>
      <c r="E87" s="7">
        <v>796.5</v>
      </c>
      <c r="F87" s="5" t="s">
        <v>14</v>
      </c>
      <c r="G87" s="5" t="s">
        <v>11</v>
      </c>
      <c r="H87" s="5" t="s">
        <v>12</v>
      </c>
      <c r="I87" s="5"/>
      <c r="J87" s="14">
        <v>18</v>
      </c>
      <c r="K87" s="138">
        <v>675</v>
      </c>
      <c r="L87" s="136">
        <v>0</v>
      </c>
      <c r="M87" s="136">
        <v>60.75</v>
      </c>
      <c r="N87" s="136">
        <v>60.75</v>
      </c>
      <c r="O87" s="5"/>
      <c r="P87" s="5" t="s">
        <v>350</v>
      </c>
      <c r="Q87" s="5" t="s">
        <v>342</v>
      </c>
      <c r="R87" s="5">
        <v>34012000</v>
      </c>
      <c r="S87" s="17" t="s">
        <v>222</v>
      </c>
      <c r="T87" s="5" t="s">
        <v>13</v>
      </c>
      <c r="U87" s="7">
        <v>0</v>
      </c>
      <c r="V87" s="7">
        <v>0</v>
      </c>
      <c r="W87" s="7">
        <f t="shared" si="21"/>
        <v>0</v>
      </c>
      <c r="X87" s="7">
        <v>30</v>
      </c>
    </row>
    <row r="88" spans="1:28" x14ac:dyDescent="0.3">
      <c r="A88" s="5" t="s">
        <v>219</v>
      </c>
      <c r="B88" s="5" t="s">
        <v>218</v>
      </c>
      <c r="C88" s="5">
        <v>2838</v>
      </c>
      <c r="D88" s="5" t="s">
        <v>361</v>
      </c>
      <c r="E88" s="7">
        <v>1302</v>
      </c>
      <c r="F88" s="5" t="s">
        <v>14</v>
      </c>
      <c r="G88" s="5" t="s">
        <v>11</v>
      </c>
      <c r="H88" s="5" t="s">
        <v>12</v>
      </c>
      <c r="I88" s="5"/>
      <c r="J88" s="14">
        <v>12</v>
      </c>
      <c r="K88" s="138">
        <v>1162.5</v>
      </c>
      <c r="L88" s="136">
        <v>0</v>
      </c>
      <c r="M88" s="136">
        <v>69.75</v>
      </c>
      <c r="N88" s="136">
        <v>69.75</v>
      </c>
      <c r="O88" s="5"/>
      <c r="P88" s="5" t="s">
        <v>350</v>
      </c>
      <c r="Q88" s="5" t="s">
        <v>342</v>
      </c>
      <c r="R88" s="5">
        <v>63079090</v>
      </c>
      <c r="S88" s="17" t="s">
        <v>222</v>
      </c>
      <c r="T88" s="5" t="s">
        <v>13</v>
      </c>
      <c r="U88" s="7">
        <v>0</v>
      </c>
      <c r="V88" s="7">
        <v>0</v>
      </c>
      <c r="W88" s="7">
        <f t="shared" si="21"/>
        <v>0</v>
      </c>
      <c r="X88" s="7">
        <v>150</v>
      </c>
    </row>
    <row r="89" spans="1:28" x14ac:dyDescent="0.3">
      <c r="A89" s="5" t="s">
        <v>219</v>
      </c>
      <c r="B89" s="5" t="s">
        <v>218</v>
      </c>
      <c r="C89" s="5">
        <v>2840</v>
      </c>
      <c r="D89" s="5" t="s">
        <v>361</v>
      </c>
      <c r="E89" s="7">
        <v>283.2</v>
      </c>
      <c r="F89" s="5" t="s">
        <v>14</v>
      </c>
      <c r="G89" s="5" t="s">
        <v>11</v>
      </c>
      <c r="H89" s="5" t="s">
        <v>12</v>
      </c>
      <c r="I89" s="5"/>
      <c r="J89" s="14">
        <v>18</v>
      </c>
      <c r="K89" s="138">
        <f>90+150</f>
        <v>240</v>
      </c>
      <c r="L89" s="136">
        <v>0</v>
      </c>
      <c r="M89" s="136">
        <v>21.599999999999998</v>
      </c>
      <c r="N89" s="136">
        <v>21.599999999999998</v>
      </c>
      <c r="O89" s="5"/>
      <c r="P89" s="5" t="s">
        <v>350</v>
      </c>
      <c r="Q89" s="5" t="s">
        <v>342</v>
      </c>
      <c r="R89" s="5">
        <v>96031000</v>
      </c>
      <c r="S89" s="17" t="s">
        <v>222</v>
      </c>
      <c r="T89" s="5" t="s">
        <v>13</v>
      </c>
      <c r="U89" s="7">
        <v>0</v>
      </c>
      <c r="V89" s="7">
        <v>0</v>
      </c>
      <c r="W89" s="7">
        <f t="shared" si="21"/>
        <v>0</v>
      </c>
      <c r="X89" s="7">
        <f>6+6</f>
        <v>12</v>
      </c>
    </row>
    <row r="90" spans="1:28" x14ac:dyDescent="0.3">
      <c r="A90" s="5" t="s">
        <v>219</v>
      </c>
      <c r="B90" s="5" t="s">
        <v>218</v>
      </c>
      <c r="C90" s="5">
        <v>2840</v>
      </c>
      <c r="D90" s="5" t="s">
        <v>361</v>
      </c>
      <c r="E90" s="7">
        <v>177</v>
      </c>
      <c r="F90" s="5" t="s">
        <v>14</v>
      </c>
      <c r="G90" s="5" t="s">
        <v>11</v>
      </c>
      <c r="H90" s="5" t="s">
        <v>12</v>
      </c>
      <c r="I90" s="5"/>
      <c r="J90" s="14">
        <v>18</v>
      </c>
      <c r="K90" s="138">
        <v>150</v>
      </c>
      <c r="L90" s="136">
        <v>0</v>
      </c>
      <c r="M90" s="136">
        <v>13.5</v>
      </c>
      <c r="N90" s="136">
        <v>13.5</v>
      </c>
      <c r="O90" s="5"/>
      <c r="P90" s="5" t="s">
        <v>350</v>
      </c>
      <c r="Q90" s="5" t="s">
        <v>342</v>
      </c>
      <c r="R90" s="5">
        <v>27076000</v>
      </c>
      <c r="S90" s="17" t="s">
        <v>222</v>
      </c>
      <c r="T90" s="5" t="s">
        <v>197</v>
      </c>
      <c r="U90" s="7">
        <v>0</v>
      </c>
      <c r="V90" s="7">
        <v>0</v>
      </c>
      <c r="W90" s="7">
        <f t="shared" si="21"/>
        <v>0</v>
      </c>
      <c r="X90" s="7">
        <v>10</v>
      </c>
    </row>
    <row r="91" spans="1:28" x14ac:dyDescent="0.3">
      <c r="A91" s="5" t="s">
        <v>219</v>
      </c>
      <c r="B91" s="5" t="s">
        <v>218</v>
      </c>
      <c r="C91" s="5">
        <v>2840</v>
      </c>
      <c r="D91" s="5" t="s">
        <v>361</v>
      </c>
      <c r="E91" s="7">
        <v>7363.2</v>
      </c>
      <c r="F91" s="5" t="s">
        <v>14</v>
      </c>
      <c r="G91" s="5" t="s">
        <v>11</v>
      </c>
      <c r="H91" s="5" t="s">
        <v>12</v>
      </c>
      <c r="I91" s="5"/>
      <c r="J91" s="14">
        <v>18</v>
      </c>
      <c r="K91" s="138">
        <v>6240</v>
      </c>
      <c r="L91" s="136">
        <v>0</v>
      </c>
      <c r="M91" s="136">
        <v>561.6</v>
      </c>
      <c r="N91" s="136">
        <v>561.6</v>
      </c>
      <c r="O91" s="5"/>
      <c r="P91" s="5" t="s">
        <v>350</v>
      </c>
      <c r="Q91" s="5" t="s">
        <v>342</v>
      </c>
      <c r="R91" s="5">
        <v>40151100</v>
      </c>
      <c r="S91" s="17" t="s">
        <v>222</v>
      </c>
      <c r="T91" s="5" t="s">
        <v>13</v>
      </c>
      <c r="U91" s="7">
        <v>0</v>
      </c>
      <c r="V91" s="7">
        <v>0</v>
      </c>
      <c r="W91" s="7">
        <f t="shared" si="21"/>
        <v>0</v>
      </c>
      <c r="X91" s="7">
        <v>2400</v>
      </c>
    </row>
    <row r="92" spans="1:28" x14ac:dyDescent="0.3">
      <c r="A92" s="5" t="s">
        <v>219</v>
      </c>
      <c r="B92" s="5" t="s">
        <v>218</v>
      </c>
      <c r="C92" s="5">
        <v>2840</v>
      </c>
      <c r="D92" s="5" t="s">
        <v>361</v>
      </c>
      <c r="E92" s="7">
        <v>377.6</v>
      </c>
      <c r="F92" s="5" t="s">
        <v>14</v>
      </c>
      <c r="G92" s="5" t="s">
        <v>11</v>
      </c>
      <c r="H92" s="5" t="s">
        <v>12</v>
      </c>
      <c r="I92" s="5"/>
      <c r="J92" s="14">
        <v>18</v>
      </c>
      <c r="K92" s="138">
        <v>320</v>
      </c>
      <c r="L92" s="136">
        <v>0</v>
      </c>
      <c r="M92" s="136">
        <v>28.8</v>
      </c>
      <c r="N92" s="136">
        <v>28.8</v>
      </c>
      <c r="O92" s="5"/>
      <c r="P92" s="5" t="s">
        <v>350</v>
      </c>
      <c r="Q92" s="5" t="s">
        <v>342</v>
      </c>
      <c r="R92" s="5">
        <v>84701000</v>
      </c>
      <c r="S92" s="17" t="s">
        <v>222</v>
      </c>
      <c r="T92" s="5" t="s">
        <v>13</v>
      </c>
      <c r="U92" s="7">
        <v>0</v>
      </c>
      <c r="V92" s="7">
        <v>0</v>
      </c>
      <c r="W92" s="7">
        <f t="shared" si="21"/>
        <v>0</v>
      </c>
      <c r="X92" s="7">
        <v>1</v>
      </c>
    </row>
    <row r="93" spans="1:28" x14ac:dyDescent="0.3">
      <c r="A93" s="5" t="s">
        <v>219</v>
      </c>
      <c r="B93" s="5" t="s">
        <v>218</v>
      </c>
      <c r="C93" s="5">
        <v>2872</v>
      </c>
      <c r="D93" s="5" t="s">
        <v>368</v>
      </c>
      <c r="E93" s="7">
        <v>1301.44</v>
      </c>
      <c r="F93" s="5" t="s">
        <v>14</v>
      </c>
      <c r="G93" s="5" t="s">
        <v>11</v>
      </c>
      <c r="H93" s="5" t="s">
        <v>12</v>
      </c>
      <c r="I93" s="5"/>
      <c r="J93" s="14">
        <v>12</v>
      </c>
      <c r="K93" s="138">
        <v>1162</v>
      </c>
      <c r="L93" s="136">
        <v>0</v>
      </c>
      <c r="M93" s="136">
        <v>69.72</v>
      </c>
      <c r="N93" s="136">
        <v>69.72</v>
      </c>
      <c r="O93" s="5"/>
      <c r="P93" s="5" t="s">
        <v>350</v>
      </c>
      <c r="Q93" s="5" t="s">
        <v>342</v>
      </c>
      <c r="R93" s="5">
        <v>85131090</v>
      </c>
      <c r="S93" s="17" t="s">
        <v>228</v>
      </c>
      <c r="T93" s="5" t="s">
        <v>13</v>
      </c>
      <c r="U93" s="7">
        <v>0</v>
      </c>
      <c r="V93" s="7">
        <v>0</v>
      </c>
      <c r="W93" s="7">
        <f t="shared" si="21"/>
        <v>0</v>
      </c>
      <c r="X93" s="7">
        <v>1</v>
      </c>
    </row>
    <row r="94" spans="1:28" x14ac:dyDescent="0.3">
      <c r="A94" s="5" t="s">
        <v>219</v>
      </c>
      <c r="B94" s="5" t="s">
        <v>218</v>
      </c>
      <c r="C94" s="5">
        <v>2873</v>
      </c>
      <c r="D94" s="5" t="s">
        <v>368</v>
      </c>
      <c r="E94" s="7">
        <v>679.68</v>
      </c>
      <c r="F94" s="5" t="s">
        <v>14</v>
      </c>
      <c r="G94" s="5" t="s">
        <v>11</v>
      </c>
      <c r="H94" s="5" t="s">
        <v>12</v>
      </c>
      <c r="I94" s="5"/>
      <c r="J94" s="14">
        <v>18</v>
      </c>
      <c r="K94" s="138">
        <v>576</v>
      </c>
      <c r="L94" s="136">
        <v>0</v>
      </c>
      <c r="M94" s="136">
        <v>51.839999999999996</v>
      </c>
      <c r="N94" s="136">
        <v>51.839999999999996</v>
      </c>
      <c r="O94" s="5"/>
      <c r="P94" s="5" t="s">
        <v>350</v>
      </c>
      <c r="Q94" s="5" t="s">
        <v>342</v>
      </c>
      <c r="R94" s="5">
        <v>63071090</v>
      </c>
      <c r="S94" s="17" t="s">
        <v>228</v>
      </c>
      <c r="T94" s="5" t="s">
        <v>13</v>
      </c>
      <c r="U94" s="7">
        <v>0</v>
      </c>
      <c r="V94" s="7">
        <v>0</v>
      </c>
      <c r="W94" s="7">
        <f t="shared" si="21"/>
        <v>0</v>
      </c>
      <c r="X94" s="7">
        <v>48</v>
      </c>
    </row>
    <row r="95" spans="1:28" x14ac:dyDescent="0.3">
      <c r="A95" s="5" t="s">
        <v>219</v>
      </c>
      <c r="B95" s="5" t="s">
        <v>218</v>
      </c>
      <c r="C95" s="5">
        <v>3222</v>
      </c>
      <c r="D95" s="5" t="s">
        <v>398</v>
      </c>
      <c r="E95" s="7">
        <f>13500+337.5+337.5</f>
        <v>14175</v>
      </c>
      <c r="F95" s="5" t="s">
        <v>14</v>
      </c>
      <c r="G95" s="5" t="s">
        <v>11</v>
      </c>
      <c r="H95" s="5" t="s">
        <v>12</v>
      </c>
      <c r="I95" s="5"/>
      <c r="J95" s="14">
        <v>5</v>
      </c>
      <c r="K95" s="138">
        <v>13500</v>
      </c>
      <c r="L95" s="136">
        <v>0</v>
      </c>
      <c r="M95" s="136">
        <v>337.5</v>
      </c>
      <c r="N95" s="136">
        <v>337.5</v>
      </c>
      <c r="O95" s="5"/>
      <c r="P95" s="5" t="s">
        <v>350</v>
      </c>
      <c r="Q95" s="5" t="s">
        <v>342</v>
      </c>
      <c r="R95" s="5">
        <v>5407</v>
      </c>
      <c r="S95" s="17" t="s">
        <v>277</v>
      </c>
      <c r="T95" s="5" t="s">
        <v>224</v>
      </c>
      <c r="U95" s="7">
        <v>0</v>
      </c>
      <c r="V95" s="7">
        <v>0</v>
      </c>
      <c r="W95" s="7">
        <f t="shared" si="21"/>
        <v>0</v>
      </c>
      <c r="X95" s="7">
        <v>50</v>
      </c>
    </row>
    <row r="96" spans="1:28" x14ac:dyDescent="0.3">
      <c r="A96" s="5" t="s">
        <v>219</v>
      </c>
      <c r="B96" s="5" t="s">
        <v>218</v>
      </c>
      <c r="C96" s="5">
        <v>3222</v>
      </c>
      <c r="D96" s="5" t="s">
        <v>398</v>
      </c>
      <c r="E96" s="7">
        <f>1155+28.88+28.88</f>
        <v>1212.7600000000002</v>
      </c>
      <c r="F96" s="5" t="s">
        <v>14</v>
      </c>
      <c r="G96" s="5" t="s">
        <v>11</v>
      </c>
      <c r="H96" s="5" t="s">
        <v>12</v>
      </c>
      <c r="I96" s="5"/>
      <c r="J96" s="14">
        <v>5</v>
      </c>
      <c r="K96" s="138">
        <v>1155</v>
      </c>
      <c r="L96" s="136">
        <v>0</v>
      </c>
      <c r="M96" s="136">
        <v>28.875</v>
      </c>
      <c r="N96" s="136">
        <v>28.875</v>
      </c>
      <c r="O96" s="5"/>
      <c r="P96" s="5" t="s">
        <v>350</v>
      </c>
      <c r="Q96" s="5" t="s">
        <v>342</v>
      </c>
      <c r="R96" s="5">
        <v>60060000</v>
      </c>
      <c r="S96" s="17" t="s">
        <v>453</v>
      </c>
      <c r="T96" s="5" t="s">
        <v>224</v>
      </c>
      <c r="U96" s="7">
        <v>0</v>
      </c>
      <c r="V96" s="7">
        <v>0</v>
      </c>
      <c r="W96" s="7">
        <f t="shared" si="21"/>
        <v>0</v>
      </c>
      <c r="X96" s="7">
        <v>35</v>
      </c>
    </row>
    <row r="97" spans="1:24" x14ac:dyDescent="0.3">
      <c r="A97" s="5" t="s">
        <v>219</v>
      </c>
      <c r="B97" s="5" t="s">
        <v>218</v>
      </c>
      <c r="C97" s="5">
        <v>3223</v>
      </c>
      <c r="D97" s="5" t="s">
        <v>398</v>
      </c>
      <c r="E97" s="7">
        <f>5184+466.56+466.56</f>
        <v>6117.1200000000008</v>
      </c>
      <c r="F97" s="5" t="s">
        <v>14</v>
      </c>
      <c r="G97" s="5" t="s">
        <v>11</v>
      </c>
      <c r="H97" s="5" t="s">
        <v>12</v>
      </c>
      <c r="I97" s="5"/>
      <c r="J97" s="14">
        <v>18</v>
      </c>
      <c r="K97" s="138">
        <v>5184</v>
      </c>
      <c r="L97" s="136">
        <v>0</v>
      </c>
      <c r="M97" s="136">
        <v>466.56000000000006</v>
      </c>
      <c r="N97" s="136">
        <v>466.56000000000006</v>
      </c>
      <c r="O97" s="5"/>
      <c r="P97" s="5" t="s">
        <v>350</v>
      </c>
      <c r="Q97" s="5" t="s">
        <v>342</v>
      </c>
      <c r="R97" s="5">
        <v>48114100</v>
      </c>
      <c r="S97" s="17" t="s">
        <v>454</v>
      </c>
      <c r="T97" s="5" t="s">
        <v>13</v>
      </c>
      <c r="U97" s="7">
        <v>0</v>
      </c>
      <c r="V97" s="7">
        <v>0</v>
      </c>
      <c r="W97" s="7">
        <f t="shared" si="21"/>
        <v>0</v>
      </c>
      <c r="X97" s="7">
        <v>144</v>
      </c>
    </row>
    <row r="98" spans="1:24" x14ac:dyDescent="0.3">
      <c r="A98" s="5" t="s">
        <v>219</v>
      </c>
      <c r="B98" s="5" t="s">
        <v>218</v>
      </c>
      <c r="C98" s="5">
        <v>3223</v>
      </c>
      <c r="D98" s="5" t="s">
        <v>398</v>
      </c>
      <c r="E98" s="7">
        <f>2625+236.25+236.25</f>
        <v>3097.5</v>
      </c>
      <c r="F98" s="5" t="s">
        <v>14</v>
      </c>
      <c r="G98" s="5" t="s">
        <v>11</v>
      </c>
      <c r="H98" s="5" t="s">
        <v>12</v>
      </c>
      <c r="I98" s="5"/>
      <c r="J98" s="14">
        <v>18</v>
      </c>
      <c r="K98" s="138">
        <v>2625</v>
      </c>
      <c r="L98" s="136">
        <v>0</v>
      </c>
      <c r="M98" s="136">
        <v>236.25</v>
      </c>
      <c r="N98" s="136">
        <v>236.25</v>
      </c>
      <c r="O98" s="5"/>
      <c r="P98" s="5" t="s">
        <v>350</v>
      </c>
      <c r="Q98" s="5" t="s">
        <v>342</v>
      </c>
      <c r="R98" s="5">
        <v>68053050</v>
      </c>
      <c r="S98" s="17" t="s">
        <v>454</v>
      </c>
      <c r="T98" s="5" t="s">
        <v>13</v>
      </c>
      <c r="U98" s="7">
        <v>0</v>
      </c>
      <c r="V98" s="7">
        <v>0</v>
      </c>
      <c r="W98" s="7">
        <f t="shared" si="21"/>
        <v>0</v>
      </c>
      <c r="X98" s="7">
        <v>105</v>
      </c>
    </row>
    <row r="99" spans="1:24" x14ac:dyDescent="0.3">
      <c r="A99" s="5" t="s">
        <v>219</v>
      </c>
      <c r="B99" s="5" t="s">
        <v>218</v>
      </c>
      <c r="C99" s="5">
        <v>3224</v>
      </c>
      <c r="D99" s="5" t="s">
        <v>398</v>
      </c>
      <c r="E99" s="7">
        <v>2751</v>
      </c>
      <c r="F99" s="5" t="s">
        <v>14</v>
      </c>
      <c r="G99" s="5" t="s">
        <v>11</v>
      </c>
      <c r="H99" s="5" t="s">
        <v>12</v>
      </c>
      <c r="I99" s="5"/>
      <c r="J99" s="14">
        <v>5</v>
      </c>
      <c r="K99" s="138">
        <v>2620</v>
      </c>
      <c r="L99" s="136">
        <v>0</v>
      </c>
      <c r="M99" s="136">
        <v>65.5</v>
      </c>
      <c r="N99" s="136">
        <v>65.5</v>
      </c>
      <c r="O99" s="5"/>
      <c r="P99" s="5" t="s">
        <v>350</v>
      </c>
      <c r="Q99" s="5" t="s">
        <v>342</v>
      </c>
      <c r="R99" s="5">
        <v>63071030</v>
      </c>
      <c r="S99" s="17" t="s">
        <v>455</v>
      </c>
      <c r="T99" s="5" t="s">
        <v>13</v>
      </c>
      <c r="U99" s="7">
        <v>0</v>
      </c>
      <c r="V99" s="7">
        <v>0</v>
      </c>
      <c r="W99" s="7">
        <f t="shared" si="21"/>
        <v>0</v>
      </c>
      <c r="X99" s="7">
        <v>10</v>
      </c>
    </row>
    <row r="100" spans="1:24" x14ac:dyDescent="0.3">
      <c r="A100" s="5" t="s">
        <v>219</v>
      </c>
      <c r="B100" s="5" t="s">
        <v>218</v>
      </c>
      <c r="C100" s="5">
        <v>3282</v>
      </c>
      <c r="D100" s="5" t="s">
        <v>404</v>
      </c>
      <c r="E100" s="7">
        <v>695.02</v>
      </c>
      <c r="F100" s="5" t="s">
        <v>14</v>
      </c>
      <c r="G100" s="5" t="s">
        <v>11</v>
      </c>
      <c r="H100" s="5" t="s">
        <v>12</v>
      </c>
      <c r="I100" s="5"/>
      <c r="J100" s="14">
        <v>18</v>
      </c>
      <c r="K100" s="138">
        <v>589</v>
      </c>
      <c r="L100" s="136">
        <v>0</v>
      </c>
      <c r="M100" s="136">
        <v>53.01</v>
      </c>
      <c r="N100" s="136">
        <v>53.01</v>
      </c>
      <c r="O100" s="5"/>
      <c r="P100" s="5" t="s">
        <v>350</v>
      </c>
      <c r="Q100" s="5" t="s">
        <v>342</v>
      </c>
      <c r="R100" s="5">
        <v>84701000</v>
      </c>
      <c r="S100" s="17" t="s">
        <v>277</v>
      </c>
      <c r="T100" s="5" t="s">
        <v>13</v>
      </c>
      <c r="U100" s="7">
        <v>0</v>
      </c>
      <c r="V100" s="7">
        <v>0</v>
      </c>
      <c r="W100" s="7">
        <f t="shared" si="21"/>
        <v>0</v>
      </c>
      <c r="X100" s="7">
        <v>1</v>
      </c>
    </row>
    <row r="101" spans="1:24" x14ac:dyDescent="0.3">
      <c r="A101" s="5" t="s">
        <v>219</v>
      </c>
      <c r="B101" s="5" t="s">
        <v>218</v>
      </c>
      <c r="C101" s="5">
        <v>3402</v>
      </c>
      <c r="D101" s="5" t="s">
        <v>410</v>
      </c>
      <c r="E101" s="7">
        <f>5300+477+477</f>
        <v>6254</v>
      </c>
      <c r="F101" s="5" t="s">
        <v>14</v>
      </c>
      <c r="G101" s="5"/>
      <c r="H101" s="5"/>
      <c r="I101" s="5"/>
      <c r="J101" s="14">
        <v>18</v>
      </c>
      <c r="K101" s="138">
        <v>5300</v>
      </c>
      <c r="L101" s="136">
        <v>0</v>
      </c>
      <c r="M101" s="136">
        <v>477</v>
      </c>
      <c r="N101" s="136">
        <v>477</v>
      </c>
      <c r="O101" s="5"/>
      <c r="P101" s="5"/>
      <c r="Q101" s="5"/>
      <c r="R101" s="5">
        <v>48114100</v>
      </c>
      <c r="S101" s="17" t="s">
        <v>458</v>
      </c>
      <c r="T101" s="5" t="s">
        <v>13</v>
      </c>
      <c r="U101" s="7">
        <v>0</v>
      </c>
      <c r="V101" s="7">
        <v>0</v>
      </c>
      <c r="W101" s="7">
        <f t="shared" si="21"/>
        <v>0</v>
      </c>
      <c r="X101" s="7">
        <v>20</v>
      </c>
    </row>
    <row r="102" spans="1:24" x14ac:dyDescent="0.3">
      <c r="A102" s="5" t="s">
        <v>219</v>
      </c>
      <c r="B102" s="5" t="s">
        <v>218</v>
      </c>
      <c r="C102" s="5">
        <v>3402</v>
      </c>
      <c r="D102" s="5" t="s">
        <v>410</v>
      </c>
      <c r="E102" s="7">
        <f>390+35.1+35.1</f>
        <v>460.20000000000005</v>
      </c>
      <c r="F102" s="5" t="s">
        <v>14</v>
      </c>
      <c r="G102" s="5"/>
      <c r="H102" s="5"/>
      <c r="I102" s="5"/>
      <c r="J102" s="14">
        <v>18</v>
      </c>
      <c r="K102" s="138">
        <v>390</v>
      </c>
      <c r="L102" s="136">
        <v>0</v>
      </c>
      <c r="M102" s="136">
        <v>35.1</v>
      </c>
      <c r="N102" s="136">
        <v>35.1</v>
      </c>
      <c r="O102" s="5"/>
      <c r="P102" s="5"/>
      <c r="Q102" s="5"/>
      <c r="R102" s="5">
        <v>59114000</v>
      </c>
      <c r="S102" s="17" t="s">
        <v>458</v>
      </c>
      <c r="T102" s="5" t="s">
        <v>13</v>
      </c>
      <c r="U102" s="7">
        <v>0</v>
      </c>
      <c r="V102" s="7">
        <v>0</v>
      </c>
      <c r="W102" s="7">
        <f t="shared" si="21"/>
        <v>0</v>
      </c>
      <c r="X102" s="7">
        <v>30</v>
      </c>
    </row>
    <row r="103" spans="1:24" x14ac:dyDescent="0.3">
      <c r="A103" s="5" t="s">
        <v>219</v>
      </c>
      <c r="B103" s="5" t="s">
        <v>218</v>
      </c>
      <c r="C103" s="5">
        <v>3401</v>
      </c>
      <c r="D103" s="5" t="s">
        <v>410</v>
      </c>
      <c r="E103" s="7">
        <v>866.26</v>
      </c>
      <c r="F103" s="5" t="s">
        <v>14</v>
      </c>
      <c r="G103" s="5"/>
      <c r="H103" s="5"/>
      <c r="I103" s="5"/>
      <c r="J103" s="14">
        <v>5</v>
      </c>
      <c r="K103" s="138">
        <v>825</v>
      </c>
      <c r="L103" s="136">
        <v>0</v>
      </c>
      <c r="M103" s="136">
        <v>20.625</v>
      </c>
      <c r="N103" s="136">
        <v>20.625</v>
      </c>
      <c r="O103" s="5"/>
      <c r="P103" s="5"/>
      <c r="Q103" s="5"/>
      <c r="R103" s="5">
        <v>60060000</v>
      </c>
      <c r="S103" s="17" t="s">
        <v>460</v>
      </c>
      <c r="T103" s="5" t="s">
        <v>224</v>
      </c>
      <c r="U103" s="7">
        <v>0</v>
      </c>
      <c r="V103" s="7">
        <v>0</v>
      </c>
      <c r="W103" s="7">
        <f t="shared" si="21"/>
        <v>0</v>
      </c>
      <c r="X103" s="7">
        <v>25</v>
      </c>
    </row>
    <row r="104" spans="1:24" x14ac:dyDescent="0.3">
      <c r="A104" s="5" t="s">
        <v>219</v>
      </c>
      <c r="B104" s="5" t="s">
        <v>218</v>
      </c>
      <c r="C104" s="5">
        <v>3413</v>
      </c>
      <c r="D104" s="5" t="s">
        <v>413</v>
      </c>
      <c r="E104" s="7">
        <v>1699.2</v>
      </c>
      <c r="F104" s="5" t="s">
        <v>14</v>
      </c>
      <c r="G104" s="5"/>
      <c r="H104" s="5"/>
      <c r="I104" s="5"/>
      <c r="J104" s="14">
        <v>18</v>
      </c>
      <c r="K104" s="138">
        <v>1440</v>
      </c>
      <c r="L104" s="136">
        <v>0</v>
      </c>
      <c r="M104" s="136">
        <v>129.6</v>
      </c>
      <c r="N104" s="136">
        <v>129.6</v>
      </c>
      <c r="O104" s="5"/>
      <c r="P104" s="5"/>
      <c r="Q104" s="5"/>
      <c r="R104" s="5">
        <v>39199090</v>
      </c>
      <c r="S104" s="17" t="s">
        <v>458</v>
      </c>
      <c r="T104" s="5" t="s">
        <v>13</v>
      </c>
      <c r="U104" s="7">
        <v>0</v>
      </c>
      <c r="V104" s="7">
        <v>0</v>
      </c>
      <c r="W104" s="7">
        <f t="shared" si="21"/>
        <v>0</v>
      </c>
      <c r="X104" s="7">
        <v>72</v>
      </c>
    </row>
    <row r="105" spans="1:24" x14ac:dyDescent="0.3">
      <c r="A105" s="5" t="s">
        <v>219</v>
      </c>
      <c r="B105" s="5" t="s">
        <v>218</v>
      </c>
      <c r="C105" s="5">
        <v>3412</v>
      </c>
      <c r="D105" s="5" t="s">
        <v>413</v>
      </c>
      <c r="E105" s="7">
        <v>14175</v>
      </c>
      <c r="F105" s="5" t="s">
        <v>14</v>
      </c>
      <c r="G105" s="5"/>
      <c r="H105" s="5"/>
      <c r="I105" s="5"/>
      <c r="J105" s="14">
        <v>5</v>
      </c>
      <c r="K105" s="138">
        <v>13500</v>
      </c>
      <c r="L105" s="136">
        <v>0</v>
      </c>
      <c r="M105" s="136">
        <v>337.5</v>
      </c>
      <c r="N105" s="136">
        <v>337.5</v>
      </c>
      <c r="O105" s="5"/>
      <c r="P105" s="5"/>
      <c r="Q105" s="5"/>
      <c r="R105" s="5">
        <v>5407</v>
      </c>
      <c r="S105" s="17" t="s">
        <v>277</v>
      </c>
      <c r="T105" s="5" t="s">
        <v>224</v>
      </c>
      <c r="U105" s="7">
        <v>0</v>
      </c>
      <c r="V105" s="7">
        <v>0</v>
      </c>
      <c r="W105" s="7">
        <f t="shared" si="21"/>
        <v>0</v>
      </c>
      <c r="X105" s="7">
        <v>50</v>
      </c>
    </row>
    <row r="106" spans="1:24" x14ac:dyDescent="0.3">
      <c r="A106" s="5" t="s">
        <v>219</v>
      </c>
      <c r="B106" s="5" t="s">
        <v>218</v>
      </c>
      <c r="C106" s="5">
        <v>3524</v>
      </c>
      <c r="D106" s="5" t="s">
        <v>430</v>
      </c>
      <c r="E106" s="7">
        <v>11004</v>
      </c>
      <c r="F106" s="5" t="s">
        <v>14</v>
      </c>
      <c r="G106" s="5"/>
      <c r="H106" s="5"/>
      <c r="I106" s="5"/>
      <c r="J106" s="14">
        <v>5</v>
      </c>
      <c r="K106" s="138">
        <v>10480</v>
      </c>
      <c r="L106" s="136">
        <v>0</v>
      </c>
      <c r="M106" s="136">
        <v>262</v>
      </c>
      <c r="N106" s="136">
        <v>262</v>
      </c>
      <c r="O106" s="5"/>
      <c r="P106" s="5"/>
      <c r="Q106" s="5"/>
      <c r="R106" s="5">
        <v>63071030</v>
      </c>
      <c r="S106" s="17" t="s">
        <v>465</v>
      </c>
      <c r="T106" s="5" t="s">
        <v>13</v>
      </c>
      <c r="U106" s="7">
        <v>0</v>
      </c>
      <c r="V106" s="7">
        <v>0</v>
      </c>
      <c r="W106" s="7">
        <f t="shared" si="21"/>
        <v>0</v>
      </c>
      <c r="X106" s="7">
        <v>40</v>
      </c>
    </row>
    <row r="107" spans="1:24" x14ac:dyDescent="0.3">
      <c r="A107" s="5" t="s">
        <v>209</v>
      </c>
      <c r="B107" s="5" t="s">
        <v>208</v>
      </c>
      <c r="C107" s="5">
        <v>10692</v>
      </c>
      <c r="D107" s="5" t="s">
        <v>361</v>
      </c>
      <c r="E107" s="7">
        <v>87615.1</v>
      </c>
      <c r="F107" s="5" t="s">
        <v>14</v>
      </c>
      <c r="G107" s="5" t="s">
        <v>11</v>
      </c>
      <c r="H107" s="5" t="s">
        <v>12</v>
      </c>
      <c r="I107" s="5"/>
      <c r="J107" s="14">
        <v>28</v>
      </c>
      <c r="K107" s="138">
        <f>68419.1+134.85</f>
        <v>68553.950000000012</v>
      </c>
      <c r="L107" s="136">
        <v>0</v>
      </c>
      <c r="M107" s="136">
        <v>9598.0030000000024</v>
      </c>
      <c r="N107" s="136">
        <v>9598.0030000000024</v>
      </c>
      <c r="O107" s="5"/>
      <c r="P107" s="5" t="s">
        <v>350</v>
      </c>
      <c r="Q107" s="5" t="s">
        <v>342</v>
      </c>
      <c r="R107" s="5">
        <v>87141900</v>
      </c>
      <c r="S107" s="17" t="s">
        <v>22</v>
      </c>
      <c r="T107" s="5" t="s">
        <v>13</v>
      </c>
      <c r="U107" s="7">
        <v>0</v>
      </c>
      <c r="V107" s="7">
        <v>0</v>
      </c>
      <c r="W107" s="7">
        <f t="shared" si="21"/>
        <v>0</v>
      </c>
      <c r="X107" s="7">
        <v>1295</v>
      </c>
    </row>
    <row r="108" spans="1:24" x14ac:dyDescent="0.3">
      <c r="A108" s="5" t="s">
        <v>209</v>
      </c>
      <c r="B108" s="5" t="s">
        <v>208</v>
      </c>
      <c r="C108" s="5">
        <v>10784</v>
      </c>
      <c r="D108" s="5" t="s">
        <v>368</v>
      </c>
      <c r="E108" s="7">
        <v>91397</v>
      </c>
      <c r="F108" s="5" t="s">
        <v>14</v>
      </c>
      <c r="G108" s="5" t="s">
        <v>11</v>
      </c>
      <c r="H108" s="5" t="s">
        <v>12</v>
      </c>
      <c r="I108" s="5"/>
      <c r="J108" s="14">
        <v>28</v>
      </c>
      <c r="K108" s="138">
        <f>71373+142.5</f>
        <v>71515.5</v>
      </c>
      <c r="L108" s="136">
        <v>0</v>
      </c>
      <c r="M108" s="136">
        <v>10012</v>
      </c>
      <c r="N108" s="136">
        <v>10012</v>
      </c>
      <c r="O108" s="5"/>
      <c r="P108" s="5" t="s">
        <v>350</v>
      </c>
      <c r="Q108" s="5" t="s">
        <v>342</v>
      </c>
      <c r="R108" s="5">
        <v>87141900</v>
      </c>
      <c r="S108" s="17" t="s">
        <v>22</v>
      </c>
      <c r="T108" s="5" t="s">
        <v>13</v>
      </c>
      <c r="U108" s="7">
        <v>0</v>
      </c>
      <c r="V108" s="7">
        <v>0</v>
      </c>
      <c r="W108" s="7">
        <f t="shared" si="21"/>
        <v>0</v>
      </c>
      <c r="X108" s="7">
        <v>1350</v>
      </c>
    </row>
    <row r="109" spans="1:24" x14ac:dyDescent="0.3">
      <c r="A109" s="5" t="s">
        <v>209</v>
      </c>
      <c r="B109" s="5" t="s">
        <v>208</v>
      </c>
      <c r="C109" s="5">
        <v>10803</v>
      </c>
      <c r="D109" s="5" t="s">
        <v>372</v>
      </c>
      <c r="E109" s="7">
        <v>36479.47</v>
      </c>
      <c r="F109" s="5" t="s">
        <v>14</v>
      </c>
      <c r="G109" s="5" t="s">
        <v>11</v>
      </c>
      <c r="H109" s="5" t="s">
        <v>12</v>
      </c>
      <c r="I109" s="5"/>
      <c r="J109" s="14">
        <v>28</v>
      </c>
      <c r="K109" s="138">
        <f>28487.47+56.54</f>
        <v>28544.010000000002</v>
      </c>
      <c r="L109" s="136">
        <v>0</v>
      </c>
      <c r="M109" s="136">
        <v>3996.0014000000006</v>
      </c>
      <c r="N109" s="136">
        <v>3996.0014000000006</v>
      </c>
      <c r="O109" s="5"/>
      <c r="P109" s="5" t="s">
        <v>350</v>
      </c>
      <c r="Q109" s="5" t="s">
        <v>342</v>
      </c>
      <c r="R109" s="5">
        <v>87141900</v>
      </c>
      <c r="S109" s="17" t="s">
        <v>22</v>
      </c>
      <c r="T109" s="5" t="s">
        <v>13</v>
      </c>
      <c r="U109" s="7">
        <v>0</v>
      </c>
      <c r="V109" s="7">
        <v>0</v>
      </c>
      <c r="W109" s="7">
        <f t="shared" si="21"/>
        <v>0</v>
      </c>
      <c r="X109" s="7">
        <v>539</v>
      </c>
    </row>
    <row r="110" spans="1:24" x14ac:dyDescent="0.3">
      <c r="A110" s="5" t="s">
        <v>209</v>
      </c>
      <c r="B110" s="5" t="s">
        <v>208</v>
      </c>
      <c r="C110" s="5">
        <v>10869</v>
      </c>
      <c r="D110" s="5" t="s">
        <v>372</v>
      </c>
      <c r="E110" s="7">
        <v>107606.7</v>
      </c>
      <c r="F110" s="5" t="s">
        <v>14</v>
      </c>
      <c r="G110" s="5" t="s">
        <v>11</v>
      </c>
      <c r="H110" s="5" t="s">
        <v>12</v>
      </c>
      <c r="I110" s="5"/>
      <c r="J110" s="14">
        <v>28</v>
      </c>
      <c r="K110" s="138">
        <f>84030.7+166.6</f>
        <v>84197.3</v>
      </c>
      <c r="L110" s="136">
        <v>0</v>
      </c>
      <c r="M110" s="136">
        <v>11788.002</v>
      </c>
      <c r="N110" s="136">
        <v>11788.002</v>
      </c>
      <c r="O110" s="5"/>
      <c r="P110" s="5" t="s">
        <v>350</v>
      </c>
      <c r="Q110" s="5" t="s">
        <v>342</v>
      </c>
      <c r="R110" s="5">
        <v>87141900</v>
      </c>
      <c r="S110" s="17" t="s">
        <v>22</v>
      </c>
      <c r="T110" s="5" t="s">
        <v>13</v>
      </c>
      <c r="U110" s="7">
        <v>0</v>
      </c>
      <c r="V110" s="7">
        <v>0</v>
      </c>
      <c r="W110" s="7">
        <f t="shared" si="21"/>
        <v>0</v>
      </c>
      <c r="X110" s="7">
        <f>830+760</f>
        <v>1590</v>
      </c>
    </row>
    <row r="111" spans="1:24" x14ac:dyDescent="0.3">
      <c r="A111" s="5" t="s">
        <v>209</v>
      </c>
      <c r="B111" s="5" t="s">
        <v>208</v>
      </c>
      <c r="C111" s="5">
        <v>10965</v>
      </c>
      <c r="D111" s="5" t="s">
        <v>375</v>
      </c>
      <c r="E111" s="7">
        <v>108970.55</v>
      </c>
      <c r="F111" s="5" t="s">
        <v>14</v>
      </c>
      <c r="G111" s="5" t="s">
        <v>11</v>
      </c>
      <c r="H111" s="5" t="s">
        <v>12</v>
      </c>
      <c r="I111" s="5"/>
      <c r="J111" s="14">
        <v>28</v>
      </c>
      <c r="K111" s="138">
        <f>85096.55+169.05</f>
        <v>85265.600000000006</v>
      </c>
      <c r="L111" s="136">
        <v>0</v>
      </c>
      <c r="M111" s="136">
        <v>11937.004000000001</v>
      </c>
      <c r="N111" s="136">
        <v>11937.004000000001</v>
      </c>
      <c r="O111" s="5"/>
      <c r="P111" s="5" t="s">
        <v>350</v>
      </c>
      <c r="Q111" s="5" t="s">
        <v>342</v>
      </c>
      <c r="R111" s="5">
        <v>87141900</v>
      </c>
      <c r="S111" s="17" t="s">
        <v>22</v>
      </c>
      <c r="T111" s="5" t="s">
        <v>13</v>
      </c>
      <c r="U111" s="7">
        <v>0</v>
      </c>
      <c r="V111" s="7">
        <v>0</v>
      </c>
      <c r="W111" s="7">
        <f t="shared" si="21"/>
        <v>0</v>
      </c>
      <c r="X111" s="7">
        <v>1610</v>
      </c>
    </row>
    <row r="112" spans="1:24" x14ac:dyDescent="0.3">
      <c r="A112" s="5" t="s">
        <v>209</v>
      </c>
      <c r="B112" s="5" t="s">
        <v>208</v>
      </c>
      <c r="C112" s="5">
        <v>11085</v>
      </c>
      <c r="D112" s="5" t="s">
        <v>384</v>
      </c>
      <c r="E112" s="7">
        <v>108294</v>
      </c>
      <c r="F112" s="5" t="s">
        <v>14</v>
      </c>
      <c r="G112" s="5" t="s">
        <v>11</v>
      </c>
      <c r="H112" s="5" t="s">
        <v>12</v>
      </c>
      <c r="I112" s="5"/>
      <c r="J112" s="14">
        <v>28</v>
      </c>
      <c r="K112" s="138">
        <f>84568+168</f>
        <v>84736</v>
      </c>
      <c r="L112" s="136">
        <v>0</v>
      </c>
      <c r="M112" s="136">
        <v>11863</v>
      </c>
      <c r="N112" s="136">
        <v>11863</v>
      </c>
      <c r="O112" s="5"/>
      <c r="P112" s="5" t="s">
        <v>350</v>
      </c>
      <c r="Q112" s="5" t="s">
        <v>342</v>
      </c>
      <c r="R112" s="5">
        <v>87141900</v>
      </c>
      <c r="S112" s="17" t="s">
        <v>22</v>
      </c>
      <c r="T112" s="5" t="s">
        <v>13</v>
      </c>
      <c r="U112" s="7">
        <v>0</v>
      </c>
      <c r="V112" s="7">
        <v>0</v>
      </c>
      <c r="W112" s="7">
        <f t="shared" si="21"/>
        <v>0</v>
      </c>
      <c r="X112" s="7">
        <v>1600</v>
      </c>
    </row>
    <row r="113" spans="1:28" x14ac:dyDescent="0.3">
      <c r="A113" s="5" t="s">
        <v>209</v>
      </c>
      <c r="B113" s="5" t="s">
        <v>208</v>
      </c>
      <c r="C113" s="5">
        <v>11170</v>
      </c>
      <c r="D113" s="5" t="s">
        <v>385</v>
      </c>
      <c r="E113" s="7">
        <v>129636.2</v>
      </c>
      <c r="F113" s="5" t="s">
        <v>14</v>
      </c>
      <c r="G113" s="5" t="s">
        <v>11</v>
      </c>
      <c r="H113" s="5" t="s">
        <v>12</v>
      </c>
      <c r="I113" s="5"/>
      <c r="J113" s="14">
        <v>28</v>
      </c>
      <c r="K113" s="138">
        <f>101234.2+201.75</f>
        <v>101435.95</v>
      </c>
      <c r="L113" s="136">
        <v>0</v>
      </c>
      <c r="M113" s="136">
        <v>14201.002999999999</v>
      </c>
      <c r="N113" s="136">
        <v>14201.002999999999</v>
      </c>
      <c r="O113" s="5"/>
      <c r="P113" s="5" t="s">
        <v>350</v>
      </c>
      <c r="Q113" s="5" t="s">
        <v>342</v>
      </c>
      <c r="R113" s="5">
        <v>87141900</v>
      </c>
      <c r="S113" s="17" t="s">
        <v>22</v>
      </c>
      <c r="T113" s="5" t="s">
        <v>13</v>
      </c>
      <c r="U113" s="7">
        <v>0</v>
      </c>
      <c r="V113" s="7">
        <v>0</v>
      </c>
      <c r="W113" s="7">
        <f t="shared" si="21"/>
        <v>0</v>
      </c>
      <c r="X113" s="7">
        <v>1915</v>
      </c>
    </row>
    <row r="114" spans="1:28" x14ac:dyDescent="0.3">
      <c r="A114" s="5" t="s">
        <v>209</v>
      </c>
      <c r="B114" s="5" t="s">
        <v>208</v>
      </c>
      <c r="C114" s="5">
        <v>11169</v>
      </c>
      <c r="D114" s="5" t="s">
        <v>385</v>
      </c>
      <c r="E114" s="7">
        <v>106264.35</v>
      </c>
      <c r="F114" s="5" t="s">
        <v>14</v>
      </c>
      <c r="G114" s="5" t="s">
        <v>11</v>
      </c>
      <c r="H114" s="5" t="s">
        <v>12</v>
      </c>
      <c r="I114" s="5"/>
      <c r="J114" s="14">
        <v>28</v>
      </c>
      <c r="K114" s="138">
        <f>82982.35+164.85</f>
        <v>83147.200000000012</v>
      </c>
      <c r="L114" s="136">
        <v>0</v>
      </c>
      <c r="M114" s="136">
        <v>11640.998000000001</v>
      </c>
      <c r="N114" s="136">
        <v>11640.998000000001</v>
      </c>
      <c r="O114" s="5"/>
      <c r="P114" s="5" t="s">
        <v>350</v>
      </c>
      <c r="Q114" s="5" t="s">
        <v>342</v>
      </c>
      <c r="R114" s="5">
        <v>87141900</v>
      </c>
      <c r="S114" s="17" t="s">
        <v>22</v>
      </c>
      <c r="T114" s="5" t="s">
        <v>13</v>
      </c>
      <c r="U114" s="7">
        <v>0</v>
      </c>
      <c r="V114" s="7">
        <v>0</v>
      </c>
      <c r="W114" s="7">
        <f t="shared" si="21"/>
        <v>0</v>
      </c>
      <c r="X114" s="7">
        <v>1570</v>
      </c>
    </row>
    <row r="115" spans="1:28" x14ac:dyDescent="0.3">
      <c r="A115" s="5" t="s">
        <v>209</v>
      </c>
      <c r="B115" s="5" t="s">
        <v>208</v>
      </c>
      <c r="C115" s="5">
        <v>11147</v>
      </c>
      <c r="D115" s="5" t="s">
        <v>385</v>
      </c>
      <c r="E115" s="7">
        <v>40611</v>
      </c>
      <c r="F115" s="5" t="s">
        <v>14</v>
      </c>
      <c r="G115" s="5" t="s">
        <v>11</v>
      </c>
      <c r="H115" s="5" t="s">
        <v>12</v>
      </c>
      <c r="I115" s="5"/>
      <c r="J115" s="14">
        <v>28</v>
      </c>
      <c r="K115" s="138">
        <f>31713+63</f>
        <v>31776</v>
      </c>
      <c r="L115" s="136">
        <v>0</v>
      </c>
      <c r="M115" s="136">
        <v>4448.9999999999991</v>
      </c>
      <c r="N115" s="136">
        <v>4448.9999999999991</v>
      </c>
      <c r="O115" s="5"/>
      <c r="P115" s="5" t="s">
        <v>350</v>
      </c>
      <c r="Q115" s="5" t="s">
        <v>342</v>
      </c>
      <c r="R115" s="5">
        <v>87141900</v>
      </c>
      <c r="S115" s="17" t="s">
        <v>22</v>
      </c>
      <c r="T115" s="5" t="s">
        <v>13</v>
      </c>
      <c r="U115" s="7">
        <v>0</v>
      </c>
      <c r="V115" s="7">
        <v>0</v>
      </c>
      <c r="W115" s="7">
        <f t="shared" si="21"/>
        <v>0</v>
      </c>
      <c r="X115" s="7">
        <v>600</v>
      </c>
    </row>
    <row r="116" spans="1:28" x14ac:dyDescent="0.3">
      <c r="A116" s="5" t="s">
        <v>209</v>
      </c>
      <c r="B116" s="5" t="s">
        <v>208</v>
      </c>
      <c r="C116" s="5">
        <v>11297</v>
      </c>
      <c r="D116" s="5" t="s">
        <v>386</v>
      </c>
      <c r="E116" s="7">
        <v>135368</v>
      </c>
      <c r="F116" s="5" t="s">
        <v>14</v>
      </c>
      <c r="G116" s="5" t="s">
        <v>11</v>
      </c>
      <c r="H116" s="5" t="s">
        <v>12</v>
      </c>
      <c r="I116" s="5"/>
      <c r="J116" s="14">
        <v>28</v>
      </c>
      <c r="K116" s="138">
        <f>105710+210</f>
        <v>105920</v>
      </c>
      <c r="L116" s="136">
        <v>0</v>
      </c>
      <c r="M116" s="136">
        <v>14829.000000000002</v>
      </c>
      <c r="N116" s="136">
        <v>14829.000000000002</v>
      </c>
      <c r="O116" s="5"/>
      <c r="P116" s="5" t="s">
        <v>350</v>
      </c>
      <c r="Q116" s="5" t="s">
        <v>342</v>
      </c>
      <c r="R116" s="5">
        <v>87141900</v>
      </c>
      <c r="S116" s="17" t="s">
        <v>22</v>
      </c>
      <c r="T116" s="5" t="s">
        <v>13</v>
      </c>
      <c r="U116" s="7">
        <v>0</v>
      </c>
      <c r="V116" s="7">
        <v>0</v>
      </c>
      <c r="W116" s="7">
        <f t="shared" si="21"/>
        <v>0</v>
      </c>
      <c r="X116" s="7">
        <v>2000</v>
      </c>
    </row>
    <row r="117" spans="1:28" x14ac:dyDescent="0.3">
      <c r="A117" s="5" t="s">
        <v>209</v>
      </c>
      <c r="B117" s="5" t="s">
        <v>208</v>
      </c>
      <c r="C117" s="5">
        <v>11422</v>
      </c>
      <c r="D117" s="5" t="s">
        <v>387</v>
      </c>
      <c r="E117" s="7">
        <v>121154.45</v>
      </c>
      <c r="F117" s="5" t="s">
        <v>14</v>
      </c>
      <c r="G117" s="5" t="s">
        <v>11</v>
      </c>
      <c r="H117" s="5" t="s">
        <v>12</v>
      </c>
      <c r="I117" s="5"/>
      <c r="J117" s="14">
        <v>28</v>
      </c>
      <c r="K117" s="138">
        <f>94610.45+187.95</f>
        <v>94798.399999999994</v>
      </c>
      <c r="L117" s="136">
        <v>0</v>
      </c>
      <c r="M117" s="136">
        <v>13271.995999999997</v>
      </c>
      <c r="N117" s="136">
        <v>13271.995999999997</v>
      </c>
      <c r="O117" s="5"/>
      <c r="P117" s="5" t="s">
        <v>350</v>
      </c>
      <c r="Q117" s="5" t="s">
        <v>342</v>
      </c>
      <c r="R117" s="5">
        <v>87141900</v>
      </c>
      <c r="S117" s="17" t="s">
        <v>22</v>
      </c>
      <c r="T117" s="5" t="s">
        <v>13</v>
      </c>
      <c r="U117" s="7">
        <v>0</v>
      </c>
      <c r="V117" s="7">
        <v>0</v>
      </c>
      <c r="W117" s="7">
        <f t="shared" si="21"/>
        <v>0</v>
      </c>
      <c r="X117" s="7">
        <v>1790</v>
      </c>
    </row>
    <row r="118" spans="1:28" x14ac:dyDescent="0.3">
      <c r="A118" s="5" t="s">
        <v>209</v>
      </c>
      <c r="B118" s="5" t="s">
        <v>208</v>
      </c>
      <c r="C118" s="5">
        <v>11535</v>
      </c>
      <c r="D118" s="5" t="s">
        <v>390</v>
      </c>
      <c r="E118" s="7">
        <v>127272.65</v>
      </c>
      <c r="F118" s="5" t="s">
        <v>14</v>
      </c>
      <c r="G118" s="5" t="s">
        <v>11</v>
      </c>
      <c r="H118" s="5" t="s">
        <v>12</v>
      </c>
      <c r="I118" s="5"/>
      <c r="J118" s="14">
        <v>28</v>
      </c>
      <c r="K118" s="138">
        <f>99388.65+198.25</f>
        <v>99586.9</v>
      </c>
      <c r="L118" s="136">
        <v>0</v>
      </c>
      <c r="M118" s="136">
        <v>13941.995999999999</v>
      </c>
      <c r="N118" s="136">
        <v>13941.995999999999</v>
      </c>
      <c r="O118" s="5"/>
      <c r="P118" s="5" t="s">
        <v>350</v>
      </c>
      <c r="Q118" s="5" t="s">
        <v>342</v>
      </c>
      <c r="R118" s="5">
        <v>87141900</v>
      </c>
      <c r="S118" s="17" t="s">
        <v>22</v>
      </c>
      <c r="T118" s="5" t="s">
        <v>13</v>
      </c>
      <c r="U118" s="7">
        <v>0</v>
      </c>
      <c r="V118" s="7">
        <v>0</v>
      </c>
      <c r="W118" s="7">
        <f t="shared" si="21"/>
        <v>0</v>
      </c>
      <c r="X118" s="7">
        <v>1880</v>
      </c>
    </row>
    <row r="119" spans="1:28" x14ac:dyDescent="0.3">
      <c r="A119" s="5" t="s">
        <v>209</v>
      </c>
      <c r="B119" s="5" t="s">
        <v>208</v>
      </c>
      <c r="C119" s="5">
        <v>1618</v>
      </c>
      <c r="D119" s="5" t="s">
        <v>392</v>
      </c>
      <c r="E119" s="7">
        <v>110326.9</v>
      </c>
      <c r="F119" s="5" t="s">
        <v>14</v>
      </c>
      <c r="G119" s="5" t="s">
        <v>11</v>
      </c>
      <c r="H119" s="5" t="s">
        <v>12</v>
      </c>
      <c r="I119" s="5"/>
      <c r="J119" s="14">
        <v>28</v>
      </c>
      <c r="K119" s="138">
        <f>86154.9+171.2</f>
        <v>86326.099999999991</v>
      </c>
      <c r="L119" s="136">
        <v>0</v>
      </c>
      <c r="M119" s="136">
        <v>12086.003999999999</v>
      </c>
      <c r="N119" s="136">
        <v>12086.003999999999</v>
      </c>
      <c r="O119" s="5"/>
      <c r="P119" s="5" t="s">
        <v>350</v>
      </c>
      <c r="Q119" s="5" t="s">
        <v>342</v>
      </c>
      <c r="R119" s="5">
        <v>87141900</v>
      </c>
      <c r="S119" s="17" t="s">
        <v>22</v>
      </c>
      <c r="T119" s="5" t="s">
        <v>13</v>
      </c>
      <c r="U119" s="7">
        <v>0</v>
      </c>
      <c r="V119" s="7">
        <v>0</v>
      </c>
      <c r="W119" s="7">
        <f t="shared" si="21"/>
        <v>0</v>
      </c>
      <c r="X119" s="7">
        <v>1630</v>
      </c>
    </row>
    <row r="120" spans="1:28" x14ac:dyDescent="0.3">
      <c r="A120" s="5" t="s">
        <v>209</v>
      </c>
      <c r="B120" s="5" t="s">
        <v>208</v>
      </c>
      <c r="C120" s="5">
        <v>11719</v>
      </c>
      <c r="D120" s="5" t="s">
        <v>395</v>
      </c>
      <c r="E120" s="7">
        <v>105597.3</v>
      </c>
      <c r="F120" s="5" t="s">
        <v>14</v>
      </c>
      <c r="G120" s="5" t="s">
        <v>11</v>
      </c>
      <c r="H120" s="5" t="s">
        <v>12</v>
      </c>
      <c r="I120" s="5"/>
      <c r="J120" s="14">
        <v>28</v>
      </c>
      <c r="K120" s="138">
        <f>82461.3+164.1</f>
        <v>82625.400000000009</v>
      </c>
      <c r="L120" s="136">
        <v>0</v>
      </c>
      <c r="M120" s="136">
        <v>11567.996000000003</v>
      </c>
      <c r="N120" s="136">
        <v>11567.996000000003</v>
      </c>
      <c r="O120" s="5"/>
      <c r="P120" s="5" t="s">
        <v>350</v>
      </c>
      <c r="Q120" s="5" t="s">
        <v>342</v>
      </c>
      <c r="R120" s="5">
        <v>87141900</v>
      </c>
      <c r="S120" s="17" t="s">
        <v>22</v>
      </c>
      <c r="T120" s="5" t="s">
        <v>13</v>
      </c>
      <c r="U120" s="7">
        <v>0</v>
      </c>
      <c r="V120" s="7">
        <v>0</v>
      </c>
      <c r="W120" s="7">
        <f t="shared" si="21"/>
        <v>0</v>
      </c>
      <c r="X120" s="7">
        <f>750+810</f>
        <v>1560</v>
      </c>
    </row>
    <row r="121" spans="1:28" x14ac:dyDescent="0.3">
      <c r="A121" s="5" t="s">
        <v>209</v>
      </c>
      <c r="B121" s="5" t="s">
        <v>208</v>
      </c>
      <c r="C121" s="5">
        <v>11973</v>
      </c>
      <c r="D121" s="5" t="s">
        <v>401</v>
      </c>
      <c r="E121" s="7">
        <v>212886.6</v>
      </c>
      <c r="F121" s="5" t="s">
        <v>14</v>
      </c>
      <c r="G121" s="5" t="s">
        <v>11</v>
      </c>
      <c r="H121" s="5" t="s">
        <v>12</v>
      </c>
      <c r="I121" s="5"/>
      <c r="J121" s="14">
        <v>28</v>
      </c>
      <c r="K121" s="138">
        <f>166244.6+330.85</f>
        <v>166575.45000000001</v>
      </c>
      <c r="L121" s="136">
        <v>0</v>
      </c>
      <c r="M121" s="136">
        <v>23321.003000000001</v>
      </c>
      <c r="N121" s="136">
        <v>23321.003000000001</v>
      </c>
      <c r="O121" s="5"/>
      <c r="P121" s="5" t="s">
        <v>350</v>
      </c>
      <c r="Q121" s="5" t="s">
        <v>342</v>
      </c>
      <c r="R121" s="5">
        <v>87141900</v>
      </c>
      <c r="S121" s="17" t="s">
        <v>22</v>
      </c>
      <c r="T121" s="5" t="s">
        <v>13</v>
      </c>
      <c r="U121" s="7">
        <v>0</v>
      </c>
      <c r="V121" s="7">
        <v>0</v>
      </c>
      <c r="W121" s="7">
        <f t="shared" si="21"/>
        <v>0</v>
      </c>
      <c r="X121" s="7">
        <v>3145</v>
      </c>
    </row>
    <row r="122" spans="1:28" x14ac:dyDescent="0.3">
      <c r="A122" s="5" t="s">
        <v>209</v>
      </c>
      <c r="B122" s="5" t="s">
        <v>208</v>
      </c>
      <c r="C122" s="5">
        <v>11981</v>
      </c>
      <c r="D122" s="5" t="s">
        <v>401</v>
      </c>
      <c r="E122" s="7">
        <v>13537</v>
      </c>
      <c r="F122" s="5" t="s">
        <v>14</v>
      </c>
      <c r="G122" s="5" t="s">
        <v>11</v>
      </c>
      <c r="H122" s="5" t="s">
        <v>12</v>
      </c>
      <c r="I122" s="5"/>
      <c r="J122" s="14">
        <v>28</v>
      </c>
      <c r="K122" s="138">
        <f>10571+21</f>
        <v>10592</v>
      </c>
      <c r="L122" s="136">
        <v>0</v>
      </c>
      <c r="M122" s="136">
        <v>1483</v>
      </c>
      <c r="N122" s="136">
        <v>1483</v>
      </c>
      <c r="O122" s="5"/>
      <c r="P122" s="5" t="s">
        <v>350</v>
      </c>
      <c r="Q122" s="5" t="s">
        <v>342</v>
      </c>
      <c r="R122" s="5">
        <v>87141900</v>
      </c>
      <c r="S122" s="17" t="s">
        <v>22</v>
      </c>
      <c r="T122" s="5" t="s">
        <v>13</v>
      </c>
      <c r="U122" s="7">
        <v>0</v>
      </c>
      <c r="V122" s="7">
        <v>0</v>
      </c>
      <c r="W122" s="7">
        <f t="shared" si="21"/>
        <v>0</v>
      </c>
      <c r="X122" s="7">
        <v>200</v>
      </c>
    </row>
    <row r="123" spans="1:28" x14ac:dyDescent="0.3">
      <c r="A123" s="5" t="s">
        <v>209</v>
      </c>
      <c r="B123" s="5" t="s">
        <v>208</v>
      </c>
      <c r="C123" s="5">
        <v>12292</v>
      </c>
      <c r="D123" s="5" t="s">
        <v>406</v>
      </c>
      <c r="E123" s="7">
        <v>95793.45</v>
      </c>
      <c r="F123" s="5" t="s">
        <v>14</v>
      </c>
      <c r="G123" s="5" t="s">
        <v>11</v>
      </c>
      <c r="H123" s="5" t="s">
        <v>12</v>
      </c>
      <c r="I123" s="5"/>
      <c r="J123" s="14">
        <v>28</v>
      </c>
      <c r="K123" s="138">
        <f>74805.45+149.2</f>
        <v>74954.649999999994</v>
      </c>
      <c r="L123" s="136">
        <v>0</v>
      </c>
      <c r="M123" s="136">
        <v>10494.000999999998</v>
      </c>
      <c r="N123" s="136">
        <v>10494.000999999998</v>
      </c>
      <c r="O123" s="5"/>
      <c r="P123" s="5" t="s">
        <v>350</v>
      </c>
      <c r="Q123" s="5" t="s">
        <v>342</v>
      </c>
      <c r="R123" s="5">
        <v>87141900</v>
      </c>
      <c r="S123" s="17" t="s">
        <v>22</v>
      </c>
      <c r="T123" s="5" t="s">
        <v>13</v>
      </c>
      <c r="U123" s="7">
        <v>0</v>
      </c>
      <c r="V123" s="7">
        <v>0</v>
      </c>
      <c r="W123" s="7">
        <f t="shared" si="21"/>
        <v>0</v>
      </c>
      <c r="X123" s="7">
        <v>1415</v>
      </c>
      <c r="Y123">
        <f>+K123/100*9</f>
        <v>6745.9184999999998</v>
      </c>
      <c r="Z123">
        <f>+K123/100*9</f>
        <v>6745.9184999999998</v>
      </c>
      <c r="AA123" s="129">
        <f>+Y123-M123</f>
        <v>-3748.0824999999986</v>
      </c>
      <c r="AB123" s="129">
        <f>+N123-Z123</f>
        <v>3748.0824999999986</v>
      </c>
    </row>
    <row r="124" spans="1:28" x14ac:dyDescent="0.3">
      <c r="A124" s="5" t="s">
        <v>209</v>
      </c>
      <c r="B124" s="5" t="s">
        <v>208</v>
      </c>
      <c r="C124" s="5">
        <v>12417</v>
      </c>
      <c r="D124" s="5" t="s">
        <v>409</v>
      </c>
      <c r="E124" s="7">
        <v>44672.3</v>
      </c>
      <c r="F124" s="5" t="s">
        <v>14</v>
      </c>
      <c r="G124" s="5"/>
      <c r="H124" s="5">
        <v>7704523.1699999999</v>
      </c>
      <c r="I124" s="5"/>
      <c r="J124" s="14">
        <v>28</v>
      </c>
      <c r="K124" s="138">
        <f>34884.3+69.3</f>
        <v>34953.600000000006</v>
      </c>
      <c r="L124" s="136">
        <v>0</v>
      </c>
      <c r="M124" s="136">
        <v>4894.0040000000008</v>
      </c>
      <c r="N124" s="136">
        <v>4894.0040000000008</v>
      </c>
      <c r="O124" s="5"/>
      <c r="P124" s="5"/>
      <c r="Q124" s="5"/>
      <c r="R124" s="5">
        <v>87141900</v>
      </c>
      <c r="S124" s="17" t="s">
        <v>22</v>
      </c>
      <c r="T124" s="5" t="s">
        <v>13</v>
      </c>
      <c r="U124" s="7">
        <v>0</v>
      </c>
      <c r="V124" s="7">
        <v>0</v>
      </c>
      <c r="W124" s="7">
        <f t="shared" si="21"/>
        <v>0</v>
      </c>
      <c r="X124" s="7">
        <f>330+330</f>
        <v>660</v>
      </c>
    </row>
    <row r="125" spans="1:28" x14ac:dyDescent="0.3">
      <c r="A125" s="5" t="s">
        <v>209</v>
      </c>
      <c r="B125" s="5" t="s">
        <v>208</v>
      </c>
      <c r="C125" s="5">
        <v>12473</v>
      </c>
      <c r="D125" s="5" t="s">
        <v>410</v>
      </c>
      <c r="E125" s="7">
        <v>17935.95</v>
      </c>
      <c r="F125" s="5" t="s">
        <v>14</v>
      </c>
      <c r="G125" s="5"/>
      <c r="H125" s="5"/>
      <c r="I125" s="5"/>
      <c r="J125" s="14">
        <v>28</v>
      </c>
      <c r="K125" s="138">
        <f>14005.95+27.8</f>
        <v>14033.75</v>
      </c>
      <c r="L125" s="136">
        <v>0</v>
      </c>
      <c r="M125" s="136">
        <v>1964.9950000000001</v>
      </c>
      <c r="N125" s="136">
        <v>1964.9950000000001</v>
      </c>
      <c r="O125" s="5"/>
      <c r="P125" s="5"/>
      <c r="Q125" s="5"/>
      <c r="R125" s="5">
        <v>87141900</v>
      </c>
      <c r="S125" s="17" t="s">
        <v>22</v>
      </c>
      <c r="T125" s="5" t="s">
        <v>13</v>
      </c>
      <c r="U125" s="7">
        <v>0</v>
      </c>
      <c r="V125" s="7">
        <v>0</v>
      </c>
      <c r="W125" s="7">
        <f t="shared" si="21"/>
        <v>0</v>
      </c>
      <c r="X125" s="7">
        <f>135+130</f>
        <v>265</v>
      </c>
      <c r="Y125">
        <f>+K125/100*9</f>
        <v>1263.0375000000001</v>
      </c>
      <c r="Z125">
        <f>+K125/100*9</f>
        <v>1263.0375000000001</v>
      </c>
      <c r="AA125" s="129">
        <f>+Y125-M125</f>
        <v>-701.95749999999998</v>
      </c>
      <c r="AB125" s="129">
        <f>+N125-Z125</f>
        <v>701.95749999999998</v>
      </c>
    </row>
    <row r="126" spans="1:28" x14ac:dyDescent="0.3">
      <c r="A126" s="5" t="s">
        <v>209</v>
      </c>
      <c r="B126" s="5" t="s">
        <v>208</v>
      </c>
      <c r="C126" s="5">
        <v>12479</v>
      </c>
      <c r="D126" s="5" t="s">
        <v>410</v>
      </c>
      <c r="E126" s="7">
        <v>18259.599999999999</v>
      </c>
      <c r="F126" s="5" t="s">
        <v>14</v>
      </c>
      <c r="G126" s="5"/>
      <c r="H126" s="5"/>
      <c r="I126" s="5"/>
      <c r="J126" s="14">
        <v>28</v>
      </c>
      <c r="K126" s="138">
        <f>14259.6+27.9</f>
        <v>14287.5</v>
      </c>
      <c r="L126" s="136">
        <v>0</v>
      </c>
      <c r="M126" s="136">
        <v>2000</v>
      </c>
      <c r="N126" s="136">
        <v>2000</v>
      </c>
      <c r="O126" s="5"/>
      <c r="P126" s="5"/>
      <c r="Q126" s="5"/>
      <c r="R126" s="5">
        <v>87141900</v>
      </c>
      <c r="S126" s="17" t="s">
        <v>22</v>
      </c>
      <c r="T126" s="5" t="s">
        <v>13</v>
      </c>
      <c r="U126" s="7">
        <v>0</v>
      </c>
      <c r="V126" s="7">
        <v>0</v>
      </c>
      <c r="W126" s="7">
        <f t="shared" si="21"/>
        <v>0</v>
      </c>
      <c r="X126" s="7">
        <v>270</v>
      </c>
    </row>
    <row r="127" spans="1:28" x14ac:dyDescent="0.3">
      <c r="A127" s="5" t="s">
        <v>209</v>
      </c>
      <c r="B127" s="5" t="s">
        <v>208</v>
      </c>
      <c r="C127" s="5">
        <v>12480</v>
      </c>
      <c r="D127" s="5" t="s">
        <v>410</v>
      </c>
      <c r="E127" s="7">
        <v>6106.2</v>
      </c>
      <c r="F127" s="5" t="s">
        <v>14</v>
      </c>
      <c r="G127" s="5"/>
      <c r="H127" s="5"/>
      <c r="I127" s="5"/>
      <c r="J127" s="14">
        <v>28</v>
      </c>
      <c r="K127" s="138">
        <f>4768.2+9.9</f>
        <v>4778.0999999999995</v>
      </c>
      <c r="L127" s="136">
        <v>0</v>
      </c>
      <c r="M127" s="136">
        <v>669.00399999999991</v>
      </c>
      <c r="N127" s="136">
        <v>669.00399999999991</v>
      </c>
      <c r="O127" s="5"/>
      <c r="P127" s="5"/>
      <c r="Q127" s="5"/>
      <c r="R127" s="5">
        <v>87141900</v>
      </c>
      <c r="S127" s="17" t="s">
        <v>22</v>
      </c>
      <c r="T127" s="5" t="s">
        <v>13</v>
      </c>
      <c r="U127" s="7">
        <v>0</v>
      </c>
      <c r="V127" s="7">
        <v>0</v>
      </c>
      <c r="W127" s="7">
        <f t="shared" si="21"/>
        <v>0</v>
      </c>
      <c r="X127" s="7">
        <v>90</v>
      </c>
    </row>
    <row r="128" spans="1:28" x14ac:dyDescent="0.3">
      <c r="A128" s="5" t="s">
        <v>209</v>
      </c>
      <c r="B128" s="5" t="s">
        <v>208</v>
      </c>
      <c r="C128" s="5">
        <v>12562</v>
      </c>
      <c r="D128" s="5" t="s">
        <v>413</v>
      </c>
      <c r="E128" s="7">
        <v>34244.879999999997</v>
      </c>
      <c r="F128" s="5" t="s">
        <v>14</v>
      </c>
      <c r="G128" s="5"/>
      <c r="H128" s="5"/>
      <c r="I128" s="5"/>
      <c r="J128" s="14">
        <v>28</v>
      </c>
      <c r="K128" s="138">
        <f>26742.88+53.06</f>
        <v>26795.940000000002</v>
      </c>
      <c r="L128" s="136">
        <v>0</v>
      </c>
      <c r="M128" s="136">
        <v>3751.0016000000005</v>
      </c>
      <c r="N128" s="136">
        <v>3751.0016000000005</v>
      </c>
      <c r="O128" s="5"/>
      <c r="P128" s="5"/>
      <c r="Q128" s="5"/>
      <c r="R128" s="5">
        <v>87141900</v>
      </c>
      <c r="S128" s="17" t="s">
        <v>22</v>
      </c>
      <c r="T128" s="5" t="s">
        <v>13</v>
      </c>
      <c r="U128" s="7">
        <v>0</v>
      </c>
      <c r="V128" s="7">
        <v>0</v>
      </c>
      <c r="W128" s="7">
        <f t="shared" si="21"/>
        <v>0</v>
      </c>
      <c r="X128" s="7">
        <v>506</v>
      </c>
    </row>
    <row r="129" spans="1:28" x14ac:dyDescent="0.3">
      <c r="A129" s="5" t="s">
        <v>209</v>
      </c>
      <c r="B129" s="5" t="s">
        <v>208</v>
      </c>
      <c r="C129" s="5">
        <v>12617</v>
      </c>
      <c r="D129" s="5" t="s">
        <v>413</v>
      </c>
      <c r="E129" s="7">
        <v>46365.55</v>
      </c>
      <c r="F129" s="5" t="s">
        <v>14</v>
      </c>
      <c r="G129" s="5"/>
      <c r="H129" s="5"/>
      <c r="I129" s="5"/>
      <c r="J129" s="14">
        <v>28</v>
      </c>
      <c r="K129" s="138">
        <f>36207.55+72</f>
        <v>36279.550000000003</v>
      </c>
      <c r="L129" s="136">
        <v>0</v>
      </c>
      <c r="M129" s="136">
        <v>5078.9969999999994</v>
      </c>
      <c r="N129" s="136">
        <v>5078.9969999999994</v>
      </c>
      <c r="O129" s="5"/>
      <c r="P129" s="5"/>
      <c r="Q129" s="5"/>
      <c r="R129" s="5">
        <v>87141900</v>
      </c>
      <c r="S129" s="17" t="s">
        <v>22</v>
      </c>
      <c r="T129" s="5" t="s">
        <v>13</v>
      </c>
      <c r="U129" s="7">
        <v>0</v>
      </c>
      <c r="V129" s="7">
        <v>0</v>
      </c>
      <c r="W129" s="7">
        <f t="shared" si="21"/>
        <v>0</v>
      </c>
      <c r="X129" s="7">
        <v>685</v>
      </c>
    </row>
    <row r="130" spans="1:28" x14ac:dyDescent="0.3">
      <c r="A130" s="5" t="s">
        <v>209</v>
      </c>
      <c r="B130" s="5" t="s">
        <v>208</v>
      </c>
      <c r="C130" s="5">
        <v>12649</v>
      </c>
      <c r="D130" s="5" t="s">
        <v>413</v>
      </c>
      <c r="E130" s="7">
        <v>76807.8</v>
      </c>
      <c r="F130" s="5" t="s">
        <v>14</v>
      </c>
      <c r="G130" s="5"/>
      <c r="H130" s="5"/>
      <c r="I130" s="5"/>
      <c r="J130" s="14">
        <v>28</v>
      </c>
      <c r="K130" s="138">
        <f>59979.8+118.75</f>
        <v>60098.55</v>
      </c>
      <c r="L130" s="136">
        <v>0</v>
      </c>
      <c r="M130" s="136">
        <v>8413.9970000000012</v>
      </c>
      <c r="N130" s="136">
        <v>8413.9970000000012</v>
      </c>
      <c r="O130" s="5"/>
      <c r="P130" s="5"/>
      <c r="Q130" s="5"/>
      <c r="R130" s="5">
        <v>87141900</v>
      </c>
      <c r="S130" s="17" t="s">
        <v>22</v>
      </c>
      <c r="T130" s="5" t="s">
        <v>13</v>
      </c>
      <c r="U130" s="7">
        <v>0</v>
      </c>
      <c r="V130" s="7">
        <v>0</v>
      </c>
      <c r="W130" s="7">
        <f t="shared" si="21"/>
        <v>0</v>
      </c>
      <c r="X130" s="7">
        <v>1135</v>
      </c>
    </row>
    <row r="131" spans="1:28" x14ac:dyDescent="0.3">
      <c r="A131" s="5" t="s">
        <v>209</v>
      </c>
      <c r="B131" s="5" t="s">
        <v>208</v>
      </c>
      <c r="C131" s="5">
        <v>12715</v>
      </c>
      <c r="D131" s="5" t="s">
        <v>367</v>
      </c>
      <c r="E131" s="7">
        <v>108944.55</v>
      </c>
      <c r="F131" s="5" t="s">
        <v>14</v>
      </c>
      <c r="G131" s="5"/>
      <c r="H131" s="5"/>
      <c r="I131" s="5"/>
      <c r="J131" s="14">
        <v>28</v>
      </c>
      <c r="K131" s="138">
        <f>85076.55+168.25</f>
        <v>85244.800000000003</v>
      </c>
      <c r="L131" s="136">
        <v>0</v>
      </c>
      <c r="M131" s="136">
        <v>11934.001999999999</v>
      </c>
      <c r="N131" s="136">
        <v>11934.001999999999</v>
      </c>
      <c r="O131" s="5"/>
      <c r="P131" s="5"/>
      <c r="Q131" s="5"/>
      <c r="R131" s="5">
        <v>87141900</v>
      </c>
      <c r="S131" s="17" t="s">
        <v>22</v>
      </c>
      <c r="T131" s="5" t="s">
        <v>13</v>
      </c>
      <c r="U131" s="7">
        <v>0</v>
      </c>
      <c r="V131" s="7">
        <v>0</v>
      </c>
      <c r="W131" s="7">
        <f t="shared" si="21"/>
        <v>0</v>
      </c>
      <c r="X131" s="7">
        <f>885+725</f>
        <v>1610</v>
      </c>
    </row>
    <row r="132" spans="1:28" x14ac:dyDescent="0.3">
      <c r="A132" s="5" t="s">
        <v>209</v>
      </c>
      <c r="B132" s="5" t="s">
        <v>208</v>
      </c>
      <c r="C132" s="5">
        <v>12828</v>
      </c>
      <c r="D132" s="5" t="s">
        <v>418</v>
      </c>
      <c r="E132" s="7">
        <v>98017.04</v>
      </c>
      <c r="F132" s="5" t="s">
        <v>14</v>
      </c>
      <c r="G132" s="5"/>
      <c r="H132" s="5"/>
      <c r="I132" s="5"/>
      <c r="J132" s="14">
        <v>28</v>
      </c>
      <c r="K132" s="138">
        <f>76543.04+152.4</f>
        <v>76695.439999999988</v>
      </c>
      <c r="L132" s="136">
        <v>0</v>
      </c>
      <c r="M132" s="136">
        <v>10737.001599999998</v>
      </c>
      <c r="N132" s="136">
        <v>10737.001599999998</v>
      </c>
      <c r="O132" s="5"/>
      <c r="P132" s="5"/>
      <c r="Q132" s="5"/>
      <c r="R132" s="5">
        <v>87141900</v>
      </c>
      <c r="S132" s="17" t="s">
        <v>22</v>
      </c>
      <c r="T132" s="5" t="s">
        <v>13</v>
      </c>
      <c r="U132" s="7">
        <v>0</v>
      </c>
      <c r="V132" s="7">
        <v>0</v>
      </c>
      <c r="W132" s="7">
        <f t="shared" si="21"/>
        <v>0</v>
      </c>
      <c r="X132" s="7">
        <v>1448</v>
      </c>
    </row>
    <row r="133" spans="1:28" x14ac:dyDescent="0.3">
      <c r="A133" s="5" t="s">
        <v>209</v>
      </c>
      <c r="B133" s="5" t="s">
        <v>208</v>
      </c>
      <c r="C133" s="5">
        <v>12892</v>
      </c>
      <c r="D133" s="5" t="s">
        <v>419</v>
      </c>
      <c r="E133" s="7">
        <v>121497.1</v>
      </c>
      <c r="F133" s="5" t="s">
        <v>14</v>
      </c>
      <c r="G133" s="5"/>
      <c r="H133" s="5"/>
      <c r="I133" s="5"/>
      <c r="J133" s="14">
        <v>28</v>
      </c>
      <c r="K133" s="138">
        <f>94879.1+188.65</f>
        <v>95067.75</v>
      </c>
      <c r="L133" s="136">
        <v>0</v>
      </c>
      <c r="M133" s="136">
        <v>13308.995000000001</v>
      </c>
      <c r="N133" s="136">
        <v>13308.995000000001</v>
      </c>
      <c r="O133" s="5"/>
      <c r="P133" s="5"/>
      <c r="Q133" s="5"/>
      <c r="R133" s="5">
        <v>87141900</v>
      </c>
      <c r="S133" s="17" t="s">
        <v>22</v>
      </c>
      <c r="T133" s="5" t="s">
        <v>13</v>
      </c>
      <c r="U133" s="7">
        <v>0</v>
      </c>
      <c r="V133" s="7">
        <v>0</v>
      </c>
      <c r="W133" s="7">
        <f t="shared" si="21"/>
        <v>0</v>
      </c>
      <c r="X133" s="7">
        <v>1795</v>
      </c>
    </row>
    <row r="134" spans="1:28" x14ac:dyDescent="0.3">
      <c r="A134" s="5" t="s">
        <v>209</v>
      </c>
      <c r="B134" s="5" t="s">
        <v>208</v>
      </c>
      <c r="C134" s="5">
        <v>12963</v>
      </c>
      <c r="D134" s="5" t="s">
        <v>424</v>
      </c>
      <c r="E134" s="7">
        <v>120477.9</v>
      </c>
      <c r="F134" s="5" t="s">
        <v>14</v>
      </c>
      <c r="G134" s="5"/>
      <c r="H134" s="5"/>
      <c r="I134" s="5"/>
      <c r="J134" s="14">
        <v>28</v>
      </c>
      <c r="K134" s="138">
        <f>94081.9+186.9</f>
        <v>94268.799999999988</v>
      </c>
      <c r="L134" s="136">
        <v>0</v>
      </c>
      <c r="M134" s="136">
        <v>13198.001999999999</v>
      </c>
      <c r="N134" s="136">
        <v>13198.001999999999</v>
      </c>
      <c r="O134" s="5"/>
      <c r="P134" s="5"/>
      <c r="Q134" s="5"/>
      <c r="R134" s="5">
        <v>87141900</v>
      </c>
      <c r="S134" s="17" t="s">
        <v>22</v>
      </c>
      <c r="T134" s="5" t="s">
        <v>13</v>
      </c>
      <c r="U134" s="7">
        <v>0</v>
      </c>
      <c r="V134" s="7">
        <v>0</v>
      </c>
      <c r="W134" s="7">
        <f t="shared" si="21"/>
        <v>0</v>
      </c>
      <c r="X134" s="7">
        <v>1780</v>
      </c>
    </row>
    <row r="135" spans="1:28" x14ac:dyDescent="0.3">
      <c r="A135" s="5" t="s">
        <v>209</v>
      </c>
      <c r="B135" s="5" t="s">
        <v>208</v>
      </c>
      <c r="C135" s="5">
        <v>13021</v>
      </c>
      <c r="D135" s="5" t="s">
        <v>430</v>
      </c>
      <c r="E135" s="7">
        <v>117796.95</v>
      </c>
      <c r="F135" s="5" t="s">
        <v>14</v>
      </c>
      <c r="G135" s="5"/>
      <c r="H135" s="5"/>
      <c r="I135" s="5"/>
      <c r="J135" s="14">
        <v>28</v>
      </c>
      <c r="K135" s="138">
        <f>91988.95+183.55</f>
        <v>92172.5</v>
      </c>
      <c r="L135" s="136">
        <v>0</v>
      </c>
      <c r="M135" s="136">
        <v>12904</v>
      </c>
      <c r="N135" s="136">
        <v>12904</v>
      </c>
      <c r="O135" s="5"/>
      <c r="P135" s="5"/>
      <c r="Q135" s="5"/>
      <c r="R135" s="5">
        <v>87141900</v>
      </c>
      <c r="S135" s="17" t="s">
        <v>22</v>
      </c>
      <c r="T135" s="5" t="s">
        <v>13</v>
      </c>
      <c r="U135" s="7">
        <v>0</v>
      </c>
      <c r="V135" s="7">
        <v>0</v>
      </c>
      <c r="W135" s="7">
        <f t="shared" ref="W135:W198" si="22">+U135-V135</f>
        <v>0</v>
      </c>
      <c r="X135" s="7">
        <v>1740</v>
      </c>
    </row>
    <row r="136" spans="1:28" x14ac:dyDescent="0.3">
      <c r="A136" s="5" t="s">
        <v>209</v>
      </c>
      <c r="B136" s="5" t="s">
        <v>208</v>
      </c>
      <c r="C136" s="5">
        <v>13063</v>
      </c>
      <c r="D136" s="5" t="s">
        <v>433</v>
      </c>
      <c r="E136" s="7">
        <v>50354.89</v>
      </c>
      <c r="F136" s="5" t="s">
        <v>14</v>
      </c>
      <c r="G136" s="5"/>
      <c r="H136" s="5"/>
      <c r="I136" s="5"/>
      <c r="J136" s="14">
        <v>28</v>
      </c>
      <c r="K136" s="138">
        <f>39322.89+80.08</f>
        <v>39402.97</v>
      </c>
      <c r="L136" s="136">
        <v>0</v>
      </c>
      <c r="M136" s="136">
        <v>5515.9957999999997</v>
      </c>
      <c r="N136" s="136">
        <v>5515.9957999999997</v>
      </c>
      <c r="O136" s="5"/>
      <c r="P136" s="5"/>
      <c r="Q136" s="5"/>
      <c r="R136" s="5">
        <v>87141900</v>
      </c>
      <c r="S136" s="17" t="s">
        <v>22</v>
      </c>
      <c r="T136" s="5" t="s">
        <v>13</v>
      </c>
      <c r="U136" s="7">
        <v>0</v>
      </c>
      <c r="V136" s="7">
        <v>0</v>
      </c>
      <c r="W136" s="7">
        <f t="shared" si="22"/>
        <v>0</v>
      </c>
      <c r="X136" s="7">
        <v>743</v>
      </c>
    </row>
    <row r="137" spans="1:28" x14ac:dyDescent="0.3">
      <c r="A137" s="5" t="s">
        <v>246</v>
      </c>
      <c r="B137" s="5" t="s">
        <v>245</v>
      </c>
      <c r="C137" s="5" t="s">
        <v>366</v>
      </c>
      <c r="D137" s="5" t="s">
        <v>361</v>
      </c>
      <c r="E137" s="7">
        <v>8007.31</v>
      </c>
      <c r="F137" s="5" t="s">
        <v>14</v>
      </c>
      <c r="G137" s="5" t="s">
        <v>11</v>
      </c>
      <c r="H137" s="5" t="s">
        <v>12</v>
      </c>
      <c r="I137" s="5"/>
      <c r="J137" s="14">
        <v>28</v>
      </c>
      <c r="K137" s="138">
        <v>6255.71</v>
      </c>
      <c r="L137" s="136">
        <v>0</v>
      </c>
      <c r="M137" s="136">
        <v>875.79939999999999</v>
      </c>
      <c r="N137" s="136">
        <v>875.79939999999999</v>
      </c>
      <c r="O137" s="5"/>
      <c r="P137" s="5" t="s">
        <v>350</v>
      </c>
      <c r="Q137" s="5" t="s">
        <v>342</v>
      </c>
      <c r="R137" s="5">
        <v>87141090</v>
      </c>
      <c r="S137" s="17" t="s">
        <v>22</v>
      </c>
      <c r="T137" s="5" t="s">
        <v>13</v>
      </c>
      <c r="U137" s="7">
        <v>0</v>
      </c>
      <c r="V137" s="7">
        <v>0</v>
      </c>
      <c r="W137" s="7">
        <f t="shared" si="22"/>
        <v>0</v>
      </c>
      <c r="X137" s="7">
        <v>83</v>
      </c>
      <c r="Y137">
        <f>+K137/100*9</f>
        <v>563.01390000000004</v>
      </c>
      <c r="Z137">
        <f>+K137/100*9</f>
        <v>563.01390000000004</v>
      </c>
      <c r="AA137" s="129">
        <f>+Y137-M137</f>
        <v>-312.78549999999996</v>
      </c>
      <c r="AB137" s="129">
        <f>+N137-Z137</f>
        <v>312.78549999999996</v>
      </c>
    </row>
    <row r="138" spans="1:28" x14ac:dyDescent="0.3">
      <c r="A138" s="5" t="s">
        <v>246</v>
      </c>
      <c r="B138" s="5" t="s">
        <v>245</v>
      </c>
      <c r="C138" s="5" t="s">
        <v>423</v>
      </c>
      <c r="D138" s="5" t="s">
        <v>419</v>
      </c>
      <c r="E138" s="7">
        <v>4341.3100000000004</v>
      </c>
      <c r="F138" s="5" t="s">
        <v>14</v>
      </c>
      <c r="G138" s="5"/>
      <c r="H138" s="5"/>
      <c r="I138" s="5"/>
      <c r="J138" s="14">
        <v>28</v>
      </c>
      <c r="K138" s="138">
        <v>3391.65</v>
      </c>
      <c r="L138" s="136">
        <v>0</v>
      </c>
      <c r="M138" s="136">
        <v>474.83100000000002</v>
      </c>
      <c r="N138" s="136">
        <v>474.83100000000002</v>
      </c>
      <c r="O138" s="5"/>
      <c r="P138" s="5"/>
      <c r="Q138" s="5"/>
      <c r="R138" s="5">
        <v>87141090</v>
      </c>
      <c r="S138" s="17" t="s">
        <v>22</v>
      </c>
      <c r="T138" s="5" t="s">
        <v>13</v>
      </c>
      <c r="U138" s="7">
        <v>0</v>
      </c>
      <c r="V138" s="7">
        <v>0</v>
      </c>
      <c r="W138" s="7">
        <f t="shared" si="22"/>
        <v>0</v>
      </c>
      <c r="X138" s="7">
        <v>45</v>
      </c>
    </row>
    <row r="139" spans="1:28" x14ac:dyDescent="0.3">
      <c r="A139" s="5" t="s">
        <v>196</v>
      </c>
      <c r="B139" s="5" t="s">
        <v>195</v>
      </c>
      <c r="C139" s="5">
        <v>7887672945</v>
      </c>
      <c r="D139" s="5" t="s">
        <v>361</v>
      </c>
      <c r="E139" s="7">
        <f>4764+428.76+428.76+12420+1117.8+1117.8+20000+1800+1800</f>
        <v>43877.119999999995</v>
      </c>
      <c r="F139" s="5" t="s">
        <v>14</v>
      </c>
      <c r="G139" s="5" t="s">
        <v>11</v>
      </c>
      <c r="H139" s="5" t="s">
        <v>12</v>
      </c>
      <c r="I139" s="5"/>
      <c r="J139" s="14">
        <v>18</v>
      </c>
      <c r="K139" s="138">
        <f>4764+12420+20000</f>
        <v>37184</v>
      </c>
      <c r="L139" s="136">
        <v>0</v>
      </c>
      <c r="M139" s="136">
        <v>3346.56</v>
      </c>
      <c r="N139" s="136">
        <v>3346.56</v>
      </c>
      <c r="O139" s="5"/>
      <c r="P139" s="5" t="s">
        <v>350</v>
      </c>
      <c r="Q139" s="5" t="s">
        <v>342</v>
      </c>
      <c r="R139" s="5">
        <v>39119090</v>
      </c>
      <c r="S139" s="17" t="s">
        <v>199</v>
      </c>
      <c r="T139" s="5" t="s">
        <v>197</v>
      </c>
      <c r="U139" s="7">
        <v>0</v>
      </c>
      <c r="V139" s="7">
        <v>0</v>
      </c>
      <c r="W139" s="7">
        <f t="shared" si="22"/>
        <v>0</v>
      </c>
      <c r="X139" s="7">
        <f>6+18+40</f>
        <v>64</v>
      </c>
    </row>
    <row r="140" spans="1:28" x14ac:dyDescent="0.3">
      <c r="A140" s="5" t="s">
        <v>196</v>
      </c>
      <c r="B140" s="5" t="s">
        <v>195</v>
      </c>
      <c r="C140" s="5">
        <v>7887672945</v>
      </c>
      <c r="D140" s="5" t="s">
        <v>361</v>
      </c>
      <c r="E140" s="7">
        <f>19500+1755+1755</f>
        <v>23010</v>
      </c>
      <c r="F140" s="5" t="s">
        <v>14</v>
      </c>
      <c r="G140" s="5" t="s">
        <v>11</v>
      </c>
      <c r="H140" s="5" t="s">
        <v>12</v>
      </c>
      <c r="I140" s="5"/>
      <c r="J140" s="14">
        <v>18</v>
      </c>
      <c r="K140" s="138">
        <v>19500</v>
      </c>
      <c r="L140" s="136">
        <v>0</v>
      </c>
      <c r="M140" s="136">
        <v>1755</v>
      </c>
      <c r="N140" s="136">
        <v>1755</v>
      </c>
      <c r="O140" s="5"/>
      <c r="P140" s="5" t="s">
        <v>350</v>
      </c>
      <c r="Q140" s="5" t="s">
        <v>342</v>
      </c>
      <c r="R140" s="5">
        <v>38249990</v>
      </c>
      <c r="S140" s="17" t="s">
        <v>198</v>
      </c>
      <c r="T140" s="5" t="s">
        <v>197</v>
      </c>
      <c r="U140" s="7">
        <v>0</v>
      </c>
      <c r="V140" s="7">
        <v>0</v>
      </c>
      <c r="W140" s="7">
        <f t="shared" si="22"/>
        <v>0</v>
      </c>
      <c r="X140" s="7">
        <v>30</v>
      </c>
    </row>
    <row r="141" spans="1:28" x14ac:dyDescent="0.3">
      <c r="A141" s="5" t="s">
        <v>196</v>
      </c>
      <c r="B141" s="5" t="s">
        <v>195</v>
      </c>
      <c r="C141" s="5">
        <v>7887672946</v>
      </c>
      <c r="D141" s="5" t="s">
        <v>361</v>
      </c>
      <c r="E141" s="7">
        <v>1150.5</v>
      </c>
      <c r="F141" s="5" t="s">
        <v>14</v>
      </c>
      <c r="G141" s="5" t="s">
        <v>11</v>
      </c>
      <c r="H141" s="5" t="s">
        <v>12</v>
      </c>
      <c r="I141" s="5"/>
      <c r="J141" s="14">
        <v>18</v>
      </c>
      <c r="K141" s="138">
        <v>975</v>
      </c>
      <c r="L141" s="136">
        <v>0</v>
      </c>
      <c r="M141" s="136">
        <v>87.75</v>
      </c>
      <c r="N141" s="136">
        <v>87.75</v>
      </c>
      <c r="O141" s="5"/>
      <c r="P141" s="5" t="s">
        <v>350</v>
      </c>
      <c r="Q141" s="5" t="s">
        <v>342</v>
      </c>
      <c r="R141" s="5">
        <v>32129090</v>
      </c>
      <c r="S141" s="17" t="s">
        <v>198</v>
      </c>
      <c r="T141" s="5" t="s">
        <v>197</v>
      </c>
      <c r="U141" s="7">
        <v>0</v>
      </c>
      <c r="V141" s="7">
        <v>0</v>
      </c>
      <c r="W141" s="7">
        <f t="shared" si="22"/>
        <v>0</v>
      </c>
      <c r="X141" s="7">
        <v>1</v>
      </c>
    </row>
    <row r="142" spans="1:28" x14ac:dyDescent="0.3">
      <c r="A142" s="5" t="s">
        <v>196</v>
      </c>
      <c r="B142" s="5" t="s">
        <v>195</v>
      </c>
      <c r="C142" s="5">
        <v>7887672947</v>
      </c>
      <c r="D142" s="5" t="s">
        <v>361</v>
      </c>
      <c r="E142" s="7">
        <f>3990+558.6+558.6</f>
        <v>5107.2000000000007</v>
      </c>
      <c r="F142" s="5" t="s">
        <v>14</v>
      </c>
      <c r="G142" s="5" t="s">
        <v>11</v>
      </c>
      <c r="H142" s="5" t="s">
        <v>12</v>
      </c>
      <c r="I142" s="5"/>
      <c r="J142" s="14">
        <v>28</v>
      </c>
      <c r="K142" s="138">
        <v>3990</v>
      </c>
      <c r="L142" s="136">
        <v>0</v>
      </c>
      <c r="M142" s="136">
        <v>558.6</v>
      </c>
      <c r="N142" s="136">
        <v>558.6</v>
      </c>
      <c r="O142" s="5"/>
      <c r="P142" s="5" t="s">
        <v>350</v>
      </c>
      <c r="Q142" s="5" t="s">
        <v>342</v>
      </c>
      <c r="R142" s="5">
        <v>32089090</v>
      </c>
      <c r="S142" s="17" t="s">
        <v>198</v>
      </c>
      <c r="T142" s="5" t="s">
        <v>197</v>
      </c>
      <c r="U142" s="7">
        <v>0</v>
      </c>
      <c r="V142" s="7">
        <v>0</v>
      </c>
      <c r="W142" s="7">
        <f t="shared" si="22"/>
        <v>0</v>
      </c>
      <c r="X142" s="7">
        <v>6</v>
      </c>
    </row>
    <row r="143" spans="1:28" x14ac:dyDescent="0.3">
      <c r="A143" s="5" t="s">
        <v>196</v>
      </c>
      <c r="B143" s="5" t="s">
        <v>195</v>
      </c>
      <c r="C143" s="5">
        <v>7887672947</v>
      </c>
      <c r="D143" s="5" t="s">
        <v>361</v>
      </c>
      <c r="E143" s="7">
        <v>42163.199999999997</v>
      </c>
      <c r="F143" s="5" t="s">
        <v>14</v>
      </c>
      <c r="G143" s="5" t="s">
        <v>11</v>
      </c>
      <c r="H143" s="5" t="s">
        <v>12</v>
      </c>
      <c r="I143" s="5"/>
      <c r="J143" s="14">
        <v>28</v>
      </c>
      <c r="K143" s="138">
        <v>32940</v>
      </c>
      <c r="L143" s="136">
        <v>0</v>
      </c>
      <c r="M143" s="136">
        <v>4611.5999999999995</v>
      </c>
      <c r="N143" s="136">
        <v>4611.5999999999995</v>
      </c>
      <c r="O143" s="5"/>
      <c r="P143" s="5" t="s">
        <v>350</v>
      </c>
      <c r="Q143" s="5" t="s">
        <v>342</v>
      </c>
      <c r="R143" s="5">
        <v>32082090</v>
      </c>
      <c r="S143" s="17" t="s">
        <v>198</v>
      </c>
      <c r="T143" s="5" t="s">
        <v>197</v>
      </c>
      <c r="U143" s="7">
        <v>0</v>
      </c>
      <c r="V143" s="7">
        <v>0</v>
      </c>
      <c r="W143" s="7">
        <f t="shared" si="22"/>
        <v>0</v>
      </c>
      <c r="X143" s="7">
        <v>48</v>
      </c>
      <c r="Y143">
        <f>+K143/100*9</f>
        <v>2964.6</v>
      </c>
      <c r="Z143">
        <f>+K143/100*9</f>
        <v>2964.6</v>
      </c>
      <c r="AA143" s="129">
        <f>+Y143-M143</f>
        <v>-1646.9999999999995</v>
      </c>
      <c r="AB143" s="129">
        <f>+N143-Z143</f>
        <v>1646.9999999999995</v>
      </c>
    </row>
    <row r="144" spans="1:28" x14ac:dyDescent="0.3">
      <c r="A144" s="5" t="s">
        <v>196</v>
      </c>
      <c r="B144" s="5" t="s">
        <v>195</v>
      </c>
      <c r="C144" s="5">
        <v>7887672948</v>
      </c>
      <c r="D144" s="5" t="s">
        <v>361</v>
      </c>
      <c r="E144" s="7">
        <f>13160+1842.4+1842.4</f>
        <v>16844.8</v>
      </c>
      <c r="F144" s="5" t="s">
        <v>14</v>
      </c>
      <c r="G144" s="5" t="s">
        <v>11</v>
      </c>
      <c r="H144" s="5" t="s">
        <v>12</v>
      </c>
      <c r="I144" s="5"/>
      <c r="J144" s="14">
        <v>28</v>
      </c>
      <c r="K144" s="138">
        <v>13160</v>
      </c>
      <c r="L144" s="136">
        <v>0</v>
      </c>
      <c r="M144" s="136">
        <v>1842.3999999999999</v>
      </c>
      <c r="N144" s="136">
        <v>1842.3999999999999</v>
      </c>
      <c r="O144" s="5"/>
      <c r="P144" s="5" t="s">
        <v>350</v>
      </c>
      <c r="Q144" s="5" t="s">
        <v>342</v>
      </c>
      <c r="R144" s="5">
        <v>32081090</v>
      </c>
      <c r="S144" s="17" t="s">
        <v>199</v>
      </c>
      <c r="T144" s="5" t="s">
        <v>197</v>
      </c>
      <c r="U144" s="7">
        <v>0</v>
      </c>
      <c r="V144" s="7">
        <v>0</v>
      </c>
      <c r="W144" s="7">
        <f t="shared" si="22"/>
        <v>0</v>
      </c>
      <c r="X144" s="7">
        <v>20</v>
      </c>
    </row>
    <row r="145" spans="1:28" x14ac:dyDescent="0.3">
      <c r="A145" s="5" t="s">
        <v>196</v>
      </c>
      <c r="B145" s="5" t="s">
        <v>195</v>
      </c>
      <c r="C145" s="5">
        <v>7887672948</v>
      </c>
      <c r="D145" s="5" t="s">
        <v>361</v>
      </c>
      <c r="E145" s="7">
        <f>23920+3348.8+3348.8+17280+2419.2+2419.2</f>
        <v>52735.999999999993</v>
      </c>
      <c r="F145" s="5" t="s">
        <v>14</v>
      </c>
      <c r="G145" s="5" t="s">
        <v>11</v>
      </c>
      <c r="H145" s="5" t="s">
        <v>12</v>
      </c>
      <c r="I145" s="5"/>
      <c r="J145" s="14">
        <v>28</v>
      </c>
      <c r="K145" s="138">
        <f>23920+17280</f>
        <v>41200</v>
      </c>
      <c r="L145" s="136">
        <v>0</v>
      </c>
      <c r="M145" s="136">
        <v>5768</v>
      </c>
      <c r="N145" s="136">
        <v>5768</v>
      </c>
      <c r="O145" s="5"/>
      <c r="P145" s="5" t="s">
        <v>350</v>
      </c>
      <c r="Q145" s="5" t="s">
        <v>342</v>
      </c>
      <c r="R145" s="5">
        <v>32082090</v>
      </c>
      <c r="S145" s="17" t="s">
        <v>198</v>
      </c>
      <c r="T145" s="5" t="s">
        <v>197</v>
      </c>
      <c r="U145" s="7">
        <v>0</v>
      </c>
      <c r="V145" s="7">
        <v>0</v>
      </c>
      <c r="W145" s="7">
        <f t="shared" si="22"/>
        <v>0</v>
      </c>
      <c r="X145" s="7">
        <f>40+40</f>
        <v>80</v>
      </c>
    </row>
    <row r="146" spans="1:28" x14ac:dyDescent="0.3">
      <c r="A146" s="5" t="s">
        <v>196</v>
      </c>
      <c r="B146" s="5" t="s">
        <v>195</v>
      </c>
      <c r="C146" s="5">
        <v>7887672948</v>
      </c>
      <c r="D146" s="5" t="s">
        <v>361</v>
      </c>
      <c r="E146" s="7">
        <f>7600+1064+1064</f>
        <v>9728</v>
      </c>
      <c r="F146" s="5" t="s">
        <v>14</v>
      </c>
      <c r="G146" s="5" t="s">
        <v>11</v>
      </c>
      <c r="H146" s="5" t="s">
        <v>12</v>
      </c>
      <c r="I146" s="5"/>
      <c r="J146" s="14">
        <v>28</v>
      </c>
      <c r="K146" s="138">
        <v>7600</v>
      </c>
      <c r="L146" s="136">
        <v>0</v>
      </c>
      <c r="M146" s="136">
        <v>1064</v>
      </c>
      <c r="N146" s="136">
        <v>1064</v>
      </c>
      <c r="O146" s="5"/>
      <c r="P146" s="5" t="s">
        <v>350</v>
      </c>
      <c r="Q146" s="5" t="s">
        <v>342</v>
      </c>
      <c r="R146" s="5">
        <v>38140010</v>
      </c>
      <c r="S146" s="17" t="s">
        <v>199</v>
      </c>
      <c r="T146" s="5" t="s">
        <v>197</v>
      </c>
      <c r="U146" s="7">
        <v>0</v>
      </c>
      <c r="V146" s="7">
        <v>0</v>
      </c>
      <c r="W146" s="7">
        <f t="shared" si="22"/>
        <v>0</v>
      </c>
      <c r="X146" s="7">
        <v>20</v>
      </c>
    </row>
    <row r="147" spans="1:28" x14ac:dyDescent="0.3">
      <c r="A147" s="5" t="s">
        <v>196</v>
      </c>
      <c r="B147" s="5" t="s">
        <v>195</v>
      </c>
      <c r="C147" s="5">
        <v>7887673528</v>
      </c>
      <c r="D147" s="5" t="s">
        <v>390</v>
      </c>
      <c r="E147" s="7">
        <f>10200+1428+1428</f>
        <v>13056</v>
      </c>
      <c r="F147" s="5" t="s">
        <v>14</v>
      </c>
      <c r="G147" s="5" t="s">
        <v>11</v>
      </c>
      <c r="H147" s="5" t="s">
        <v>12</v>
      </c>
      <c r="I147" s="5"/>
      <c r="J147" s="14">
        <v>28</v>
      </c>
      <c r="K147" s="138">
        <v>10200</v>
      </c>
      <c r="L147" s="136">
        <v>0</v>
      </c>
      <c r="M147" s="136">
        <v>1428</v>
      </c>
      <c r="N147" s="136">
        <v>1428</v>
      </c>
      <c r="O147" s="5"/>
      <c r="P147" s="5" t="s">
        <v>350</v>
      </c>
      <c r="Q147" s="5" t="s">
        <v>342</v>
      </c>
      <c r="R147" s="5">
        <v>32081090</v>
      </c>
      <c r="S147" s="17" t="s">
        <v>198</v>
      </c>
      <c r="T147" s="5" t="s">
        <v>197</v>
      </c>
      <c r="U147" s="7">
        <v>0</v>
      </c>
      <c r="V147" s="7">
        <v>0</v>
      </c>
      <c r="W147" s="7">
        <f t="shared" si="22"/>
        <v>0</v>
      </c>
      <c r="X147" s="7">
        <v>20</v>
      </c>
      <c r="Y147">
        <f>+K147/100*9</f>
        <v>918</v>
      </c>
      <c r="Z147">
        <f>+K147/100*9</f>
        <v>918</v>
      </c>
      <c r="AA147" s="129">
        <f>+Y147-M147</f>
        <v>-510</v>
      </c>
      <c r="AB147" s="129">
        <f>+N147-Z147</f>
        <v>510</v>
      </c>
    </row>
    <row r="148" spans="1:28" x14ac:dyDescent="0.3">
      <c r="A148" s="5" t="s">
        <v>196</v>
      </c>
      <c r="B148" s="5" t="s">
        <v>195</v>
      </c>
      <c r="C148" s="5">
        <v>7887673528</v>
      </c>
      <c r="D148" s="5" t="s">
        <v>390</v>
      </c>
      <c r="E148" s="7">
        <f>14540+2035.6+2035.6+12800+1792+1792</f>
        <v>34995.199999999997</v>
      </c>
      <c r="F148" s="5" t="s">
        <v>14</v>
      </c>
      <c r="G148" s="5" t="s">
        <v>11</v>
      </c>
      <c r="H148" s="5" t="s">
        <v>12</v>
      </c>
      <c r="I148" s="5"/>
      <c r="J148" s="14">
        <v>28</v>
      </c>
      <c r="K148" s="138">
        <f>14540+12800</f>
        <v>27340</v>
      </c>
      <c r="L148" s="136">
        <v>0</v>
      </c>
      <c r="M148" s="136">
        <v>3827.5999999999995</v>
      </c>
      <c r="N148" s="136">
        <v>3827.5999999999995</v>
      </c>
      <c r="O148" s="5"/>
      <c r="P148" s="5" t="s">
        <v>350</v>
      </c>
      <c r="Q148" s="5" t="s">
        <v>342</v>
      </c>
      <c r="R148" s="5">
        <v>32082090</v>
      </c>
      <c r="S148" s="17" t="s">
        <v>198</v>
      </c>
      <c r="T148" s="5" t="s">
        <v>197</v>
      </c>
      <c r="U148" s="7">
        <v>0</v>
      </c>
      <c r="V148" s="7">
        <v>0</v>
      </c>
      <c r="W148" s="7">
        <f t="shared" si="22"/>
        <v>0</v>
      </c>
      <c r="X148" s="7">
        <f>20+20</f>
        <v>40</v>
      </c>
    </row>
    <row r="149" spans="1:28" x14ac:dyDescent="0.3">
      <c r="A149" s="5" t="s">
        <v>196</v>
      </c>
      <c r="B149" s="5" t="s">
        <v>195</v>
      </c>
      <c r="C149" s="5">
        <v>7887673528</v>
      </c>
      <c r="D149" s="5" t="s">
        <v>390</v>
      </c>
      <c r="E149" s="7">
        <f>8700+1218+1218</f>
        <v>11136</v>
      </c>
      <c r="F149" s="5" t="s">
        <v>14</v>
      </c>
      <c r="G149" s="5" t="s">
        <v>11</v>
      </c>
      <c r="H149" s="5" t="s">
        <v>12</v>
      </c>
      <c r="I149" s="5"/>
      <c r="J149" s="14">
        <v>28</v>
      </c>
      <c r="K149" s="138">
        <v>8700</v>
      </c>
      <c r="L149" s="136">
        <v>0</v>
      </c>
      <c r="M149" s="136">
        <v>1218</v>
      </c>
      <c r="N149" s="136">
        <v>1218</v>
      </c>
      <c r="O149" s="5"/>
      <c r="P149" s="5" t="s">
        <v>350</v>
      </c>
      <c r="Q149" s="5" t="s">
        <v>342</v>
      </c>
      <c r="R149" s="5">
        <v>38140010</v>
      </c>
      <c r="S149" s="17" t="s">
        <v>198</v>
      </c>
      <c r="T149" s="5" t="s">
        <v>197</v>
      </c>
      <c r="U149" s="7">
        <v>0</v>
      </c>
      <c r="V149" s="7">
        <v>0</v>
      </c>
      <c r="W149" s="7">
        <f t="shared" si="22"/>
        <v>0</v>
      </c>
      <c r="X149" s="7">
        <v>60</v>
      </c>
    </row>
    <row r="150" spans="1:28" x14ac:dyDescent="0.3">
      <c r="A150" s="5" t="s">
        <v>196</v>
      </c>
      <c r="B150" s="5" t="s">
        <v>195</v>
      </c>
      <c r="C150" s="5">
        <v>7887673529</v>
      </c>
      <c r="D150" s="5" t="s">
        <v>390</v>
      </c>
      <c r="E150" s="7">
        <v>8750.8799999999992</v>
      </c>
      <c r="F150" s="5" t="s">
        <v>14</v>
      </c>
      <c r="G150" s="5" t="s">
        <v>11</v>
      </c>
      <c r="H150" s="5" t="s">
        <v>12</v>
      </c>
      <c r="I150" s="5"/>
      <c r="J150" s="14">
        <v>18</v>
      </c>
      <c r="K150" s="138">
        <v>7416</v>
      </c>
      <c r="L150" s="136">
        <v>0</v>
      </c>
      <c r="M150" s="136">
        <v>667.43999999999994</v>
      </c>
      <c r="N150" s="136">
        <v>667.43999999999994</v>
      </c>
      <c r="O150" s="5"/>
      <c r="P150" s="5" t="s">
        <v>350</v>
      </c>
      <c r="Q150" s="5" t="s">
        <v>342</v>
      </c>
      <c r="R150" s="5">
        <v>38249990</v>
      </c>
      <c r="S150" s="17" t="s">
        <v>198</v>
      </c>
      <c r="T150" s="5" t="s">
        <v>197</v>
      </c>
      <c r="U150" s="7">
        <v>0</v>
      </c>
      <c r="V150" s="7">
        <v>0</v>
      </c>
      <c r="W150" s="7">
        <f t="shared" si="22"/>
        <v>0</v>
      </c>
      <c r="X150" s="7">
        <v>12</v>
      </c>
    </row>
    <row r="151" spans="1:28" x14ac:dyDescent="0.3">
      <c r="A151" s="5" t="s">
        <v>196</v>
      </c>
      <c r="B151" s="5" t="s">
        <v>195</v>
      </c>
      <c r="C151" s="5">
        <v>7887673531</v>
      </c>
      <c r="D151" s="5" t="s">
        <v>390</v>
      </c>
      <c r="E151" s="7">
        <v>14745.6</v>
      </c>
      <c r="F151" s="5" t="s">
        <v>14</v>
      </c>
      <c r="G151" s="5" t="s">
        <v>11</v>
      </c>
      <c r="H151" s="5" t="s">
        <v>12</v>
      </c>
      <c r="I151" s="5"/>
      <c r="J151" s="14">
        <v>28</v>
      </c>
      <c r="K151" s="138">
        <v>11520</v>
      </c>
      <c r="L151" s="136">
        <v>0</v>
      </c>
      <c r="M151" s="136">
        <v>1612.8</v>
      </c>
      <c r="N151" s="136">
        <v>1612.8</v>
      </c>
      <c r="O151" s="5"/>
      <c r="P151" s="5" t="s">
        <v>350</v>
      </c>
      <c r="Q151" s="5" t="s">
        <v>342</v>
      </c>
      <c r="R151" s="5">
        <v>32081090</v>
      </c>
      <c r="S151" s="17" t="s">
        <v>198</v>
      </c>
      <c r="T151" s="5" t="s">
        <v>197</v>
      </c>
      <c r="U151" s="7">
        <v>0</v>
      </c>
      <c r="V151" s="7">
        <v>0</v>
      </c>
      <c r="W151" s="7">
        <f t="shared" si="22"/>
        <v>0</v>
      </c>
      <c r="X151" s="7">
        <v>16</v>
      </c>
    </row>
    <row r="152" spans="1:28" x14ac:dyDescent="0.3">
      <c r="A152" s="5" t="s">
        <v>196</v>
      </c>
      <c r="B152" s="5" t="s">
        <v>195</v>
      </c>
      <c r="C152" s="5">
        <v>7887673723</v>
      </c>
      <c r="D152" s="5" t="s">
        <v>398</v>
      </c>
      <c r="E152" s="7">
        <f>7800+702+702</f>
        <v>9204</v>
      </c>
      <c r="F152" s="5" t="s">
        <v>14</v>
      </c>
      <c r="G152" s="5" t="s">
        <v>11</v>
      </c>
      <c r="H152" s="5" t="s">
        <v>12</v>
      </c>
      <c r="I152" s="5"/>
      <c r="J152" s="14">
        <v>18</v>
      </c>
      <c r="K152" s="138">
        <v>7800</v>
      </c>
      <c r="L152" s="136">
        <v>0</v>
      </c>
      <c r="M152" s="136">
        <v>702</v>
      </c>
      <c r="N152" s="136">
        <v>702</v>
      </c>
      <c r="O152" s="5"/>
      <c r="P152" s="5" t="s">
        <v>350</v>
      </c>
      <c r="Q152" s="5" t="s">
        <v>342</v>
      </c>
      <c r="R152" s="5">
        <v>38249990</v>
      </c>
      <c r="S152" s="17" t="s">
        <v>198</v>
      </c>
      <c r="T152" s="5" t="s">
        <v>197</v>
      </c>
      <c r="U152" s="7">
        <v>0</v>
      </c>
      <c r="V152" s="7">
        <v>0</v>
      </c>
      <c r="W152" s="7">
        <f t="shared" si="22"/>
        <v>0</v>
      </c>
      <c r="X152" s="7">
        <v>12</v>
      </c>
    </row>
    <row r="153" spans="1:28" x14ac:dyDescent="0.3">
      <c r="A153" s="5" t="s">
        <v>196</v>
      </c>
      <c r="B153" s="5" t="s">
        <v>195</v>
      </c>
      <c r="C153" s="5">
        <v>7887673723</v>
      </c>
      <c r="D153" s="5" t="s">
        <v>398</v>
      </c>
      <c r="E153" s="7">
        <f>4140+372.6+372.6</f>
        <v>4885.2000000000007</v>
      </c>
      <c r="F153" s="5" t="s">
        <v>14</v>
      </c>
      <c r="G153" s="5" t="s">
        <v>11</v>
      </c>
      <c r="H153" s="5" t="s">
        <v>12</v>
      </c>
      <c r="I153" s="5"/>
      <c r="J153" s="14">
        <v>18</v>
      </c>
      <c r="K153" s="138">
        <v>4140</v>
      </c>
      <c r="L153" s="136">
        <v>0</v>
      </c>
      <c r="M153" s="136">
        <v>372.59999999999997</v>
      </c>
      <c r="N153" s="136">
        <v>372.59999999999997</v>
      </c>
      <c r="O153" s="5"/>
      <c r="P153" s="5" t="s">
        <v>350</v>
      </c>
      <c r="Q153" s="5" t="s">
        <v>342</v>
      </c>
      <c r="R153" s="5">
        <v>39119090</v>
      </c>
      <c r="S153" s="17" t="s">
        <v>198</v>
      </c>
      <c r="T153" s="5" t="s">
        <v>197</v>
      </c>
      <c r="U153" s="7">
        <v>0</v>
      </c>
      <c r="V153" s="7">
        <v>0</v>
      </c>
      <c r="W153" s="7">
        <f t="shared" si="22"/>
        <v>0</v>
      </c>
      <c r="X153" s="7">
        <v>6</v>
      </c>
    </row>
    <row r="154" spans="1:28" x14ac:dyDescent="0.3">
      <c r="A154" s="5" t="s">
        <v>196</v>
      </c>
      <c r="B154" s="5" t="s">
        <v>195</v>
      </c>
      <c r="C154" s="5">
        <v>7887673724</v>
      </c>
      <c r="D154" s="5" t="s">
        <v>398</v>
      </c>
      <c r="E154" s="7">
        <f>15200+2128+2128</f>
        <v>19456</v>
      </c>
      <c r="F154" s="5" t="s">
        <v>14</v>
      </c>
      <c r="G154" s="5" t="s">
        <v>11</v>
      </c>
      <c r="H154" s="5" t="s">
        <v>12</v>
      </c>
      <c r="I154" s="5"/>
      <c r="J154" s="14">
        <v>28</v>
      </c>
      <c r="K154" s="138">
        <v>15200</v>
      </c>
      <c r="L154" s="136">
        <v>0</v>
      </c>
      <c r="M154" s="136">
        <v>2128</v>
      </c>
      <c r="N154" s="136">
        <v>2128</v>
      </c>
      <c r="O154" s="5"/>
      <c r="P154" s="5" t="s">
        <v>350</v>
      </c>
      <c r="Q154" s="5" t="s">
        <v>342</v>
      </c>
      <c r="R154" s="5">
        <v>38140010</v>
      </c>
      <c r="S154" s="17" t="s">
        <v>198</v>
      </c>
      <c r="T154" s="5" t="s">
        <v>197</v>
      </c>
      <c r="U154" s="7">
        <v>0</v>
      </c>
      <c r="V154" s="7">
        <v>0</v>
      </c>
      <c r="W154" s="7">
        <f t="shared" si="22"/>
        <v>0</v>
      </c>
      <c r="X154" s="7">
        <v>40</v>
      </c>
      <c r="Y154">
        <f t="shared" ref="Y154:Y155" si="23">+K154/100*9</f>
        <v>1368</v>
      </c>
      <c r="Z154">
        <f t="shared" ref="Z154:Z155" si="24">+K154/100*9</f>
        <v>1368</v>
      </c>
      <c r="AA154" s="129">
        <f t="shared" ref="AA154:AA155" si="25">+Y154-M154</f>
        <v>-760</v>
      </c>
      <c r="AB154" s="129">
        <f t="shared" ref="AB154:AB155" si="26">+N154-Z154</f>
        <v>760</v>
      </c>
    </row>
    <row r="155" spans="1:28" x14ac:dyDescent="0.3">
      <c r="A155" s="5" t="s">
        <v>196</v>
      </c>
      <c r="B155" s="5" t="s">
        <v>195</v>
      </c>
      <c r="C155" s="5">
        <v>7887673724</v>
      </c>
      <c r="D155" s="5" t="s">
        <v>398</v>
      </c>
      <c r="E155" s="7">
        <f>10240+1433.6+1433.6</f>
        <v>13107.2</v>
      </c>
      <c r="F155" s="5" t="s">
        <v>14</v>
      </c>
      <c r="G155" s="5" t="s">
        <v>11</v>
      </c>
      <c r="H155" s="5" t="s">
        <v>12</v>
      </c>
      <c r="I155" s="5"/>
      <c r="J155" s="14">
        <v>28</v>
      </c>
      <c r="K155" s="138">
        <v>10240</v>
      </c>
      <c r="L155" s="136">
        <v>0</v>
      </c>
      <c r="M155" s="136">
        <v>1433.6000000000001</v>
      </c>
      <c r="N155" s="136">
        <v>1433.6000000000001</v>
      </c>
      <c r="O155" s="5"/>
      <c r="P155" s="5" t="s">
        <v>350</v>
      </c>
      <c r="Q155" s="5" t="s">
        <v>342</v>
      </c>
      <c r="R155" s="5">
        <v>32089090</v>
      </c>
      <c r="S155" s="17" t="s">
        <v>198</v>
      </c>
      <c r="T155" s="5" t="s">
        <v>197</v>
      </c>
      <c r="U155" s="7">
        <v>0</v>
      </c>
      <c r="V155" s="7">
        <v>0</v>
      </c>
      <c r="W155" s="7">
        <f t="shared" si="22"/>
        <v>0</v>
      </c>
      <c r="X155" s="7">
        <v>16</v>
      </c>
      <c r="Y155">
        <f t="shared" si="23"/>
        <v>921.6</v>
      </c>
      <c r="Z155">
        <f t="shared" si="24"/>
        <v>921.6</v>
      </c>
      <c r="AA155" s="129">
        <f t="shared" si="25"/>
        <v>-512.00000000000011</v>
      </c>
      <c r="AB155" s="129">
        <f t="shared" si="26"/>
        <v>512.00000000000011</v>
      </c>
    </row>
    <row r="156" spans="1:28" x14ac:dyDescent="0.3">
      <c r="A156" s="5" t="s">
        <v>196</v>
      </c>
      <c r="B156" s="5" t="s">
        <v>195</v>
      </c>
      <c r="C156" s="5">
        <v>7887674078</v>
      </c>
      <c r="D156" s="5" t="s">
        <v>410</v>
      </c>
      <c r="E156" s="7">
        <v>16076.8</v>
      </c>
      <c r="F156" s="5" t="s">
        <v>14</v>
      </c>
      <c r="G156" s="5"/>
      <c r="H156" s="5"/>
      <c r="I156" s="5"/>
      <c r="J156" s="14">
        <v>28</v>
      </c>
      <c r="K156" s="138">
        <v>12560</v>
      </c>
      <c r="L156" s="136">
        <v>0</v>
      </c>
      <c r="M156" s="136">
        <v>1758.3999999999999</v>
      </c>
      <c r="N156" s="136">
        <v>1758.3999999999999</v>
      </c>
      <c r="O156" s="5"/>
      <c r="P156" s="5"/>
      <c r="Q156" s="5"/>
      <c r="R156" s="5">
        <v>32082090</v>
      </c>
      <c r="S156" s="17" t="s">
        <v>198</v>
      </c>
      <c r="T156" s="5" t="s">
        <v>197</v>
      </c>
      <c r="U156" s="7">
        <v>0</v>
      </c>
      <c r="V156" s="7">
        <v>0</v>
      </c>
      <c r="W156" s="7">
        <f t="shared" si="22"/>
        <v>0</v>
      </c>
      <c r="X156" s="7">
        <v>20</v>
      </c>
    </row>
    <row r="157" spans="1:28" x14ac:dyDescent="0.3">
      <c r="A157" s="5" t="s">
        <v>196</v>
      </c>
      <c r="B157" s="5" t="s">
        <v>195</v>
      </c>
      <c r="C157" s="5">
        <v>7887674209</v>
      </c>
      <c r="D157" s="5" t="s">
        <v>419</v>
      </c>
      <c r="E157" s="7">
        <f>17280+2419.2+2419.2</f>
        <v>22118.400000000001</v>
      </c>
      <c r="F157" s="5" t="s">
        <v>14</v>
      </c>
      <c r="G157" s="5"/>
      <c r="H157" s="5"/>
      <c r="I157" s="5"/>
      <c r="J157" s="14">
        <v>28</v>
      </c>
      <c r="K157" s="138">
        <v>17280</v>
      </c>
      <c r="L157" s="136">
        <v>0</v>
      </c>
      <c r="M157" s="136">
        <v>2419.2000000000003</v>
      </c>
      <c r="N157" s="136">
        <v>2419.2000000000003</v>
      </c>
      <c r="O157" s="5"/>
      <c r="P157" s="5"/>
      <c r="Q157" s="5"/>
      <c r="R157" s="5">
        <v>3728556</v>
      </c>
      <c r="S157" s="17" t="s">
        <v>198</v>
      </c>
      <c r="T157" s="5" t="s">
        <v>197</v>
      </c>
      <c r="U157" s="7">
        <v>0</v>
      </c>
      <c r="V157" s="7">
        <v>0</v>
      </c>
      <c r="W157" s="7">
        <f t="shared" si="22"/>
        <v>0</v>
      </c>
      <c r="X157" s="7">
        <v>40</v>
      </c>
    </row>
    <row r="158" spans="1:28" x14ac:dyDescent="0.3">
      <c r="A158" s="5" t="s">
        <v>196</v>
      </c>
      <c r="B158" s="5" t="s">
        <v>195</v>
      </c>
      <c r="C158" s="5">
        <v>7887674209</v>
      </c>
      <c r="D158" s="5" t="s">
        <v>419</v>
      </c>
      <c r="E158" s="7">
        <f>5800+812+812</f>
        <v>7424</v>
      </c>
      <c r="F158" s="5" t="s">
        <v>14</v>
      </c>
      <c r="G158" s="5"/>
      <c r="H158" s="5"/>
      <c r="I158" s="5"/>
      <c r="J158" s="14">
        <v>28</v>
      </c>
      <c r="K158" s="138">
        <v>5800</v>
      </c>
      <c r="L158" s="136">
        <v>0</v>
      </c>
      <c r="M158" s="136">
        <v>812</v>
      </c>
      <c r="N158" s="136">
        <v>812</v>
      </c>
      <c r="O158" s="5"/>
      <c r="P158" s="5"/>
      <c r="Q158" s="5"/>
      <c r="R158" s="5">
        <v>3727171</v>
      </c>
      <c r="S158" s="17" t="s">
        <v>198</v>
      </c>
      <c r="T158" s="5" t="s">
        <v>197</v>
      </c>
      <c r="U158" s="7">
        <v>0</v>
      </c>
      <c r="V158" s="7">
        <v>0</v>
      </c>
      <c r="W158" s="7">
        <f t="shared" si="22"/>
        <v>0</v>
      </c>
      <c r="X158" s="7">
        <v>40</v>
      </c>
    </row>
    <row r="159" spans="1:28" x14ac:dyDescent="0.3">
      <c r="A159" s="5" t="s">
        <v>196</v>
      </c>
      <c r="B159" s="5" t="s">
        <v>195</v>
      </c>
      <c r="C159" s="5">
        <v>7887674210</v>
      </c>
      <c r="D159" s="5" t="s">
        <v>419</v>
      </c>
      <c r="E159" s="7">
        <v>23600</v>
      </c>
      <c r="F159" s="5" t="s">
        <v>14</v>
      </c>
      <c r="G159" s="5"/>
      <c r="H159" s="5"/>
      <c r="I159" s="5"/>
      <c r="J159" s="14">
        <v>18</v>
      </c>
      <c r="K159" s="138">
        <v>20000</v>
      </c>
      <c r="L159" s="136">
        <v>0</v>
      </c>
      <c r="M159" s="136">
        <v>1800</v>
      </c>
      <c r="N159" s="136">
        <v>1800</v>
      </c>
      <c r="O159" s="5"/>
      <c r="P159" s="5"/>
      <c r="Q159" s="5"/>
      <c r="R159" s="5">
        <v>39119090</v>
      </c>
      <c r="S159" s="17" t="s">
        <v>198</v>
      </c>
      <c r="T159" s="5" t="s">
        <v>197</v>
      </c>
      <c r="U159" s="7">
        <v>0</v>
      </c>
      <c r="V159" s="7">
        <v>0</v>
      </c>
      <c r="W159" s="7">
        <f t="shared" si="22"/>
        <v>0</v>
      </c>
      <c r="X159" s="7">
        <v>40</v>
      </c>
    </row>
    <row r="160" spans="1:28" x14ac:dyDescent="0.3">
      <c r="A160" s="5" t="s">
        <v>196</v>
      </c>
      <c r="B160" s="5" t="s">
        <v>195</v>
      </c>
      <c r="C160" s="5">
        <v>7887674242</v>
      </c>
      <c r="D160" s="5" t="s">
        <v>419</v>
      </c>
      <c r="E160" s="7">
        <f>25600+3584+3584</f>
        <v>32768</v>
      </c>
      <c r="F160" s="5" t="s">
        <v>14</v>
      </c>
      <c r="G160" s="5"/>
      <c r="H160" s="5"/>
      <c r="I160" s="5"/>
      <c r="J160" s="14">
        <v>28</v>
      </c>
      <c r="K160" s="138">
        <v>25600</v>
      </c>
      <c r="L160" s="136">
        <v>0</v>
      </c>
      <c r="M160" s="136">
        <v>3584</v>
      </c>
      <c r="N160" s="136">
        <v>3584</v>
      </c>
      <c r="O160" s="5"/>
      <c r="P160" s="5"/>
      <c r="Q160" s="5"/>
      <c r="R160" s="5">
        <v>32089090</v>
      </c>
      <c r="S160" s="17" t="s">
        <v>198</v>
      </c>
      <c r="T160" s="5" t="s">
        <v>197</v>
      </c>
      <c r="U160" s="7">
        <v>0</v>
      </c>
      <c r="V160" s="7">
        <v>0</v>
      </c>
      <c r="W160" s="7">
        <f t="shared" si="22"/>
        <v>0</v>
      </c>
      <c r="X160" s="7">
        <v>40</v>
      </c>
      <c r="Y160">
        <f t="shared" ref="Y160:Y161" si="27">+K160/100*9</f>
        <v>2304</v>
      </c>
      <c r="Z160">
        <f t="shared" ref="Z160:Z161" si="28">+K160/100*9</f>
        <v>2304</v>
      </c>
      <c r="AA160" s="129">
        <f t="shared" ref="AA160:AA161" si="29">+Y160-M160</f>
        <v>-1280</v>
      </c>
      <c r="AB160" s="129">
        <f t="shared" ref="AB160:AB161" si="30">+N160-Z160</f>
        <v>1280</v>
      </c>
    </row>
    <row r="161" spans="1:28" x14ac:dyDescent="0.3">
      <c r="A161" s="5" t="s">
        <v>196</v>
      </c>
      <c r="B161" s="5" t="s">
        <v>195</v>
      </c>
      <c r="C161" s="5">
        <v>7887674242</v>
      </c>
      <c r="D161" s="5" t="s">
        <v>419</v>
      </c>
      <c r="E161" s="7">
        <f>29080+4071.2+4071.2</f>
        <v>37222.399999999994</v>
      </c>
      <c r="F161" s="5" t="s">
        <v>14</v>
      </c>
      <c r="G161" s="5"/>
      <c r="H161" s="5"/>
      <c r="I161" s="5"/>
      <c r="J161" s="14">
        <v>28</v>
      </c>
      <c r="K161" s="138">
        <v>29080</v>
      </c>
      <c r="L161" s="136">
        <v>0</v>
      </c>
      <c r="M161" s="136">
        <v>4071.2000000000003</v>
      </c>
      <c r="N161" s="136">
        <v>4071.2000000000003</v>
      </c>
      <c r="O161" s="5"/>
      <c r="P161" s="5"/>
      <c r="Q161" s="5"/>
      <c r="R161" s="5">
        <v>32082090</v>
      </c>
      <c r="S161" s="17" t="s">
        <v>198</v>
      </c>
      <c r="T161" s="5" t="s">
        <v>197</v>
      </c>
      <c r="U161" s="7">
        <v>0</v>
      </c>
      <c r="V161" s="7">
        <v>0</v>
      </c>
      <c r="W161" s="7">
        <f t="shared" si="22"/>
        <v>0</v>
      </c>
      <c r="X161" s="7">
        <v>40</v>
      </c>
      <c r="Y161">
        <f t="shared" si="27"/>
        <v>2617.2000000000003</v>
      </c>
      <c r="Z161">
        <f t="shared" si="28"/>
        <v>2617.2000000000003</v>
      </c>
      <c r="AA161" s="129">
        <f t="shared" si="29"/>
        <v>-1454</v>
      </c>
      <c r="AB161" s="129">
        <f t="shared" si="30"/>
        <v>1454</v>
      </c>
    </row>
    <row r="162" spans="1:28" x14ac:dyDescent="0.3">
      <c r="A162" s="5" t="s">
        <v>196</v>
      </c>
      <c r="B162" s="5" t="s">
        <v>195</v>
      </c>
      <c r="C162" s="5">
        <v>7887674242</v>
      </c>
      <c r="D162" s="5" t="s">
        <v>419</v>
      </c>
      <c r="E162" s="7">
        <f>2900+406+406</f>
        <v>3712</v>
      </c>
      <c r="F162" s="5" t="s">
        <v>14</v>
      </c>
      <c r="G162" s="5"/>
      <c r="H162" s="5"/>
      <c r="I162" s="5"/>
      <c r="J162" s="14">
        <v>28</v>
      </c>
      <c r="K162" s="138">
        <v>2900</v>
      </c>
      <c r="L162" s="136">
        <v>0</v>
      </c>
      <c r="M162" s="136">
        <v>406</v>
      </c>
      <c r="N162" s="136">
        <v>406</v>
      </c>
      <c r="O162" s="5"/>
      <c r="P162" s="5"/>
      <c r="Q162" s="5"/>
      <c r="R162" s="5">
        <v>38140010</v>
      </c>
      <c r="S162" s="17" t="s">
        <v>198</v>
      </c>
      <c r="T162" s="5" t="s">
        <v>197</v>
      </c>
      <c r="U162" s="7">
        <v>0</v>
      </c>
      <c r="V162" s="7">
        <v>0</v>
      </c>
      <c r="W162" s="7">
        <f t="shared" si="22"/>
        <v>0</v>
      </c>
      <c r="X162" s="7">
        <v>20</v>
      </c>
    </row>
    <row r="163" spans="1:28" x14ac:dyDescent="0.3">
      <c r="A163" s="5" t="s">
        <v>196</v>
      </c>
      <c r="B163" s="5" t="s">
        <v>195</v>
      </c>
      <c r="C163" s="5">
        <v>7887674243</v>
      </c>
      <c r="D163" s="5" t="s">
        <v>419</v>
      </c>
      <c r="E163" s="7">
        <v>18648.72</v>
      </c>
      <c r="F163" s="5" t="s">
        <v>14</v>
      </c>
      <c r="G163" s="5"/>
      <c r="H163" s="5"/>
      <c r="I163" s="5"/>
      <c r="J163" s="14">
        <v>18</v>
      </c>
      <c r="K163" s="138">
        <v>15804</v>
      </c>
      <c r="L163" s="136">
        <v>0</v>
      </c>
      <c r="M163" s="136">
        <v>1422.36</v>
      </c>
      <c r="N163" s="136">
        <v>1422.36</v>
      </c>
      <c r="O163" s="5"/>
      <c r="P163" s="5"/>
      <c r="Q163" s="5"/>
      <c r="R163" s="5">
        <v>39119090</v>
      </c>
      <c r="S163" s="17" t="s">
        <v>198</v>
      </c>
      <c r="T163" s="5" t="s">
        <v>197</v>
      </c>
      <c r="U163" s="7">
        <v>0</v>
      </c>
      <c r="V163" s="7">
        <v>0</v>
      </c>
      <c r="W163" s="7">
        <f t="shared" si="22"/>
        <v>0</v>
      </c>
      <c r="X163" s="7">
        <f>16+6</f>
        <v>22</v>
      </c>
    </row>
    <row r="164" spans="1:28" x14ac:dyDescent="0.3">
      <c r="A164" s="5" t="s">
        <v>402</v>
      </c>
      <c r="B164" s="5" t="s">
        <v>403</v>
      </c>
      <c r="C164" s="5">
        <v>96</v>
      </c>
      <c r="D164" s="5" t="s">
        <v>401</v>
      </c>
      <c r="E164" s="7">
        <v>944</v>
      </c>
      <c r="F164" s="5" t="s">
        <v>14</v>
      </c>
      <c r="G164" s="5" t="s">
        <v>11</v>
      </c>
      <c r="H164" s="5" t="s">
        <v>12</v>
      </c>
      <c r="I164" s="5"/>
      <c r="J164" s="14">
        <v>18</v>
      </c>
      <c r="K164" s="138">
        <v>800</v>
      </c>
      <c r="L164" s="136">
        <v>0</v>
      </c>
      <c r="M164" s="136">
        <v>72</v>
      </c>
      <c r="N164" s="136">
        <v>72</v>
      </c>
      <c r="O164" s="5"/>
      <c r="P164" s="5" t="s">
        <v>350</v>
      </c>
      <c r="Q164" s="5" t="s">
        <v>342</v>
      </c>
      <c r="R164" s="5">
        <v>998531</v>
      </c>
      <c r="S164" s="17" t="s">
        <v>456</v>
      </c>
      <c r="T164" s="5" t="s">
        <v>13</v>
      </c>
      <c r="U164" s="7">
        <v>0</v>
      </c>
      <c r="V164" s="7">
        <v>0</v>
      </c>
      <c r="W164" s="7">
        <f t="shared" si="22"/>
        <v>0</v>
      </c>
      <c r="X164" s="7">
        <v>1</v>
      </c>
    </row>
    <row r="165" spans="1:28" x14ac:dyDescent="0.3">
      <c r="A165" s="5" t="s">
        <v>402</v>
      </c>
      <c r="B165" s="5" t="s">
        <v>403</v>
      </c>
      <c r="C165" s="5">
        <v>185</v>
      </c>
      <c r="D165" s="5" t="s">
        <v>433</v>
      </c>
      <c r="E165" s="7">
        <v>1770</v>
      </c>
      <c r="F165" s="5" t="s">
        <v>14</v>
      </c>
      <c r="G165" s="5"/>
      <c r="H165" s="5"/>
      <c r="I165" s="5"/>
      <c r="J165" s="14">
        <v>18</v>
      </c>
      <c r="K165" s="138">
        <v>1500</v>
      </c>
      <c r="L165" s="136">
        <v>0</v>
      </c>
      <c r="M165" s="136">
        <v>135</v>
      </c>
      <c r="N165" s="136">
        <v>135</v>
      </c>
      <c r="O165" s="5"/>
      <c r="P165" s="5"/>
      <c r="Q165" s="5"/>
      <c r="R165" s="5">
        <v>998531</v>
      </c>
      <c r="S165" s="17" t="s">
        <v>456</v>
      </c>
      <c r="T165" s="5" t="s">
        <v>13</v>
      </c>
      <c r="U165" s="7">
        <v>0</v>
      </c>
      <c r="V165" s="7">
        <v>0</v>
      </c>
      <c r="W165" s="7">
        <f t="shared" si="22"/>
        <v>0</v>
      </c>
      <c r="X165" s="7">
        <v>1</v>
      </c>
    </row>
    <row r="166" spans="1:28" x14ac:dyDescent="0.3">
      <c r="A166" s="5" t="s">
        <v>206</v>
      </c>
      <c r="B166" s="5" t="s">
        <v>205</v>
      </c>
      <c r="C166" s="5">
        <v>594</v>
      </c>
      <c r="D166" s="5" t="s">
        <v>368</v>
      </c>
      <c r="E166" s="7">
        <v>22400</v>
      </c>
      <c r="F166" s="5" t="s">
        <v>14</v>
      </c>
      <c r="G166" s="5" t="s">
        <v>11</v>
      </c>
      <c r="H166" s="5" t="s">
        <v>12</v>
      </c>
      <c r="I166" s="5"/>
      <c r="J166" s="14">
        <v>28</v>
      </c>
      <c r="K166" s="138">
        <v>17500</v>
      </c>
      <c r="L166" s="136">
        <v>0</v>
      </c>
      <c r="M166" s="136">
        <v>2450</v>
      </c>
      <c r="N166" s="136">
        <v>2450</v>
      </c>
      <c r="O166" s="5"/>
      <c r="P166" s="5" t="s">
        <v>350</v>
      </c>
      <c r="Q166" s="5" t="s">
        <v>342</v>
      </c>
      <c r="R166" s="5">
        <v>32082090</v>
      </c>
      <c r="S166" s="17" t="s">
        <v>198</v>
      </c>
      <c r="T166" s="5" t="s">
        <v>207</v>
      </c>
      <c r="U166" s="7">
        <v>0</v>
      </c>
      <c r="V166" s="7">
        <v>0</v>
      </c>
      <c r="W166" s="7">
        <f t="shared" si="22"/>
        <v>0</v>
      </c>
      <c r="X166" s="7">
        <v>100</v>
      </c>
    </row>
    <row r="167" spans="1:28" x14ac:dyDescent="0.3">
      <c r="A167" s="5" t="s">
        <v>206</v>
      </c>
      <c r="B167" s="5" t="s">
        <v>205</v>
      </c>
      <c r="C167" s="5">
        <v>924</v>
      </c>
      <c r="D167" s="5" t="s">
        <v>404</v>
      </c>
      <c r="E167" s="7">
        <v>33664</v>
      </c>
      <c r="F167" s="5" t="s">
        <v>14</v>
      </c>
      <c r="G167" s="5" t="s">
        <v>11</v>
      </c>
      <c r="H167" s="5" t="s">
        <v>12</v>
      </c>
      <c r="I167" s="5"/>
      <c r="J167" s="14">
        <v>28</v>
      </c>
      <c r="K167" s="138">
        <v>26300</v>
      </c>
      <c r="L167" s="136">
        <v>0</v>
      </c>
      <c r="M167" s="136">
        <v>3682</v>
      </c>
      <c r="N167" s="136">
        <v>3682</v>
      </c>
      <c r="O167" s="5"/>
      <c r="P167" s="5" t="s">
        <v>350</v>
      </c>
      <c r="Q167" s="5" t="s">
        <v>342</v>
      </c>
      <c r="R167" s="5">
        <v>32082090</v>
      </c>
      <c r="S167" s="17" t="s">
        <v>198</v>
      </c>
      <c r="T167" s="5" t="s">
        <v>207</v>
      </c>
      <c r="U167" s="7">
        <v>0</v>
      </c>
      <c r="V167" s="7">
        <v>0</v>
      </c>
      <c r="W167" s="7">
        <f t="shared" si="22"/>
        <v>0</v>
      </c>
      <c r="X167" s="7">
        <f>100+25+25</f>
        <v>150</v>
      </c>
    </row>
    <row r="168" spans="1:28" x14ac:dyDescent="0.3">
      <c r="A168" s="5" t="s">
        <v>206</v>
      </c>
      <c r="B168" s="5" t="s">
        <v>205</v>
      </c>
      <c r="C168" s="5">
        <v>985</v>
      </c>
      <c r="D168" s="5" t="s">
        <v>406</v>
      </c>
      <c r="E168" s="7">
        <v>5376</v>
      </c>
      <c r="F168" s="5" t="s">
        <v>14</v>
      </c>
      <c r="G168" s="5" t="s">
        <v>11</v>
      </c>
      <c r="H168" s="5" t="s">
        <v>12</v>
      </c>
      <c r="I168" s="5"/>
      <c r="J168" s="14">
        <v>28</v>
      </c>
      <c r="K168" s="138">
        <v>4200</v>
      </c>
      <c r="L168" s="136">
        <v>0</v>
      </c>
      <c r="M168" s="136">
        <v>588</v>
      </c>
      <c r="N168" s="136">
        <v>588</v>
      </c>
      <c r="O168" s="5"/>
      <c r="P168" s="5" t="s">
        <v>350</v>
      </c>
      <c r="Q168" s="5" t="s">
        <v>342</v>
      </c>
      <c r="R168" s="5">
        <v>32082090</v>
      </c>
      <c r="S168" s="17" t="s">
        <v>198</v>
      </c>
      <c r="T168" s="5" t="s">
        <v>207</v>
      </c>
      <c r="U168" s="7">
        <v>0</v>
      </c>
      <c r="V168" s="7">
        <v>0</v>
      </c>
      <c r="W168" s="7">
        <f t="shared" si="22"/>
        <v>0</v>
      </c>
      <c r="X168" s="7">
        <v>25</v>
      </c>
    </row>
    <row r="169" spans="1:28" x14ac:dyDescent="0.3">
      <c r="A169" s="5" t="s">
        <v>206</v>
      </c>
      <c r="B169" s="5" t="s">
        <v>205</v>
      </c>
      <c r="C169" s="5">
        <v>1103</v>
      </c>
      <c r="D169" s="5" t="s">
        <v>419</v>
      </c>
      <c r="E169" s="7">
        <v>11200</v>
      </c>
      <c r="F169" s="5" t="s">
        <v>14</v>
      </c>
      <c r="G169" s="5"/>
      <c r="H169" s="5"/>
      <c r="I169" s="5"/>
      <c r="J169" s="14">
        <v>28</v>
      </c>
      <c r="K169" s="138">
        <v>8750</v>
      </c>
      <c r="L169" s="136">
        <v>0</v>
      </c>
      <c r="M169" s="136">
        <v>1225</v>
      </c>
      <c r="N169" s="136">
        <v>1225</v>
      </c>
      <c r="O169" s="5"/>
      <c r="P169" s="5"/>
      <c r="Q169" s="5"/>
      <c r="R169" s="5">
        <v>32082090</v>
      </c>
      <c r="S169" s="17" t="s">
        <v>198</v>
      </c>
      <c r="T169" s="5" t="s">
        <v>207</v>
      </c>
      <c r="U169" s="7">
        <v>0</v>
      </c>
      <c r="V169" s="7">
        <v>0</v>
      </c>
      <c r="W169" s="7">
        <f t="shared" si="22"/>
        <v>0</v>
      </c>
      <c r="X169" s="7">
        <v>50</v>
      </c>
    </row>
    <row r="170" spans="1:28" x14ac:dyDescent="0.3">
      <c r="A170" s="5" t="s">
        <v>285</v>
      </c>
      <c r="B170" s="5" t="s">
        <v>284</v>
      </c>
      <c r="C170" s="5">
        <v>1242</v>
      </c>
      <c r="D170" s="5" t="s">
        <v>372</v>
      </c>
      <c r="E170" s="7">
        <v>19014.66</v>
      </c>
      <c r="F170" s="5" t="s">
        <v>14</v>
      </c>
      <c r="G170" s="5" t="s">
        <v>11</v>
      </c>
      <c r="H170" s="5" t="s">
        <v>12</v>
      </c>
      <c r="I170" s="5"/>
      <c r="J170" s="14">
        <v>28</v>
      </c>
      <c r="K170" s="138">
        <v>14855.2</v>
      </c>
      <c r="L170" s="136">
        <v>0</v>
      </c>
      <c r="M170" s="136">
        <v>2079.7280000000001</v>
      </c>
      <c r="N170" s="136">
        <v>2079.7280000000001</v>
      </c>
      <c r="O170" s="5"/>
      <c r="P170" s="5" t="s">
        <v>350</v>
      </c>
      <c r="Q170" s="5" t="s">
        <v>342</v>
      </c>
      <c r="R170" s="5">
        <v>87089900</v>
      </c>
      <c r="S170" s="17" t="s">
        <v>22</v>
      </c>
      <c r="T170" s="5" t="s">
        <v>13</v>
      </c>
      <c r="U170" s="7">
        <v>0</v>
      </c>
      <c r="V170" s="7">
        <v>0</v>
      </c>
      <c r="W170" s="7">
        <f t="shared" si="22"/>
        <v>0</v>
      </c>
      <c r="X170" s="7">
        <v>620</v>
      </c>
    </row>
    <row r="171" spans="1:28" x14ac:dyDescent="0.3">
      <c r="A171" s="5" t="s">
        <v>285</v>
      </c>
      <c r="B171" s="5" t="s">
        <v>284</v>
      </c>
      <c r="C171" s="5">
        <v>1258</v>
      </c>
      <c r="D171" s="5" t="s">
        <v>375</v>
      </c>
      <c r="E171" s="7">
        <v>889</v>
      </c>
      <c r="F171" s="5" t="s">
        <v>14</v>
      </c>
      <c r="G171" s="5" t="s">
        <v>11</v>
      </c>
      <c r="H171" s="5" t="s">
        <v>12</v>
      </c>
      <c r="I171" s="5"/>
      <c r="J171" s="14">
        <v>28</v>
      </c>
      <c r="K171" s="138">
        <v>694.84</v>
      </c>
      <c r="L171" s="136">
        <v>0</v>
      </c>
      <c r="M171" s="136">
        <v>97.277600000000007</v>
      </c>
      <c r="N171" s="136">
        <v>97.277600000000007</v>
      </c>
      <c r="O171" s="5"/>
      <c r="P171" s="5" t="s">
        <v>350</v>
      </c>
      <c r="Q171" s="5" t="s">
        <v>342</v>
      </c>
      <c r="R171" s="5">
        <v>87089900</v>
      </c>
      <c r="S171" s="17" t="s">
        <v>22</v>
      </c>
      <c r="T171" s="5" t="s">
        <v>13</v>
      </c>
      <c r="U171" s="7">
        <v>0</v>
      </c>
      <c r="V171" s="7">
        <v>0</v>
      </c>
      <c r="W171" s="7">
        <f t="shared" si="22"/>
        <v>0</v>
      </c>
      <c r="X171" s="7">
        <v>29</v>
      </c>
    </row>
    <row r="172" spans="1:28" x14ac:dyDescent="0.3">
      <c r="A172" s="5" t="s">
        <v>285</v>
      </c>
      <c r="B172" s="5" t="s">
        <v>284</v>
      </c>
      <c r="C172" s="5">
        <v>1626</v>
      </c>
      <c r="D172" s="5" t="s">
        <v>396</v>
      </c>
      <c r="E172" s="7">
        <v>33521</v>
      </c>
      <c r="F172" s="5" t="s">
        <v>14</v>
      </c>
      <c r="G172" s="5" t="s">
        <v>11</v>
      </c>
      <c r="H172" s="5" t="s">
        <v>12</v>
      </c>
      <c r="I172" s="5"/>
      <c r="J172" s="14">
        <v>28</v>
      </c>
      <c r="K172" s="138">
        <v>26188.28</v>
      </c>
      <c r="L172" s="136">
        <v>0</v>
      </c>
      <c r="M172" s="136">
        <v>3666.3591999999999</v>
      </c>
      <c r="N172" s="136">
        <v>3666.3591999999999</v>
      </c>
      <c r="O172" s="5"/>
      <c r="P172" s="5" t="s">
        <v>350</v>
      </c>
      <c r="Q172" s="5" t="s">
        <v>342</v>
      </c>
      <c r="R172" s="5">
        <v>87089900</v>
      </c>
      <c r="S172" s="17" t="s">
        <v>22</v>
      </c>
      <c r="T172" s="5" t="s">
        <v>13</v>
      </c>
      <c r="U172" s="7">
        <v>0</v>
      </c>
      <c r="V172" s="7">
        <v>0</v>
      </c>
      <c r="W172" s="7">
        <f t="shared" si="22"/>
        <v>0</v>
      </c>
      <c r="X172" s="7">
        <v>1093</v>
      </c>
      <c r="Y172">
        <f>+K172/100*9</f>
        <v>2356.9451999999997</v>
      </c>
      <c r="Z172">
        <f>+K172/100*9</f>
        <v>2356.9451999999997</v>
      </c>
      <c r="AA172" s="129">
        <f>+Y172-M172</f>
        <v>-1309.4140000000002</v>
      </c>
      <c r="AB172" s="129">
        <f>+N172-Z172</f>
        <v>1309.4140000000002</v>
      </c>
    </row>
    <row r="173" spans="1:28" x14ac:dyDescent="0.3">
      <c r="A173" s="5" t="s">
        <v>217</v>
      </c>
      <c r="B173" s="5" t="s">
        <v>5</v>
      </c>
      <c r="C173" s="5">
        <v>2041005027</v>
      </c>
      <c r="D173" s="5" t="s">
        <v>361</v>
      </c>
      <c r="E173" s="7">
        <v>9529.36</v>
      </c>
      <c r="F173" s="5" t="s">
        <v>14</v>
      </c>
      <c r="G173" s="5" t="s">
        <v>11</v>
      </c>
      <c r="H173" s="5" t="s">
        <v>12</v>
      </c>
      <c r="I173" s="5"/>
      <c r="J173" s="14">
        <v>28</v>
      </c>
      <c r="K173" s="138">
        <v>7444.8</v>
      </c>
      <c r="L173" s="136">
        <v>0</v>
      </c>
      <c r="M173" s="136">
        <v>1042.2820000000002</v>
      </c>
      <c r="N173" s="136">
        <v>1042.2820000000002</v>
      </c>
      <c r="O173" s="5"/>
      <c r="P173" s="5" t="s">
        <v>350</v>
      </c>
      <c r="Q173" s="5" t="s">
        <v>342</v>
      </c>
      <c r="R173" s="5">
        <v>87141090</v>
      </c>
      <c r="S173" s="17" t="s">
        <v>22</v>
      </c>
      <c r="T173" s="5" t="s">
        <v>13</v>
      </c>
      <c r="U173" s="7">
        <v>0</v>
      </c>
      <c r="V173" s="7">
        <v>0</v>
      </c>
      <c r="W173" s="7">
        <f t="shared" si="22"/>
        <v>0</v>
      </c>
      <c r="X173" s="7">
        <v>360</v>
      </c>
    </row>
    <row r="174" spans="1:28" x14ac:dyDescent="0.3">
      <c r="A174" s="5" t="s">
        <v>217</v>
      </c>
      <c r="B174" s="5" t="s">
        <v>5</v>
      </c>
      <c r="C174" s="5">
        <v>2041005028</v>
      </c>
      <c r="D174" s="5" t="s">
        <v>361</v>
      </c>
      <c r="E174" s="7">
        <v>9529.36</v>
      </c>
      <c r="F174" s="5" t="s">
        <v>14</v>
      </c>
      <c r="G174" s="5" t="s">
        <v>11</v>
      </c>
      <c r="H174" s="5" t="s">
        <v>12</v>
      </c>
      <c r="I174" s="5"/>
      <c r="J174" s="14">
        <v>28</v>
      </c>
      <c r="K174" s="138">
        <v>7444.8</v>
      </c>
      <c r="L174" s="136">
        <v>0</v>
      </c>
      <c r="M174" s="136">
        <v>1042.2820000000002</v>
      </c>
      <c r="N174" s="136">
        <v>1042.2820000000002</v>
      </c>
      <c r="O174" s="5"/>
      <c r="P174" s="5" t="s">
        <v>350</v>
      </c>
      <c r="Q174" s="5" t="s">
        <v>342</v>
      </c>
      <c r="R174" s="5">
        <v>87141090</v>
      </c>
      <c r="S174" s="17" t="s">
        <v>22</v>
      </c>
      <c r="T174" s="5" t="s">
        <v>13</v>
      </c>
      <c r="U174" s="7">
        <v>0</v>
      </c>
      <c r="V174" s="7">
        <v>0</v>
      </c>
      <c r="W174" s="7">
        <f t="shared" si="22"/>
        <v>0</v>
      </c>
      <c r="X174" s="7">
        <v>360</v>
      </c>
    </row>
    <row r="175" spans="1:28" x14ac:dyDescent="0.3">
      <c r="A175" s="5" t="s">
        <v>217</v>
      </c>
      <c r="B175" s="5" t="s">
        <v>5</v>
      </c>
      <c r="C175" s="5">
        <v>2041005416</v>
      </c>
      <c r="D175" s="5" t="s">
        <v>368</v>
      </c>
      <c r="E175" s="7">
        <v>47462.400000000001</v>
      </c>
      <c r="F175" s="5" t="s">
        <v>14</v>
      </c>
      <c r="G175" s="5" t="s">
        <v>11</v>
      </c>
      <c r="H175" s="5" t="s">
        <v>12</v>
      </c>
      <c r="I175" s="5"/>
      <c r="J175" s="14">
        <v>28</v>
      </c>
      <c r="K175" s="138">
        <v>37080</v>
      </c>
      <c r="L175" s="136">
        <v>0</v>
      </c>
      <c r="M175" s="136">
        <v>5191.2</v>
      </c>
      <c r="N175" s="136">
        <v>5191.2</v>
      </c>
      <c r="O175" s="5"/>
      <c r="P175" s="5" t="s">
        <v>350</v>
      </c>
      <c r="Q175" s="5" t="s">
        <v>342</v>
      </c>
      <c r="R175" s="5">
        <v>87141090</v>
      </c>
      <c r="S175" s="17" t="s">
        <v>22</v>
      </c>
      <c r="T175" s="5" t="s">
        <v>13</v>
      </c>
      <c r="U175" s="7">
        <v>0</v>
      </c>
      <c r="V175" s="7">
        <v>0</v>
      </c>
      <c r="W175" s="7">
        <f t="shared" si="22"/>
        <v>0</v>
      </c>
      <c r="X175" s="7">
        <v>1000</v>
      </c>
    </row>
    <row r="176" spans="1:28" x14ac:dyDescent="0.3">
      <c r="A176" s="5" t="s">
        <v>217</v>
      </c>
      <c r="B176" s="5" t="s">
        <v>5</v>
      </c>
      <c r="C176" s="5">
        <v>2041005782</v>
      </c>
      <c r="D176" s="5" t="s">
        <v>372</v>
      </c>
      <c r="E176" s="7">
        <v>9529.36</v>
      </c>
      <c r="F176" s="5" t="s">
        <v>14</v>
      </c>
      <c r="G176" s="5" t="s">
        <v>11</v>
      </c>
      <c r="H176" s="5" t="s">
        <v>12</v>
      </c>
      <c r="I176" s="5"/>
      <c r="J176" s="14">
        <v>28</v>
      </c>
      <c r="K176" s="138">
        <v>7444.8</v>
      </c>
      <c r="L176" s="136">
        <v>0</v>
      </c>
      <c r="M176" s="136">
        <v>1042.2820000000002</v>
      </c>
      <c r="N176" s="136">
        <v>1042.2820000000002</v>
      </c>
      <c r="O176" s="5"/>
      <c r="P176" s="5" t="s">
        <v>350</v>
      </c>
      <c r="Q176" s="5" t="s">
        <v>342</v>
      </c>
      <c r="R176" s="5">
        <v>87141090</v>
      </c>
      <c r="S176" s="17" t="s">
        <v>22</v>
      </c>
      <c r="T176" s="5" t="s">
        <v>13</v>
      </c>
      <c r="U176" s="7">
        <v>0</v>
      </c>
      <c r="V176" s="7">
        <v>0</v>
      </c>
      <c r="W176" s="7">
        <f t="shared" si="22"/>
        <v>0</v>
      </c>
      <c r="X176" s="7">
        <v>360</v>
      </c>
    </row>
    <row r="177" spans="1:28" x14ac:dyDescent="0.3">
      <c r="A177" s="5" t="s">
        <v>217</v>
      </c>
      <c r="B177" s="5" t="s">
        <v>5</v>
      </c>
      <c r="C177" s="5">
        <v>2041005783</v>
      </c>
      <c r="D177" s="5" t="s">
        <v>372</v>
      </c>
      <c r="E177" s="7">
        <v>9185.24</v>
      </c>
      <c r="F177" s="5" t="s">
        <v>14</v>
      </c>
      <c r="G177" s="5" t="s">
        <v>11</v>
      </c>
      <c r="H177" s="5" t="s">
        <v>12</v>
      </c>
      <c r="I177" s="5"/>
      <c r="J177" s="14">
        <v>28</v>
      </c>
      <c r="K177" s="138">
        <v>7175.96</v>
      </c>
      <c r="L177" s="136">
        <v>0</v>
      </c>
      <c r="M177" s="136">
        <v>1004.6444000000001</v>
      </c>
      <c r="N177" s="136">
        <v>1004.6444000000001</v>
      </c>
      <c r="O177" s="5"/>
      <c r="P177" s="5" t="s">
        <v>350</v>
      </c>
      <c r="Q177" s="5" t="s">
        <v>342</v>
      </c>
      <c r="R177" s="5">
        <v>87141090</v>
      </c>
      <c r="S177" s="17" t="s">
        <v>22</v>
      </c>
      <c r="T177" s="5" t="s">
        <v>13</v>
      </c>
      <c r="U177" s="7">
        <v>0</v>
      </c>
      <c r="V177" s="7">
        <v>0</v>
      </c>
      <c r="W177" s="7">
        <f t="shared" si="22"/>
        <v>0</v>
      </c>
      <c r="X177" s="7">
        <v>347</v>
      </c>
      <c r="Y177">
        <f t="shared" ref="Y177:Y178" si="31">+K177/100*9</f>
        <v>645.83640000000003</v>
      </c>
      <c r="Z177">
        <f t="shared" ref="Z177:Z178" si="32">+K177/100*9</f>
        <v>645.83640000000003</v>
      </c>
      <c r="AA177" s="129">
        <f t="shared" ref="AA177:AA178" si="33">+Y177-M177</f>
        <v>-358.80800000000011</v>
      </c>
      <c r="AB177" s="129">
        <f t="shared" ref="AB177:AB178" si="34">+N177-Z177</f>
        <v>358.80800000000011</v>
      </c>
    </row>
    <row r="178" spans="1:28" x14ac:dyDescent="0.3">
      <c r="A178" s="5" t="s">
        <v>217</v>
      </c>
      <c r="B178" s="5" t="s">
        <v>5</v>
      </c>
      <c r="C178" s="5">
        <v>2041005784</v>
      </c>
      <c r="D178" s="5" t="s">
        <v>372</v>
      </c>
      <c r="E178" s="7">
        <v>13094.4</v>
      </c>
      <c r="F178" s="5" t="s">
        <v>14</v>
      </c>
      <c r="G178" s="5" t="s">
        <v>11</v>
      </c>
      <c r="H178" s="5" t="s">
        <v>12</v>
      </c>
      <c r="I178" s="5"/>
      <c r="J178" s="14">
        <v>28</v>
      </c>
      <c r="K178" s="138">
        <v>10230</v>
      </c>
      <c r="L178" s="136">
        <v>0</v>
      </c>
      <c r="M178" s="136">
        <v>1432.2</v>
      </c>
      <c r="N178" s="136">
        <v>1432.2</v>
      </c>
      <c r="O178" s="5"/>
      <c r="P178" s="5" t="s">
        <v>350</v>
      </c>
      <c r="Q178" s="5" t="s">
        <v>342</v>
      </c>
      <c r="R178" s="5">
        <v>87141090</v>
      </c>
      <c r="S178" s="17" t="s">
        <v>22</v>
      </c>
      <c r="T178" s="5" t="s">
        <v>13</v>
      </c>
      <c r="U178" s="7">
        <v>0</v>
      </c>
      <c r="V178" s="7">
        <v>0</v>
      </c>
      <c r="W178" s="7">
        <f t="shared" si="22"/>
        <v>0</v>
      </c>
      <c r="X178" s="7">
        <v>200</v>
      </c>
      <c r="Y178">
        <f t="shared" si="31"/>
        <v>920.69999999999993</v>
      </c>
      <c r="Z178">
        <f t="shared" si="32"/>
        <v>920.69999999999993</v>
      </c>
      <c r="AA178" s="129">
        <f t="shared" si="33"/>
        <v>-511.50000000000011</v>
      </c>
      <c r="AB178" s="129">
        <f t="shared" si="34"/>
        <v>511.50000000000011</v>
      </c>
    </row>
    <row r="179" spans="1:28" x14ac:dyDescent="0.3">
      <c r="A179" s="5" t="s">
        <v>217</v>
      </c>
      <c r="B179" s="5" t="s">
        <v>5</v>
      </c>
      <c r="C179" s="5">
        <v>2041005785</v>
      </c>
      <c r="D179" s="5" t="s">
        <v>372</v>
      </c>
      <c r="E179" s="7">
        <v>10741.76</v>
      </c>
      <c r="F179" s="5" t="s">
        <v>14</v>
      </c>
      <c r="G179" s="5" t="s">
        <v>11</v>
      </c>
      <c r="H179" s="5" t="s">
        <v>12</v>
      </c>
      <c r="I179" s="5"/>
      <c r="J179" s="14">
        <v>28</v>
      </c>
      <c r="K179" s="138">
        <v>8392</v>
      </c>
      <c r="L179" s="136">
        <v>0</v>
      </c>
      <c r="M179" s="136">
        <v>1174.8800000000001</v>
      </c>
      <c r="N179" s="136">
        <v>1174.8800000000001</v>
      </c>
      <c r="O179" s="5"/>
      <c r="P179" s="5" t="s">
        <v>350</v>
      </c>
      <c r="Q179" s="5" t="s">
        <v>342</v>
      </c>
      <c r="R179" s="5">
        <v>39199090</v>
      </c>
      <c r="S179" s="17" t="s">
        <v>22</v>
      </c>
      <c r="T179" s="5" t="s">
        <v>13</v>
      </c>
      <c r="U179" s="7">
        <v>0</v>
      </c>
      <c r="V179" s="7">
        <v>0</v>
      </c>
      <c r="W179" s="7">
        <f t="shared" si="22"/>
        <v>0</v>
      </c>
      <c r="X179" s="7">
        <v>200</v>
      </c>
    </row>
    <row r="180" spans="1:28" x14ac:dyDescent="0.3">
      <c r="A180" s="5" t="s">
        <v>217</v>
      </c>
      <c r="B180" s="5" t="s">
        <v>5</v>
      </c>
      <c r="C180" s="5">
        <v>2041006841</v>
      </c>
      <c r="D180" s="5" t="s">
        <v>380</v>
      </c>
      <c r="E180" s="7">
        <v>15882.24</v>
      </c>
      <c r="F180" s="5" t="s">
        <v>14</v>
      </c>
      <c r="G180" s="5" t="s">
        <v>11</v>
      </c>
      <c r="H180" s="5" t="s">
        <v>12</v>
      </c>
      <c r="I180" s="5"/>
      <c r="J180" s="14">
        <v>28</v>
      </c>
      <c r="K180" s="138">
        <v>12408</v>
      </c>
      <c r="L180" s="136">
        <v>0</v>
      </c>
      <c r="M180" s="136">
        <v>1737.12</v>
      </c>
      <c r="N180" s="136">
        <v>1737.12</v>
      </c>
      <c r="O180" s="5"/>
      <c r="P180" s="5" t="s">
        <v>350</v>
      </c>
      <c r="Q180" s="5" t="s">
        <v>342</v>
      </c>
      <c r="R180" s="5">
        <v>87141090</v>
      </c>
      <c r="S180" s="17" t="s">
        <v>22</v>
      </c>
      <c r="T180" s="5" t="s">
        <v>13</v>
      </c>
      <c r="U180" s="7">
        <v>0</v>
      </c>
      <c r="V180" s="7">
        <v>0</v>
      </c>
      <c r="W180" s="7">
        <f t="shared" si="22"/>
        <v>0</v>
      </c>
      <c r="X180" s="7">
        <v>600</v>
      </c>
    </row>
    <row r="181" spans="1:28" x14ac:dyDescent="0.3">
      <c r="A181" s="5" t="s">
        <v>217</v>
      </c>
      <c r="B181" s="5" t="s">
        <v>5</v>
      </c>
      <c r="C181" s="5">
        <v>2041006842</v>
      </c>
      <c r="D181" s="5" t="s">
        <v>380</v>
      </c>
      <c r="E181" s="7">
        <v>15882.24</v>
      </c>
      <c r="F181" s="5" t="s">
        <v>14</v>
      </c>
      <c r="G181" s="5" t="s">
        <v>11</v>
      </c>
      <c r="H181" s="5" t="s">
        <v>12</v>
      </c>
      <c r="I181" s="5"/>
      <c r="J181" s="14">
        <v>28</v>
      </c>
      <c r="K181" s="138">
        <v>12408</v>
      </c>
      <c r="L181" s="136">
        <v>0</v>
      </c>
      <c r="M181" s="136">
        <v>1737.12</v>
      </c>
      <c r="N181" s="136">
        <v>1737.12</v>
      </c>
      <c r="O181" s="5"/>
      <c r="P181" s="5" t="s">
        <v>350</v>
      </c>
      <c r="Q181" s="5" t="s">
        <v>342</v>
      </c>
      <c r="R181" s="5">
        <v>87141090</v>
      </c>
      <c r="S181" s="17" t="s">
        <v>22</v>
      </c>
      <c r="T181" s="5" t="s">
        <v>13</v>
      </c>
      <c r="U181" s="7">
        <v>0</v>
      </c>
      <c r="V181" s="7">
        <v>0</v>
      </c>
      <c r="W181" s="7">
        <f t="shared" si="22"/>
        <v>0</v>
      </c>
      <c r="X181" s="7">
        <v>600</v>
      </c>
      <c r="Y181">
        <f>+K181/100*9</f>
        <v>1116.72</v>
      </c>
      <c r="Z181">
        <f>+K181/100*9</f>
        <v>1116.72</v>
      </c>
      <c r="AA181" s="129">
        <f>+Y181-M181</f>
        <v>-620.39999999999986</v>
      </c>
      <c r="AB181" s="129">
        <f>+N181-Z181</f>
        <v>620.39999999999986</v>
      </c>
    </row>
    <row r="182" spans="1:28" x14ac:dyDescent="0.3">
      <c r="A182" s="5" t="s">
        <v>217</v>
      </c>
      <c r="B182" s="5" t="s">
        <v>5</v>
      </c>
      <c r="C182" s="5">
        <v>2041006875</v>
      </c>
      <c r="D182" s="5" t="s">
        <v>380</v>
      </c>
      <c r="E182" s="7">
        <v>13289.48</v>
      </c>
      <c r="F182" s="5" t="s">
        <v>14</v>
      </c>
      <c r="G182" s="5" t="s">
        <v>11</v>
      </c>
      <c r="H182" s="5" t="s">
        <v>12</v>
      </c>
      <c r="I182" s="5"/>
      <c r="J182" s="14">
        <v>28</v>
      </c>
      <c r="K182" s="138">
        <v>10382.4</v>
      </c>
      <c r="L182" s="136">
        <v>0</v>
      </c>
      <c r="M182" s="136">
        <v>1453.5360000000001</v>
      </c>
      <c r="N182" s="136">
        <v>1453.5360000000001</v>
      </c>
      <c r="O182" s="5"/>
      <c r="P182" s="5" t="s">
        <v>350</v>
      </c>
      <c r="Q182" s="5" t="s">
        <v>342</v>
      </c>
      <c r="R182" s="5">
        <v>87141090</v>
      </c>
      <c r="S182" s="17" t="s">
        <v>22</v>
      </c>
      <c r="T182" s="5" t="s">
        <v>13</v>
      </c>
      <c r="U182" s="7">
        <v>0</v>
      </c>
      <c r="V182" s="7">
        <v>0</v>
      </c>
      <c r="W182" s="7">
        <f t="shared" si="22"/>
        <v>0</v>
      </c>
      <c r="X182" s="7">
        <f>140+140</f>
        <v>280</v>
      </c>
    </row>
    <row r="183" spans="1:28" x14ac:dyDescent="0.3">
      <c r="A183" s="5" t="s">
        <v>217</v>
      </c>
      <c r="B183" s="5" t="s">
        <v>5</v>
      </c>
      <c r="C183" s="5">
        <v>2041007187</v>
      </c>
      <c r="D183" s="5" t="s">
        <v>384</v>
      </c>
      <c r="E183" s="7">
        <v>13094.4</v>
      </c>
      <c r="F183" s="5" t="s">
        <v>14</v>
      </c>
      <c r="G183" s="5" t="s">
        <v>11</v>
      </c>
      <c r="H183" s="5" t="s">
        <v>12</v>
      </c>
      <c r="I183" s="5"/>
      <c r="J183" s="14">
        <v>28</v>
      </c>
      <c r="K183" s="138">
        <v>10230</v>
      </c>
      <c r="L183" s="136">
        <v>0</v>
      </c>
      <c r="M183" s="136">
        <v>1432.2</v>
      </c>
      <c r="N183" s="136">
        <v>1432.2</v>
      </c>
      <c r="O183" s="5"/>
      <c r="P183" s="5" t="s">
        <v>350</v>
      </c>
      <c r="Q183" s="5" t="s">
        <v>342</v>
      </c>
      <c r="R183" s="5">
        <v>87141090</v>
      </c>
      <c r="S183" s="17" t="s">
        <v>22</v>
      </c>
      <c r="T183" s="5" t="s">
        <v>13</v>
      </c>
      <c r="U183" s="7">
        <v>0</v>
      </c>
      <c r="V183" s="7">
        <v>0</v>
      </c>
      <c r="W183" s="7">
        <f t="shared" si="22"/>
        <v>0</v>
      </c>
      <c r="X183" s="7">
        <v>200</v>
      </c>
    </row>
    <row r="184" spans="1:28" x14ac:dyDescent="0.3">
      <c r="A184" s="5" t="s">
        <v>217</v>
      </c>
      <c r="B184" s="5" t="s">
        <v>5</v>
      </c>
      <c r="C184" s="5">
        <v>2041007188</v>
      </c>
      <c r="D184" s="5" t="s">
        <v>384</v>
      </c>
      <c r="E184" s="7">
        <v>10741.76</v>
      </c>
      <c r="F184" s="5" t="s">
        <v>14</v>
      </c>
      <c r="G184" s="5" t="s">
        <v>11</v>
      </c>
      <c r="H184" s="5" t="s">
        <v>12</v>
      </c>
      <c r="I184" s="5"/>
      <c r="J184" s="14">
        <v>28</v>
      </c>
      <c r="K184" s="138">
        <v>8392</v>
      </c>
      <c r="L184" s="136">
        <v>0</v>
      </c>
      <c r="M184" s="136">
        <v>1174.8800000000001</v>
      </c>
      <c r="N184" s="136">
        <v>1174.8800000000001</v>
      </c>
      <c r="O184" s="5"/>
      <c r="P184" s="5" t="s">
        <v>350</v>
      </c>
      <c r="Q184" s="5" t="s">
        <v>342</v>
      </c>
      <c r="R184" s="5">
        <v>39199090</v>
      </c>
      <c r="S184" s="17" t="s">
        <v>22</v>
      </c>
      <c r="T184" s="5" t="s">
        <v>13</v>
      </c>
      <c r="U184" s="7">
        <v>0</v>
      </c>
      <c r="V184" s="7">
        <v>0</v>
      </c>
      <c r="W184" s="7">
        <f t="shared" si="22"/>
        <v>0</v>
      </c>
      <c r="X184" s="7">
        <v>200</v>
      </c>
    </row>
    <row r="185" spans="1:28" x14ac:dyDescent="0.3">
      <c r="A185" s="5" t="s">
        <v>217</v>
      </c>
      <c r="B185" s="5" t="s">
        <v>5</v>
      </c>
      <c r="C185" s="5">
        <v>2041007295</v>
      </c>
      <c r="D185" s="5" t="s">
        <v>384</v>
      </c>
      <c r="E185" s="7">
        <v>7941.12</v>
      </c>
      <c r="F185" s="5" t="s">
        <v>14</v>
      </c>
      <c r="G185" s="5" t="s">
        <v>11</v>
      </c>
      <c r="H185" s="5" t="s">
        <v>12</v>
      </c>
      <c r="I185" s="5"/>
      <c r="J185" s="14">
        <v>28</v>
      </c>
      <c r="K185" s="138">
        <v>6204</v>
      </c>
      <c r="L185" s="136">
        <v>0</v>
      </c>
      <c r="M185" s="136">
        <v>868.56</v>
      </c>
      <c r="N185" s="136">
        <v>868.56</v>
      </c>
      <c r="O185" s="5"/>
      <c r="P185" s="5" t="s">
        <v>350</v>
      </c>
      <c r="Q185" s="5" t="s">
        <v>342</v>
      </c>
      <c r="R185" s="5">
        <v>87141090</v>
      </c>
      <c r="S185" s="17" t="s">
        <v>22</v>
      </c>
      <c r="T185" s="5" t="s">
        <v>13</v>
      </c>
      <c r="U185" s="7">
        <v>0</v>
      </c>
      <c r="V185" s="7">
        <v>0</v>
      </c>
      <c r="W185" s="7">
        <f t="shared" si="22"/>
        <v>0</v>
      </c>
      <c r="X185" s="7">
        <v>300</v>
      </c>
    </row>
    <row r="186" spans="1:28" x14ac:dyDescent="0.3">
      <c r="A186" s="5" t="s">
        <v>217</v>
      </c>
      <c r="B186" s="5" t="s">
        <v>5</v>
      </c>
      <c r="C186" s="5">
        <v>2041007296</v>
      </c>
      <c r="D186" s="5" t="s">
        <v>384</v>
      </c>
      <c r="E186" s="7">
        <v>7941.12</v>
      </c>
      <c r="F186" s="5" t="s">
        <v>14</v>
      </c>
      <c r="G186" s="5" t="s">
        <v>11</v>
      </c>
      <c r="H186" s="5" t="s">
        <v>12</v>
      </c>
      <c r="I186" s="5"/>
      <c r="J186" s="14">
        <v>28</v>
      </c>
      <c r="K186" s="138">
        <v>6204</v>
      </c>
      <c r="L186" s="136">
        <v>0</v>
      </c>
      <c r="M186" s="136">
        <v>868.56</v>
      </c>
      <c r="N186" s="136">
        <v>868.56</v>
      </c>
      <c r="O186" s="5"/>
      <c r="P186" s="5" t="s">
        <v>350</v>
      </c>
      <c r="Q186" s="5" t="s">
        <v>342</v>
      </c>
      <c r="R186" s="5">
        <v>87141090</v>
      </c>
      <c r="S186" s="17" t="s">
        <v>22</v>
      </c>
      <c r="T186" s="5" t="s">
        <v>13</v>
      </c>
      <c r="U186" s="7">
        <v>0</v>
      </c>
      <c r="V186" s="7">
        <v>0</v>
      </c>
      <c r="W186" s="7">
        <f t="shared" si="22"/>
        <v>0</v>
      </c>
      <c r="X186" s="7">
        <v>300</v>
      </c>
    </row>
    <row r="187" spans="1:28" x14ac:dyDescent="0.3">
      <c r="A187" s="5" t="s">
        <v>217</v>
      </c>
      <c r="B187" s="5" t="s">
        <v>5</v>
      </c>
      <c r="C187" s="5">
        <v>2041007776</v>
      </c>
      <c r="D187" s="5" t="s">
        <v>385</v>
      </c>
      <c r="E187" s="7">
        <v>21832.720000000001</v>
      </c>
      <c r="F187" s="5" t="s">
        <v>14</v>
      </c>
      <c r="G187" s="5" t="s">
        <v>11</v>
      </c>
      <c r="H187" s="5" t="s">
        <v>12</v>
      </c>
      <c r="I187" s="5"/>
      <c r="J187" s="14">
        <v>28</v>
      </c>
      <c r="K187" s="138">
        <v>17056.8</v>
      </c>
      <c r="L187" s="136">
        <v>0</v>
      </c>
      <c r="M187" s="136">
        <v>2387.962</v>
      </c>
      <c r="N187" s="136">
        <v>2387.962</v>
      </c>
      <c r="O187" s="5"/>
      <c r="P187" s="5" t="s">
        <v>350</v>
      </c>
      <c r="Q187" s="5" t="s">
        <v>342</v>
      </c>
      <c r="R187" s="5">
        <v>87141090</v>
      </c>
      <c r="S187" s="17" t="s">
        <v>22</v>
      </c>
      <c r="T187" s="5" t="s">
        <v>13</v>
      </c>
      <c r="U187" s="7">
        <v>0</v>
      </c>
      <c r="V187" s="7">
        <v>0</v>
      </c>
      <c r="W187" s="7">
        <f t="shared" si="22"/>
        <v>0</v>
      </c>
      <c r="X187" s="7">
        <f>230+230</f>
        <v>460</v>
      </c>
    </row>
    <row r="188" spans="1:28" x14ac:dyDescent="0.3">
      <c r="A188" s="5" t="s">
        <v>217</v>
      </c>
      <c r="B188" s="5" t="s">
        <v>5</v>
      </c>
      <c r="C188" s="5">
        <v>2041007919</v>
      </c>
      <c r="D188" s="5" t="s">
        <v>385</v>
      </c>
      <c r="E188" s="7">
        <v>12909.8</v>
      </c>
      <c r="F188" s="5" t="s">
        <v>14</v>
      </c>
      <c r="G188" s="5" t="s">
        <v>11</v>
      </c>
      <c r="H188" s="5" t="s">
        <v>12</v>
      </c>
      <c r="I188" s="5"/>
      <c r="J188" s="14">
        <v>28</v>
      </c>
      <c r="K188" s="138">
        <v>10085.76</v>
      </c>
      <c r="L188" s="136">
        <v>0</v>
      </c>
      <c r="M188" s="136">
        <v>1412.0164</v>
      </c>
      <c r="N188" s="136">
        <v>1412.0164</v>
      </c>
      <c r="O188" s="5"/>
      <c r="P188" s="5" t="s">
        <v>350</v>
      </c>
      <c r="Q188" s="5" t="s">
        <v>342</v>
      </c>
      <c r="R188" s="5">
        <v>87141090</v>
      </c>
      <c r="S188" s="17" t="s">
        <v>22</v>
      </c>
      <c r="T188" s="5" t="s">
        <v>13</v>
      </c>
      <c r="U188" s="7">
        <v>0</v>
      </c>
      <c r="V188" s="7">
        <v>0</v>
      </c>
      <c r="W188" s="7">
        <f t="shared" si="22"/>
        <v>0</v>
      </c>
      <c r="X188" s="7">
        <f>136+136</f>
        <v>272</v>
      </c>
      <c r="Y188">
        <f>+K188/100*9</f>
        <v>907.71840000000009</v>
      </c>
      <c r="Z188">
        <f>+K188/100*9</f>
        <v>907.71840000000009</v>
      </c>
      <c r="AA188" s="129">
        <f>+Y188-M188</f>
        <v>-504.29799999999989</v>
      </c>
      <c r="AB188" s="129">
        <f>+N188-Z188</f>
        <v>504.29799999999989</v>
      </c>
    </row>
    <row r="189" spans="1:28" x14ac:dyDescent="0.3">
      <c r="A189" s="5" t="s">
        <v>217</v>
      </c>
      <c r="B189" s="5" t="s">
        <v>5</v>
      </c>
      <c r="C189" s="5">
        <v>2041008738</v>
      </c>
      <c r="D189" s="5" t="s">
        <v>387</v>
      </c>
      <c r="E189" s="7">
        <v>13427.2</v>
      </c>
      <c r="F189" s="5" t="s">
        <v>14</v>
      </c>
      <c r="G189" s="5" t="s">
        <v>11</v>
      </c>
      <c r="H189" s="5" t="s">
        <v>12</v>
      </c>
      <c r="I189" s="5"/>
      <c r="J189" s="14">
        <v>28</v>
      </c>
      <c r="K189" s="138">
        <v>10490</v>
      </c>
      <c r="L189" s="136">
        <v>0</v>
      </c>
      <c r="M189" s="136">
        <v>1468.6000000000001</v>
      </c>
      <c r="N189" s="136">
        <v>1468.6000000000001</v>
      </c>
      <c r="O189" s="5"/>
      <c r="P189" s="5" t="s">
        <v>350</v>
      </c>
      <c r="Q189" s="5" t="s">
        <v>342</v>
      </c>
      <c r="R189" s="5">
        <v>39199090</v>
      </c>
      <c r="S189" s="17" t="s">
        <v>22</v>
      </c>
      <c r="T189" s="5" t="s">
        <v>13</v>
      </c>
      <c r="U189" s="7">
        <v>0</v>
      </c>
      <c r="V189" s="7">
        <v>0</v>
      </c>
      <c r="W189" s="7">
        <f t="shared" si="22"/>
        <v>0</v>
      </c>
      <c r="X189" s="7">
        <v>250</v>
      </c>
    </row>
    <row r="190" spans="1:28" x14ac:dyDescent="0.3">
      <c r="A190" s="5" t="s">
        <v>217</v>
      </c>
      <c r="B190" s="5" t="s">
        <v>5</v>
      </c>
      <c r="C190" s="5">
        <v>2041008737</v>
      </c>
      <c r="D190" s="5" t="s">
        <v>387</v>
      </c>
      <c r="E190" s="7">
        <v>16368</v>
      </c>
      <c r="F190" s="5" t="s">
        <v>14</v>
      </c>
      <c r="G190" s="5" t="s">
        <v>11</v>
      </c>
      <c r="H190" s="5" t="s">
        <v>12</v>
      </c>
      <c r="I190" s="5"/>
      <c r="J190" s="14">
        <v>28</v>
      </c>
      <c r="K190" s="138">
        <v>12787.5</v>
      </c>
      <c r="L190" s="136">
        <v>0</v>
      </c>
      <c r="M190" s="136">
        <v>1790.25</v>
      </c>
      <c r="N190" s="136">
        <v>1790.25</v>
      </c>
      <c r="O190" s="5"/>
      <c r="P190" s="5" t="s">
        <v>350</v>
      </c>
      <c r="Q190" s="5" t="s">
        <v>342</v>
      </c>
      <c r="R190" s="5">
        <v>87141090</v>
      </c>
      <c r="S190" s="17" t="s">
        <v>22</v>
      </c>
      <c r="T190" s="5" t="s">
        <v>13</v>
      </c>
      <c r="U190" s="7">
        <v>0</v>
      </c>
      <c r="V190" s="7">
        <v>0</v>
      </c>
      <c r="W190" s="7">
        <f t="shared" si="22"/>
        <v>0</v>
      </c>
      <c r="X190" s="7">
        <v>250</v>
      </c>
    </row>
    <row r="191" spans="1:28" x14ac:dyDescent="0.3">
      <c r="A191" s="5" t="s">
        <v>217</v>
      </c>
      <c r="B191" s="5" t="s">
        <v>5</v>
      </c>
      <c r="C191" s="5">
        <v>2041008736</v>
      </c>
      <c r="D191" s="5" t="s">
        <v>387</v>
      </c>
      <c r="E191" s="7">
        <v>33223.68</v>
      </c>
      <c r="F191" s="5" t="s">
        <v>14</v>
      </c>
      <c r="G191" s="5" t="s">
        <v>11</v>
      </c>
      <c r="H191" s="5" t="s">
        <v>12</v>
      </c>
      <c r="I191" s="5"/>
      <c r="J191" s="14">
        <v>28</v>
      </c>
      <c r="K191" s="138">
        <v>25956</v>
      </c>
      <c r="L191" s="136">
        <v>0</v>
      </c>
      <c r="M191" s="136">
        <v>3633.84</v>
      </c>
      <c r="N191" s="136">
        <v>3633.84</v>
      </c>
      <c r="O191" s="5"/>
      <c r="P191" s="5" t="s">
        <v>350</v>
      </c>
      <c r="Q191" s="5" t="s">
        <v>342</v>
      </c>
      <c r="R191" s="5">
        <v>87141090</v>
      </c>
      <c r="S191" s="17" t="s">
        <v>22</v>
      </c>
      <c r="T191" s="5" t="s">
        <v>13</v>
      </c>
      <c r="U191" s="7">
        <v>0</v>
      </c>
      <c r="V191" s="7">
        <v>0</v>
      </c>
      <c r="W191" s="7">
        <f t="shared" si="22"/>
        <v>0</v>
      </c>
      <c r="X191" s="7">
        <f>350+350</f>
        <v>700</v>
      </c>
    </row>
    <row r="192" spans="1:28" x14ac:dyDescent="0.3">
      <c r="A192" s="5" t="s">
        <v>217</v>
      </c>
      <c r="B192" s="5" t="s">
        <v>5</v>
      </c>
      <c r="C192" s="5">
        <v>2041009948</v>
      </c>
      <c r="D192" s="5" t="s">
        <v>392</v>
      </c>
      <c r="E192" s="7">
        <v>7941.12</v>
      </c>
      <c r="F192" s="5" t="s">
        <v>14</v>
      </c>
      <c r="G192" s="5" t="s">
        <v>11</v>
      </c>
      <c r="H192" s="5" t="s">
        <v>12</v>
      </c>
      <c r="I192" s="5"/>
      <c r="J192" s="14">
        <v>28</v>
      </c>
      <c r="K192" s="138">
        <v>6204</v>
      </c>
      <c r="L192" s="136">
        <v>0</v>
      </c>
      <c r="M192" s="136">
        <v>868.56</v>
      </c>
      <c r="N192" s="136">
        <v>868.56</v>
      </c>
      <c r="O192" s="5"/>
      <c r="P192" s="5" t="s">
        <v>350</v>
      </c>
      <c r="Q192" s="5" t="s">
        <v>342</v>
      </c>
      <c r="R192" s="5">
        <v>87141090</v>
      </c>
      <c r="S192" s="17" t="s">
        <v>22</v>
      </c>
      <c r="T192" s="5" t="s">
        <v>13</v>
      </c>
      <c r="U192" s="7">
        <v>0</v>
      </c>
      <c r="V192" s="7">
        <v>0</v>
      </c>
      <c r="W192" s="7">
        <f t="shared" si="22"/>
        <v>0</v>
      </c>
      <c r="X192" s="7">
        <v>300</v>
      </c>
    </row>
    <row r="193" spans="1:28" x14ac:dyDescent="0.3">
      <c r="A193" s="5" t="s">
        <v>217</v>
      </c>
      <c r="B193" s="5" t="s">
        <v>5</v>
      </c>
      <c r="C193" s="5">
        <v>2041009949</v>
      </c>
      <c r="D193" s="5" t="s">
        <v>392</v>
      </c>
      <c r="E193" s="7">
        <v>7941.12</v>
      </c>
      <c r="F193" s="5" t="s">
        <v>14</v>
      </c>
      <c r="G193" s="5" t="s">
        <v>11</v>
      </c>
      <c r="H193" s="5" t="s">
        <v>12</v>
      </c>
      <c r="I193" s="5"/>
      <c r="J193" s="14">
        <v>28</v>
      </c>
      <c r="K193" s="138">
        <v>6204</v>
      </c>
      <c r="L193" s="136">
        <v>0</v>
      </c>
      <c r="M193" s="136">
        <v>868.56</v>
      </c>
      <c r="N193" s="136">
        <v>868.56</v>
      </c>
      <c r="O193" s="5"/>
      <c r="P193" s="5" t="s">
        <v>350</v>
      </c>
      <c r="Q193" s="5" t="s">
        <v>342</v>
      </c>
      <c r="R193" s="5">
        <v>87141090</v>
      </c>
      <c r="S193" s="17" t="s">
        <v>22</v>
      </c>
      <c r="T193" s="5" t="s">
        <v>13</v>
      </c>
      <c r="U193" s="7">
        <v>0</v>
      </c>
      <c r="V193" s="7">
        <v>0</v>
      </c>
      <c r="W193" s="7">
        <f t="shared" si="22"/>
        <v>0</v>
      </c>
      <c r="X193" s="7">
        <v>300</v>
      </c>
    </row>
    <row r="194" spans="1:28" x14ac:dyDescent="0.3">
      <c r="A194" s="5" t="s">
        <v>217</v>
      </c>
      <c r="B194" s="5" t="s">
        <v>5</v>
      </c>
      <c r="C194" s="5">
        <v>2041010483</v>
      </c>
      <c r="D194" s="5" t="s">
        <v>395</v>
      </c>
      <c r="E194" s="7">
        <v>11130.24</v>
      </c>
      <c r="F194" s="5" t="s">
        <v>14</v>
      </c>
      <c r="G194" s="5" t="s">
        <v>11</v>
      </c>
      <c r="H194" s="5" t="s">
        <v>12</v>
      </c>
      <c r="I194" s="5"/>
      <c r="J194" s="14">
        <v>28</v>
      </c>
      <c r="K194" s="138">
        <v>8695.5</v>
      </c>
      <c r="L194" s="136">
        <v>0</v>
      </c>
      <c r="M194" s="136">
        <v>1217.3699999999999</v>
      </c>
      <c r="N194" s="136">
        <v>1217.3699999999999</v>
      </c>
      <c r="O194" s="5"/>
      <c r="P194" s="5" t="s">
        <v>350</v>
      </c>
      <c r="Q194" s="5" t="s">
        <v>342</v>
      </c>
      <c r="R194" s="5">
        <v>87141090</v>
      </c>
      <c r="S194" s="17" t="s">
        <v>22</v>
      </c>
      <c r="T194" s="5" t="s">
        <v>13</v>
      </c>
      <c r="U194" s="7">
        <v>0</v>
      </c>
      <c r="V194" s="7">
        <v>0</v>
      </c>
      <c r="W194" s="7">
        <f t="shared" si="22"/>
        <v>0</v>
      </c>
      <c r="X194" s="7">
        <v>170</v>
      </c>
    </row>
    <row r="195" spans="1:28" x14ac:dyDescent="0.3">
      <c r="A195" s="5" t="s">
        <v>217</v>
      </c>
      <c r="B195" s="5" t="s">
        <v>5</v>
      </c>
      <c r="C195" s="5">
        <v>2041010484</v>
      </c>
      <c r="D195" s="5" t="s">
        <v>395</v>
      </c>
      <c r="E195" s="7">
        <v>9130.5</v>
      </c>
      <c r="F195" s="5" t="s">
        <v>14</v>
      </c>
      <c r="G195" s="5" t="s">
        <v>11</v>
      </c>
      <c r="H195" s="5" t="s">
        <v>12</v>
      </c>
      <c r="I195" s="5"/>
      <c r="J195" s="14">
        <v>28</v>
      </c>
      <c r="K195" s="138">
        <v>7133.2</v>
      </c>
      <c r="L195" s="136">
        <v>0</v>
      </c>
      <c r="M195" s="136">
        <v>998.64799999999991</v>
      </c>
      <c r="N195" s="136">
        <v>998.64799999999991</v>
      </c>
      <c r="O195" s="5"/>
      <c r="P195" s="5" t="s">
        <v>350</v>
      </c>
      <c r="Q195" s="5" t="s">
        <v>342</v>
      </c>
      <c r="R195" s="5">
        <v>39199090</v>
      </c>
      <c r="S195" s="17" t="s">
        <v>22</v>
      </c>
      <c r="T195" s="5" t="s">
        <v>13</v>
      </c>
      <c r="U195" s="7">
        <v>0</v>
      </c>
      <c r="V195" s="7">
        <v>0</v>
      </c>
      <c r="W195" s="7">
        <f t="shared" si="22"/>
        <v>0</v>
      </c>
      <c r="X195" s="7">
        <v>170</v>
      </c>
    </row>
    <row r="196" spans="1:28" x14ac:dyDescent="0.3">
      <c r="A196" s="5" t="s">
        <v>217</v>
      </c>
      <c r="B196" s="5" t="s">
        <v>5</v>
      </c>
      <c r="C196" s="5">
        <v>2041010386</v>
      </c>
      <c r="D196" s="5" t="s">
        <v>395</v>
      </c>
      <c r="E196" s="7">
        <v>49835.519999999997</v>
      </c>
      <c r="F196" s="5" t="s">
        <v>14</v>
      </c>
      <c r="G196" s="5" t="s">
        <v>11</v>
      </c>
      <c r="H196" s="5" t="s">
        <v>12</v>
      </c>
      <c r="I196" s="5"/>
      <c r="J196" s="14">
        <v>28</v>
      </c>
      <c r="K196" s="138">
        <v>38934</v>
      </c>
      <c r="L196" s="136">
        <v>0</v>
      </c>
      <c r="M196" s="136">
        <v>5450.7599999999993</v>
      </c>
      <c r="N196" s="136">
        <v>5450.7599999999993</v>
      </c>
      <c r="O196" s="5"/>
      <c r="P196" s="5" t="s">
        <v>350</v>
      </c>
      <c r="Q196" s="5" t="s">
        <v>342</v>
      </c>
      <c r="R196" s="5">
        <v>87141090</v>
      </c>
      <c r="S196" s="17" t="s">
        <v>22</v>
      </c>
      <c r="T196" s="5" t="s">
        <v>13</v>
      </c>
      <c r="U196" s="7">
        <v>0</v>
      </c>
      <c r="V196" s="7">
        <v>0</v>
      </c>
      <c r="W196" s="7">
        <f t="shared" si="22"/>
        <v>0</v>
      </c>
      <c r="X196" s="7">
        <f>525+525</f>
        <v>1050</v>
      </c>
    </row>
    <row r="197" spans="1:28" x14ac:dyDescent="0.3">
      <c r="A197" s="5" t="s">
        <v>217</v>
      </c>
      <c r="B197" s="5" t="s">
        <v>5</v>
      </c>
      <c r="C197" s="5">
        <v>2041010780</v>
      </c>
      <c r="D197" s="5" t="s">
        <v>396</v>
      </c>
      <c r="E197" s="7">
        <v>6352.9</v>
      </c>
      <c r="F197" s="5" t="s">
        <v>14</v>
      </c>
      <c r="G197" s="5" t="s">
        <v>11</v>
      </c>
      <c r="H197" s="5" t="s">
        <v>12</v>
      </c>
      <c r="I197" s="5"/>
      <c r="J197" s="14">
        <v>28</v>
      </c>
      <c r="K197" s="138">
        <v>4963.2</v>
      </c>
      <c r="L197" s="136">
        <v>0</v>
      </c>
      <c r="M197" s="136">
        <v>694.84799999999996</v>
      </c>
      <c r="N197" s="136">
        <v>694.84799999999996</v>
      </c>
      <c r="O197" s="5"/>
      <c r="P197" s="5" t="s">
        <v>350</v>
      </c>
      <c r="Q197" s="5" t="s">
        <v>342</v>
      </c>
      <c r="R197" s="5">
        <v>87141090</v>
      </c>
      <c r="S197" s="17" t="s">
        <v>22</v>
      </c>
      <c r="T197" s="5" t="s">
        <v>13</v>
      </c>
      <c r="U197" s="7">
        <v>0</v>
      </c>
      <c r="V197" s="7">
        <v>0</v>
      </c>
      <c r="W197" s="7">
        <f t="shared" si="22"/>
        <v>0</v>
      </c>
      <c r="X197" s="7">
        <v>240</v>
      </c>
    </row>
    <row r="198" spans="1:28" x14ac:dyDescent="0.3">
      <c r="A198" s="5" t="s">
        <v>217</v>
      </c>
      <c r="B198" s="5" t="s">
        <v>5</v>
      </c>
      <c r="C198" s="5">
        <v>2041010781</v>
      </c>
      <c r="D198" s="5" t="s">
        <v>396</v>
      </c>
      <c r="E198" s="7">
        <v>6352.9</v>
      </c>
      <c r="F198" s="5" t="s">
        <v>14</v>
      </c>
      <c r="G198" s="5" t="s">
        <v>11</v>
      </c>
      <c r="H198" s="5" t="s">
        <v>12</v>
      </c>
      <c r="I198" s="5"/>
      <c r="J198" s="14">
        <v>28</v>
      </c>
      <c r="K198" s="138">
        <v>4963.2</v>
      </c>
      <c r="L198" s="136">
        <v>0</v>
      </c>
      <c r="M198" s="136">
        <v>694.84799999999996</v>
      </c>
      <c r="N198" s="136">
        <v>694.84799999999996</v>
      </c>
      <c r="O198" s="5"/>
      <c r="P198" s="5" t="s">
        <v>350</v>
      </c>
      <c r="Q198" s="5" t="s">
        <v>342</v>
      </c>
      <c r="R198" s="5">
        <v>87141090</v>
      </c>
      <c r="S198" s="17" t="s">
        <v>22</v>
      </c>
      <c r="T198" s="5" t="s">
        <v>13</v>
      </c>
      <c r="U198" s="7">
        <v>0</v>
      </c>
      <c r="V198" s="7">
        <v>0</v>
      </c>
      <c r="W198" s="7">
        <f t="shared" si="22"/>
        <v>0</v>
      </c>
      <c r="X198" s="7">
        <v>240</v>
      </c>
    </row>
    <row r="199" spans="1:28" x14ac:dyDescent="0.3">
      <c r="A199" s="5" t="s">
        <v>217</v>
      </c>
      <c r="B199" s="5" t="s">
        <v>5</v>
      </c>
      <c r="C199" s="5">
        <v>2041011401</v>
      </c>
      <c r="D199" s="5" t="s">
        <v>398</v>
      </c>
      <c r="E199" s="7">
        <v>3176.46</v>
      </c>
      <c r="F199" s="5" t="s">
        <v>14</v>
      </c>
      <c r="G199" s="5" t="s">
        <v>11</v>
      </c>
      <c r="H199" s="5" t="s">
        <v>12</v>
      </c>
      <c r="I199" s="5"/>
      <c r="J199" s="14">
        <v>28</v>
      </c>
      <c r="K199" s="138">
        <v>2481.6</v>
      </c>
      <c r="L199" s="136">
        <v>0</v>
      </c>
      <c r="M199" s="136">
        <v>347.43399999999997</v>
      </c>
      <c r="N199" s="136">
        <v>347.43399999999997</v>
      </c>
      <c r="O199" s="5"/>
      <c r="P199" s="5" t="s">
        <v>350</v>
      </c>
      <c r="Q199" s="5" t="s">
        <v>342</v>
      </c>
      <c r="R199" s="5">
        <v>87141090</v>
      </c>
      <c r="S199" s="17" t="s">
        <v>22</v>
      </c>
      <c r="T199" s="5" t="s">
        <v>13</v>
      </c>
      <c r="U199" s="7">
        <v>0</v>
      </c>
      <c r="V199" s="7">
        <v>0</v>
      </c>
      <c r="W199" s="7">
        <f t="shared" ref="W199:W262" si="35">+U199-V199</f>
        <v>0</v>
      </c>
      <c r="X199" s="7">
        <v>120</v>
      </c>
    </row>
    <row r="200" spans="1:28" x14ac:dyDescent="0.3">
      <c r="A200" s="5" t="s">
        <v>217</v>
      </c>
      <c r="B200" s="5" t="s">
        <v>5</v>
      </c>
      <c r="C200" s="5">
        <v>2041011402</v>
      </c>
      <c r="D200" s="5" t="s">
        <v>398</v>
      </c>
      <c r="E200" s="7">
        <v>3176.46</v>
      </c>
      <c r="F200" s="5" t="s">
        <v>14</v>
      </c>
      <c r="G200" s="5" t="s">
        <v>11</v>
      </c>
      <c r="H200" s="5" t="s">
        <v>12</v>
      </c>
      <c r="I200" s="5"/>
      <c r="J200" s="14">
        <v>28</v>
      </c>
      <c r="K200" s="138">
        <v>2481.6</v>
      </c>
      <c r="L200" s="136">
        <v>0</v>
      </c>
      <c r="M200" s="136">
        <v>347.43399999999997</v>
      </c>
      <c r="N200" s="136">
        <v>347.43399999999997</v>
      </c>
      <c r="O200" s="5"/>
      <c r="P200" s="5" t="s">
        <v>350</v>
      </c>
      <c r="Q200" s="5" t="s">
        <v>342</v>
      </c>
      <c r="R200" s="5">
        <v>87141090</v>
      </c>
      <c r="S200" s="17" t="s">
        <v>22</v>
      </c>
      <c r="T200" s="5" t="s">
        <v>13</v>
      </c>
      <c r="U200" s="7">
        <v>0</v>
      </c>
      <c r="V200" s="7">
        <v>0</v>
      </c>
      <c r="W200" s="7">
        <f t="shared" si="35"/>
        <v>0</v>
      </c>
      <c r="X200" s="7">
        <v>120</v>
      </c>
    </row>
    <row r="201" spans="1:28" x14ac:dyDescent="0.3">
      <c r="A201" s="5" t="s">
        <v>217</v>
      </c>
      <c r="B201" s="5" t="s">
        <v>5</v>
      </c>
      <c r="C201" s="5">
        <v>2041012352</v>
      </c>
      <c r="D201" s="5" t="s">
        <v>404</v>
      </c>
      <c r="E201" s="7">
        <v>13307.92</v>
      </c>
      <c r="F201" s="5" t="s">
        <v>14</v>
      </c>
      <c r="G201" s="5" t="s">
        <v>11</v>
      </c>
      <c r="H201" s="5" t="s">
        <v>12</v>
      </c>
      <c r="I201" s="5"/>
      <c r="J201" s="14">
        <v>28</v>
      </c>
      <c r="K201" s="138">
        <v>10396.799999999999</v>
      </c>
      <c r="L201" s="136">
        <v>0</v>
      </c>
      <c r="M201" s="136">
        <v>1455.5619999999999</v>
      </c>
      <c r="N201" s="136">
        <v>1455.5619999999999</v>
      </c>
      <c r="O201" s="5"/>
      <c r="P201" s="5" t="s">
        <v>350</v>
      </c>
      <c r="Q201" s="5" t="s">
        <v>342</v>
      </c>
      <c r="R201" s="5">
        <v>87141090</v>
      </c>
      <c r="S201" s="17" t="s">
        <v>22</v>
      </c>
      <c r="T201" s="5" t="s">
        <v>13</v>
      </c>
      <c r="U201" s="7">
        <v>0</v>
      </c>
      <c r="V201" s="7">
        <v>0</v>
      </c>
      <c r="W201" s="7">
        <f t="shared" si="35"/>
        <v>0</v>
      </c>
      <c r="X201" s="7">
        <v>120</v>
      </c>
      <c r="Y201">
        <f>+K201/100*9</f>
        <v>935.71199999999988</v>
      </c>
      <c r="Z201">
        <f>+K201/100*9</f>
        <v>935.71199999999988</v>
      </c>
      <c r="AA201" s="129">
        <f>+Y201-M201</f>
        <v>-519.85</v>
      </c>
      <c r="AB201" s="129">
        <f>+N201-Z201</f>
        <v>519.85</v>
      </c>
    </row>
    <row r="202" spans="1:28" x14ac:dyDescent="0.3">
      <c r="A202" s="5" t="s">
        <v>217</v>
      </c>
      <c r="B202" s="5" t="s">
        <v>5</v>
      </c>
      <c r="C202" s="5">
        <v>2041012353</v>
      </c>
      <c r="D202" s="5" t="s">
        <v>404</v>
      </c>
      <c r="E202" s="7">
        <v>13307.92</v>
      </c>
      <c r="F202" s="5" t="s">
        <v>14</v>
      </c>
      <c r="G202" s="5" t="s">
        <v>11</v>
      </c>
      <c r="H202" s="5" t="s">
        <v>12</v>
      </c>
      <c r="I202" s="5"/>
      <c r="J202" s="14">
        <v>28</v>
      </c>
      <c r="K202" s="138">
        <v>10396.799999999999</v>
      </c>
      <c r="L202" s="136">
        <v>0</v>
      </c>
      <c r="M202" s="136">
        <v>1455.5619999999999</v>
      </c>
      <c r="N202" s="136">
        <v>1455.5619999999999</v>
      </c>
      <c r="O202" s="5"/>
      <c r="P202" s="5" t="s">
        <v>350</v>
      </c>
      <c r="Q202" s="5" t="s">
        <v>342</v>
      </c>
      <c r="R202" s="5">
        <v>87141090</v>
      </c>
      <c r="S202" s="17" t="s">
        <v>22</v>
      </c>
      <c r="T202" s="5" t="s">
        <v>13</v>
      </c>
      <c r="U202" s="7">
        <v>0</v>
      </c>
      <c r="V202" s="7">
        <v>0</v>
      </c>
      <c r="W202" s="7">
        <f t="shared" si="35"/>
        <v>0</v>
      </c>
      <c r="X202" s="7">
        <v>120</v>
      </c>
    </row>
    <row r="203" spans="1:28" x14ac:dyDescent="0.3">
      <c r="A203" s="5" t="s">
        <v>217</v>
      </c>
      <c r="B203" s="5" t="s">
        <v>5</v>
      </c>
      <c r="C203" s="5">
        <v>2041012394</v>
      </c>
      <c r="D203" s="5" t="s">
        <v>404</v>
      </c>
      <c r="E203" s="7">
        <v>13307.92</v>
      </c>
      <c r="F203" s="5" t="s">
        <v>14</v>
      </c>
      <c r="G203" s="5" t="s">
        <v>11</v>
      </c>
      <c r="H203" s="5" t="s">
        <v>12</v>
      </c>
      <c r="I203" s="5"/>
      <c r="J203" s="14">
        <v>28</v>
      </c>
      <c r="K203" s="138">
        <v>10396.799999999999</v>
      </c>
      <c r="L203" s="136">
        <v>0</v>
      </c>
      <c r="M203" s="136">
        <v>1455.5619999999999</v>
      </c>
      <c r="N203" s="136">
        <v>1455.5619999999999</v>
      </c>
      <c r="O203" s="5"/>
      <c r="P203" s="5" t="s">
        <v>350</v>
      </c>
      <c r="Q203" s="5" t="s">
        <v>342</v>
      </c>
      <c r="R203" s="5">
        <v>87141090</v>
      </c>
      <c r="S203" s="17" t="s">
        <v>22</v>
      </c>
      <c r="T203" s="5" t="s">
        <v>13</v>
      </c>
      <c r="U203" s="7">
        <v>0</v>
      </c>
      <c r="V203" s="7">
        <v>0</v>
      </c>
      <c r="W203" s="7">
        <f t="shared" si="35"/>
        <v>0</v>
      </c>
      <c r="X203" s="7">
        <v>120</v>
      </c>
      <c r="Y203">
        <f>+K203/100*9</f>
        <v>935.71199999999988</v>
      </c>
      <c r="Z203">
        <f>+K203/100*9</f>
        <v>935.71199999999988</v>
      </c>
      <c r="AA203" s="129">
        <f>+Y203-M203</f>
        <v>-519.85</v>
      </c>
      <c r="AB203" s="129">
        <f>+N203-Z203</f>
        <v>519.85</v>
      </c>
    </row>
    <row r="204" spans="1:28" x14ac:dyDescent="0.3">
      <c r="A204" s="5" t="s">
        <v>217</v>
      </c>
      <c r="B204" s="5" t="s">
        <v>5</v>
      </c>
      <c r="C204" s="5">
        <v>2041012395</v>
      </c>
      <c r="D204" s="5" t="s">
        <v>404</v>
      </c>
      <c r="E204" s="7">
        <v>13307.92</v>
      </c>
      <c r="F204" s="5" t="s">
        <v>14</v>
      </c>
      <c r="G204" s="5" t="s">
        <v>11</v>
      </c>
      <c r="H204" s="5" t="s">
        <v>12</v>
      </c>
      <c r="I204" s="5"/>
      <c r="J204" s="14">
        <v>28</v>
      </c>
      <c r="K204" s="138">
        <v>10396.799999999999</v>
      </c>
      <c r="L204" s="136">
        <v>0</v>
      </c>
      <c r="M204" s="136">
        <v>1455.5619999999999</v>
      </c>
      <c r="N204" s="136">
        <v>1455.5619999999999</v>
      </c>
      <c r="O204" s="5"/>
      <c r="P204" s="5" t="s">
        <v>350</v>
      </c>
      <c r="Q204" s="5" t="s">
        <v>342</v>
      </c>
      <c r="R204" s="5">
        <v>87141090</v>
      </c>
      <c r="S204" s="17" t="s">
        <v>22</v>
      </c>
      <c r="T204" s="5" t="s">
        <v>13</v>
      </c>
      <c r="U204" s="7">
        <v>0</v>
      </c>
      <c r="V204" s="7">
        <v>0</v>
      </c>
      <c r="W204" s="7">
        <f t="shared" si="35"/>
        <v>0</v>
      </c>
      <c r="X204" s="7">
        <v>120</v>
      </c>
    </row>
    <row r="205" spans="1:28" x14ac:dyDescent="0.3">
      <c r="A205" s="5" t="s">
        <v>217</v>
      </c>
      <c r="B205" s="5" t="s">
        <v>5</v>
      </c>
      <c r="C205" s="5">
        <v>2041012425</v>
      </c>
      <c r="D205" s="5" t="s">
        <v>404</v>
      </c>
      <c r="E205" s="7">
        <v>1588.24</v>
      </c>
      <c r="F205" s="5" t="s">
        <v>14</v>
      </c>
      <c r="G205" s="5" t="s">
        <v>11</v>
      </c>
      <c r="H205" s="5" t="s">
        <v>12</v>
      </c>
      <c r="I205" s="5"/>
      <c r="J205" s="14">
        <v>28</v>
      </c>
      <c r="K205" s="138">
        <v>1240.8</v>
      </c>
      <c r="L205" s="136">
        <v>0</v>
      </c>
      <c r="M205" s="136">
        <v>173.72199999999998</v>
      </c>
      <c r="N205" s="136">
        <v>173.72199999999998</v>
      </c>
      <c r="O205" s="5"/>
      <c r="P205" s="5" t="s">
        <v>350</v>
      </c>
      <c r="Q205" s="5" t="s">
        <v>342</v>
      </c>
      <c r="R205" s="5">
        <v>87141090</v>
      </c>
      <c r="S205" s="17" t="s">
        <v>22</v>
      </c>
      <c r="T205" s="5" t="s">
        <v>13</v>
      </c>
      <c r="U205" s="7">
        <v>0</v>
      </c>
      <c r="V205" s="7">
        <v>0</v>
      </c>
      <c r="W205" s="7">
        <f t="shared" si="35"/>
        <v>0</v>
      </c>
      <c r="X205" s="7">
        <v>60</v>
      </c>
    </row>
    <row r="206" spans="1:28" x14ac:dyDescent="0.3">
      <c r="A206" s="5" t="s">
        <v>217</v>
      </c>
      <c r="B206" s="5" t="s">
        <v>5</v>
      </c>
      <c r="C206" s="5">
        <v>2041012426</v>
      </c>
      <c r="D206" s="5" t="s">
        <v>404</v>
      </c>
      <c r="E206" s="7">
        <v>1588.24</v>
      </c>
      <c r="F206" s="5" t="s">
        <v>14</v>
      </c>
      <c r="G206" s="5" t="s">
        <v>11</v>
      </c>
      <c r="H206" s="5" t="s">
        <v>12</v>
      </c>
      <c r="I206" s="5"/>
      <c r="J206" s="14">
        <v>28</v>
      </c>
      <c r="K206" s="138">
        <v>1240.8</v>
      </c>
      <c r="L206" s="136">
        <v>0</v>
      </c>
      <c r="M206" s="136">
        <v>173.72199999999998</v>
      </c>
      <c r="N206" s="136">
        <v>173.72199999999998</v>
      </c>
      <c r="O206" s="5"/>
      <c r="P206" s="5" t="s">
        <v>350</v>
      </c>
      <c r="Q206" s="5" t="s">
        <v>342</v>
      </c>
      <c r="R206" s="5">
        <v>87141090</v>
      </c>
      <c r="S206" s="17" t="s">
        <v>22</v>
      </c>
      <c r="T206" s="5" t="s">
        <v>13</v>
      </c>
      <c r="U206" s="7">
        <v>0</v>
      </c>
      <c r="V206" s="7">
        <v>0</v>
      </c>
      <c r="W206" s="7">
        <f t="shared" si="35"/>
        <v>0</v>
      </c>
      <c r="X206" s="7">
        <v>60</v>
      </c>
    </row>
    <row r="207" spans="1:28" x14ac:dyDescent="0.3">
      <c r="A207" s="5" t="s">
        <v>217</v>
      </c>
      <c r="B207" s="5" t="s">
        <v>5</v>
      </c>
      <c r="C207" s="5">
        <v>2041012427</v>
      </c>
      <c r="D207" s="5" t="s">
        <v>404</v>
      </c>
      <c r="E207" s="7">
        <v>33223.68</v>
      </c>
      <c r="F207" s="5" t="s">
        <v>14</v>
      </c>
      <c r="G207" s="5" t="s">
        <v>11</v>
      </c>
      <c r="H207" s="5" t="s">
        <v>12</v>
      </c>
      <c r="I207" s="5"/>
      <c r="J207" s="14">
        <v>28</v>
      </c>
      <c r="K207" s="138">
        <v>25956</v>
      </c>
      <c r="L207" s="136">
        <v>0</v>
      </c>
      <c r="M207" s="136">
        <v>3633.84</v>
      </c>
      <c r="N207" s="136">
        <v>3633.84</v>
      </c>
      <c r="O207" s="5"/>
      <c r="P207" s="5" t="s">
        <v>350</v>
      </c>
      <c r="Q207" s="5" t="s">
        <v>342</v>
      </c>
      <c r="R207" s="5">
        <v>87141090</v>
      </c>
      <c r="S207" s="17" t="s">
        <v>22</v>
      </c>
      <c r="T207" s="5" t="s">
        <v>13</v>
      </c>
      <c r="U207" s="7">
        <v>0</v>
      </c>
      <c r="V207" s="7">
        <v>0</v>
      </c>
      <c r="W207" s="7">
        <f t="shared" si="35"/>
        <v>0</v>
      </c>
      <c r="X207" s="7">
        <f>350+350</f>
        <v>700</v>
      </c>
    </row>
    <row r="208" spans="1:28" x14ac:dyDescent="0.3">
      <c r="A208" s="5" t="s">
        <v>217</v>
      </c>
      <c r="B208" s="5" t="s">
        <v>5</v>
      </c>
      <c r="C208" s="5">
        <v>2041012913</v>
      </c>
      <c r="D208" s="5" t="s">
        <v>405</v>
      </c>
      <c r="E208" s="7">
        <v>5892.48</v>
      </c>
      <c r="F208" s="5" t="s">
        <v>14</v>
      </c>
      <c r="G208" s="5" t="s">
        <v>11</v>
      </c>
      <c r="H208" s="5" t="s">
        <v>12</v>
      </c>
      <c r="I208" s="5"/>
      <c r="J208" s="14">
        <v>28</v>
      </c>
      <c r="K208" s="138">
        <v>4603.5</v>
      </c>
      <c r="L208" s="136">
        <v>0</v>
      </c>
      <c r="M208" s="136">
        <v>644.49</v>
      </c>
      <c r="N208" s="136">
        <v>644.49</v>
      </c>
      <c r="O208" s="5"/>
      <c r="P208" s="5" t="s">
        <v>350</v>
      </c>
      <c r="Q208" s="5" t="s">
        <v>342</v>
      </c>
      <c r="R208" s="5">
        <v>87141090</v>
      </c>
      <c r="S208" s="17" t="s">
        <v>22</v>
      </c>
      <c r="T208" s="5" t="s">
        <v>13</v>
      </c>
      <c r="U208" s="7">
        <v>0</v>
      </c>
      <c r="V208" s="7">
        <v>0</v>
      </c>
      <c r="W208" s="7">
        <f t="shared" si="35"/>
        <v>0</v>
      </c>
      <c r="X208" s="7">
        <v>90</v>
      </c>
    </row>
    <row r="209" spans="1:28" x14ac:dyDescent="0.3">
      <c r="A209" s="5" t="s">
        <v>217</v>
      </c>
      <c r="B209" s="5" t="s">
        <v>5</v>
      </c>
      <c r="C209" s="5">
        <v>2041012914</v>
      </c>
      <c r="D209" s="5" t="s">
        <v>405</v>
      </c>
      <c r="E209" s="7">
        <v>3759.62</v>
      </c>
      <c r="F209" s="5" t="s">
        <v>14</v>
      </c>
      <c r="G209" s="5" t="s">
        <v>11</v>
      </c>
      <c r="H209" s="5" t="s">
        <v>12</v>
      </c>
      <c r="I209" s="5"/>
      <c r="J209" s="14">
        <v>28</v>
      </c>
      <c r="K209" s="138">
        <v>2937.2</v>
      </c>
      <c r="L209" s="136">
        <v>0</v>
      </c>
      <c r="M209" s="136">
        <v>411.20799999999997</v>
      </c>
      <c r="N209" s="136">
        <v>411.20799999999997</v>
      </c>
      <c r="O209" s="5"/>
      <c r="P209" s="5" t="s">
        <v>350</v>
      </c>
      <c r="Q209" s="5" t="s">
        <v>342</v>
      </c>
      <c r="R209" s="5">
        <v>39199090</v>
      </c>
      <c r="S209" s="17" t="s">
        <v>22</v>
      </c>
      <c r="T209" s="5" t="s">
        <v>13</v>
      </c>
      <c r="U209" s="7">
        <v>0</v>
      </c>
      <c r="V209" s="7">
        <v>0</v>
      </c>
      <c r="W209" s="7">
        <f t="shared" si="35"/>
        <v>0</v>
      </c>
      <c r="X209" s="7">
        <v>70</v>
      </c>
    </row>
    <row r="210" spans="1:28" x14ac:dyDescent="0.3">
      <c r="A210" s="5" t="s">
        <v>217</v>
      </c>
      <c r="B210" s="5" t="s">
        <v>5</v>
      </c>
      <c r="C210" s="5">
        <v>2041012817</v>
      </c>
      <c r="D210" s="5" t="s">
        <v>405</v>
      </c>
      <c r="E210" s="7">
        <v>13307.92</v>
      </c>
      <c r="F210" s="5" t="s">
        <v>14</v>
      </c>
      <c r="G210" s="5" t="s">
        <v>11</v>
      </c>
      <c r="H210" s="5" t="s">
        <v>12</v>
      </c>
      <c r="I210" s="5"/>
      <c r="J210" s="14">
        <v>28</v>
      </c>
      <c r="K210" s="138">
        <v>10396.799999999999</v>
      </c>
      <c r="L210" s="136">
        <v>0</v>
      </c>
      <c r="M210" s="136">
        <v>1455.5619999999999</v>
      </c>
      <c r="N210" s="136">
        <v>1455.5619999999999</v>
      </c>
      <c r="O210" s="5"/>
      <c r="P210" s="5" t="s">
        <v>350</v>
      </c>
      <c r="Q210" s="5" t="s">
        <v>342</v>
      </c>
      <c r="R210" s="5">
        <v>87141090</v>
      </c>
      <c r="S210" s="17" t="s">
        <v>22</v>
      </c>
      <c r="T210" s="5" t="s">
        <v>13</v>
      </c>
      <c r="U210" s="7">
        <v>0</v>
      </c>
      <c r="V210" s="7">
        <v>0</v>
      </c>
      <c r="W210" s="7">
        <f t="shared" si="35"/>
        <v>0</v>
      </c>
      <c r="X210" s="7">
        <v>120</v>
      </c>
    </row>
    <row r="211" spans="1:28" x14ac:dyDescent="0.3">
      <c r="A211" s="5" t="s">
        <v>217</v>
      </c>
      <c r="B211" s="5" t="s">
        <v>5</v>
      </c>
      <c r="C211" s="5">
        <v>2041012818</v>
      </c>
      <c r="D211" s="5" t="s">
        <v>405</v>
      </c>
      <c r="E211" s="7">
        <v>13307.92</v>
      </c>
      <c r="F211" s="5" t="s">
        <v>14</v>
      </c>
      <c r="G211" s="5" t="s">
        <v>11</v>
      </c>
      <c r="H211" s="5" t="s">
        <v>12</v>
      </c>
      <c r="I211" s="5"/>
      <c r="J211" s="14">
        <v>28</v>
      </c>
      <c r="K211" s="138">
        <v>10396.799999999999</v>
      </c>
      <c r="L211" s="136">
        <v>0</v>
      </c>
      <c r="M211" s="136">
        <v>1455.5619999999999</v>
      </c>
      <c r="N211" s="136">
        <v>1455.5619999999999</v>
      </c>
      <c r="O211" s="5"/>
      <c r="P211" s="5" t="s">
        <v>350</v>
      </c>
      <c r="Q211" s="5" t="s">
        <v>342</v>
      </c>
      <c r="R211" s="5">
        <v>87141090</v>
      </c>
      <c r="S211" s="17" t="s">
        <v>22</v>
      </c>
      <c r="T211" s="5" t="s">
        <v>13</v>
      </c>
      <c r="U211" s="7">
        <v>0</v>
      </c>
      <c r="V211" s="7">
        <v>0</v>
      </c>
      <c r="W211" s="7">
        <f t="shared" si="35"/>
        <v>0</v>
      </c>
      <c r="X211" s="7">
        <v>120</v>
      </c>
    </row>
    <row r="212" spans="1:28" x14ac:dyDescent="0.3">
      <c r="A212" s="5" t="s">
        <v>217</v>
      </c>
      <c r="B212" s="5" t="s">
        <v>5</v>
      </c>
      <c r="C212" s="5">
        <v>2041013422</v>
      </c>
      <c r="D212" s="5" t="s">
        <v>406</v>
      </c>
      <c r="E212" s="7">
        <v>10475.52</v>
      </c>
      <c r="F212" s="5" t="s">
        <v>14</v>
      </c>
      <c r="G212" s="5" t="s">
        <v>11</v>
      </c>
      <c r="H212" s="5" t="s">
        <v>12</v>
      </c>
      <c r="I212" s="5"/>
      <c r="J212" s="14">
        <v>28</v>
      </c>
      <c r="K212" s="138">
        <v>8184</v>
      </c>
      <c r="L212" s="136">
        <v>0</v>
      </c>
      <c r="M212" s="136">
        <v>1145.76</v>
      </c>
      <c r="N212" s="136">
        <v>1145.76</v>
      </c>
      <c r="O212" s="5"/>
      <c r="P212" s="5" t="s">
        <v>350</v>
      </c>
      <c r="Q212" s="5" t="s">
        <v>342</v>
      </c>
      <c r="R212" s="5">
        <v>87141090</v>
      </c>
      <c r="S212" s="17" t="s">
        <v>22</v>
      </c>
      <c r="T212" s="5" t="s">
        <v>13</v>
      </c>
      <c r="U212" s="7">
        <v>0</v>
      </c>
      <c r="V212" s="7">
        <v>0</v>
      </c>
      <c r="W212" s="7">
        <f t="shared" si="35"/>
        <v>0</v>
      </c>
      <c r="X212" s="7">
        <v>160</v>
      </c>
    </row>
    <row r="213" spans="1:28" x14ac:dyDescent="0.3">
      <c r="A213" s="5" t="s">
        <v>217</v>
      </c>
      <c r="B213" s="5" t="s">
        <v>5</v>
      </c>
      <c r="C213" s="5">
        <v>2041013363</v>
      </c>
      <c r="D213" s="5" t="s">
        <v>406</v>
      </c>
      <c r="E213" s="7">
        <v>15882.24</v>
      </c>
      <c r="F213" s="5" t="s">
        <v>14</v>
      </c>
      <c r="G213" s="5" t="s">
        <v>11</v>
      </c>
      <c r="H213" s="5" t="s">
        <v>12</v>
      </c>
      <c r="I213" s="5"/>
      <c r="J213" s="14">
        <v>28</v>
      </c>
      <c r="K213" s="138">
        <v>12408</v>
      </c>
      <c r="L213" s="136">
        <v>0</v>
      </c>
      <c r="M213" s="136">
        <v>1737.12</v>
      </c>
      <c r="N213" s="136">
        <v>1737.12</v>
      </c>
      <c r="O213" s="5"/>
      <c r="P213" s="5" t="s">
        <v>350</v>
      </c>
      <c r="Q213" s="5" t="s">
        <v>343</v>
      </c>
      <c r="R213" s="5">
        <v>87141090</v>
      </c>
      <c r="S213" s="17" t="s">
        <v>22</v>
      </c>
      <c r="T213" s="5" t="s">
        <v>13</v>
      </c>
      <c r="U213" s="7">
        <v>0</v>
      </c>
      <c r="V213" s="7">
        <v>0</v>
      </c>
      <c r="W213" s="7">
        <f t="shared" si="35"/>
        <v>0</v>
      </c>
      <c r="X213" s="7">
        <v>600</v>
      </c>
    </row>
    <row r="214" spans="1:28" x14ac:dyDescent="0.3">
      <c r="A214" s="5" t="s">
        <v>217</v>
      </c>
      <c r="B214" s="5" t="s">
        <v>5</v>
      </c>
      <c r="C214" s="5">
        <v>2041013364</v>
      </c>
      <c r="D214" s="5" t="s">
        <v>406</v>
      </c>
      <c r="E214" s="7">
        <v>15882.24</v>
      </c>
      <c r="F214" s="5" t="s">
        <v>14</v>
      </c>
      <c r="G214" s="5" t="s">
        <v>11</v>
      </c>
      <c r="H214" s="5" t="s">
        <v>12</v>
      </c>
      <c r="I214" s="5"/>
      <c r="J214" s="14">
        <v>28</v>
      </c>
      <c r="K214" s="138">
        <v>12408</v>
      </c>
      <c r="L214" s="136">
        <v>0</v>
      </c>
      <c r="M214" s="136">
        <v>1737.12</v>
      </c>
      <c r="N214" s="136">
        <v>1737.12</v>
      </c>
      <c r="O214" s="5"/>
      <c r="P214" s="5" t="s">
        <v>350</v>
      </c>
      <c r="Q214" s="5" t="s">
        <v>343</v>
      </c>
      <c r="R214" s="5">
        <v>87141090</v>
      </c>
      <c r="S214" s="17" t="s">
        <v>22</v>
      </c>
      <c r="T214" s="5" t="s">
        <v>13</v>
      </c>
      <c r="U214" s="7">
        <v>0</v>
      </c>
      <c r="V214" s="7">
        <v>0</v>
      </c>
      <c r="W214" s="7">
        <f t="shared" si="35"/>
        <v>0</v>
      </c>
      <c r="X214" s="7">
        <v>600</v>
      </c>
      <c r="Y214">
        <f>+K214/100*9</f>
        <v>1116.72</v>
      </c>
      <c r="Z214">
        <f>+K214/100*9</f>
        <v>1116.72</v>
      </c>
      <c r="AA214" s="129">
        <f>+Y214-M214</f>
        <v>-620.39999999999986</v>
      </c>
      <c r="AB214" s="129">
        <f>+N214-Z214</f>
        <v>620.39999999999986</v>
      </c>
    </row>
    <row r="215" spans="1:28" x14ac:dyDescent="0.3">
      <c r="A215" s="5" t="s">
        <v>217</v>
      </c>
      <c r="B215" s="5" t="s">
        <v>5</v>
      </c>
      <c r="C215" s="5">
        <v>2041013862</v>
      </c>
      <c r="D215" s="5" t="s">
        <v>409</v>
      </c>
      <c r="E215" s="7">
        <v>8969.67</v>
      </c>
      <c r="F215" s="5" t="s">
        <v>14</v>
      </c>
      <c r="G215" s="5"/>
      <c r="H215" s="5"/>
      <c r="I215" s="5"/>
      <c r="J215" s="14">
        <v>28</v>
      </c>
      <c r="K215" s="138">
        <v>7007.55</v>
      </c>
      <c r="L215" s="136">
        <v>0</v>
      </c>
      <c r="M215" s="136">
        <v>981.05700000000002</v>
      </c>
      <c r="N215" s="136">
        <v>981.05700000000002</v>
      </c>
      <c r="O215" s="5"/>
      <c r="P215" s="5" t="s">
        <v>347</v>
      </c>
      <c r="Q215" s="5" t="s">
        <v>343</v>
      </c>
      <c r="R215" s="5">
        <v>87141090</v>
      </c>
      <c r="S215" s="17" t="s">
        <v>22</v>
      </c>
      <c r="T215" s="5" t="s">
        <v>13</v>
      </c>
      <c r="U215" s="7">
        <v>0</v>
      </c>
      <c r="V215" s="7">
        <v>0</v>
      </c>
      <c r="W215" s="7">
        <f t="shared" si="35"/>
        <v>0</v>
      </c>
      <c r="X215" s="7">
        <v>137</v>
      </c>
    </row>
    <row r="216" spans="1:28" x14ac:dyDescent="0.3">
      <c r="A216" s="5" t="s">
        <v>217</v>
      </c>
      <c r="B216" s="5" t="s">
        <v>5</v>
      </c>
      <c r="C216" s="5">
        <v>2041013863</v>
      </c>
      <c r="D216" s="5" t="s">
        <v>409</v>
      </c>
      <c r="E216" s="7">
        <v>8593.42</v>
      </c>
      <c r="F216" s="5" t="s">
        <v>14</v>
      </c>
      <c r="G216" s="5"/>
      <c r="H216" s="5"/>
      <c r="I216" s="5"/>
      <c r="J216" s="14">
        <v>28</v>
      </c>
      <c r="K216" s="138">
        <v>6713.6</v>
      </c>
      <c r="L216" s="136">
        <v>0</v>
      </c>
      <c r="M216" s="136">
        <v>939.9140000000001</v>
      </c>
      <c r="N216" s="136">
        <v>939.9140000000001</v>
      </c>
      <c r="O216" s="5"/>
      <c r="P216" s="5"/>
      <c r="Q216" s="5"/>
      <c r="R216" s="5">
        <v>39199090</v>
      </c>
      <c r="S216" s="17" t="s">
        <v>22</v>
      </c>
      <c r="T216" s="5" t="s">
        <v>13</v>
      </c>
      <c r="U216" s="7">
        <v>0</v>
      </c>
      <c r="V216" s="7">
        <v>0</v>
      </c>
      <c r="W216" s="7">
        <f t="shared" si="35"/>
        <v>0</v>
      </c>
      <c r="X216" s="7">
        <v>160</v>
      </c>
    </row>
    <row r="217" spans="1:28" x14ac:dyDescent="0.3">
      <c r="A217" s="5" t="s">
        <v>217</v>
      </c>
      <c r="B217" s="5" t="s">
        <v>5</v>
      </c>
      <c r="C217" s="5">
        <v>2041013970</v>
      </c>
      <c r="D217" s="5" t="s">
        <v>409</v>
      </c>
      <c r="E217" s="7">
        <v>9399.0400000000009</v>
      </c>
      <c r="F217" s="5" t="s">
        <v>14</v>
      </c>
      <c r="G217" s="5"/>
      <c r="H217" s="7">
        <f>+H215-H216</f>
        <v>0</v>
      </c>
      <c r="I217" s="5"/>
      <c r="J217" s="14">
        <v>28</v>
      </c>
      <c r="K217" s="138">
        <v>7343</v>
      </c>
      <c r="L217" s="136">
        <v>0</v>
      </c>
      <c r="M217" s="136">
        <v>1028.02</v>
      </c>
      <c r="N217" s="136">
        <v>1028.02</v>
      </c>
      <c r="O217" s="5"/>
      <c r="P217" s="5"/>
      <c r="Q217" s="5"/>
      <c r="R217" s="5">
        <v>39199090</v>
      </c>
      <c r="S217" s="17" t="s">
        <v>22</v>
      </c>
      <c r="T217" s="5" t="s">
        <v>13</v>
      </c>
      <c r="U217" s="7">
        <v>0</v>
      </c>
      <c r="V217" s="7">
        <v>0</v>
      </c>
      <c r="W217" s="7">
        <f t="shared" si="35"/>
        <v>0</v>
      </c>
      <c r="X217" s="7">
        <v>175</v>
      </c>
    </row>
    <row r="218" spans="1:28" x14ac:dyDescent="0.3">
      <c r="A218" s="5" t="s">
        <v>217</v>
      </c>
      <c r="B218" s="5" t="s">
        <v>5</v>
      </c>
      <c r="C218" s="5">
        <v>2041013972</v>
      </c>
      <c r="D218" s="5" t="s">
        <v>409</v>
      </c>
      <c r="E218" s="7">
        <v>6874.57</v>
      </c>
      <c r="F218" s="5" t="s">
        <v>14</v>
      </c>
      <c r="G218" s="5"/>
      <c r="H218" s="7">
        <f>+E207+E208+E209</f>
        <v>42875.780000000006</v>
      </c>
      <c r="I218" s="5"/>
      <c r="J218" s="14">
        <v>28</v>
      </c>
      <c r="K218" s="138">
        <v>5370.75</v>
      </c>
      <c r="L218" s="136">
        <v>0</v>
      </c>
      <c r="M218" s="136">
        <v>751.90500000000009</v>
      </c>
      <c r="N218" s="136">
        <v>751.90500000000009</v>
      </c>
      <c r="O218" s="5"/>
      <c r="P218" s="5"/>
      <c r="Q218" s="5"/>
      <c r="R218" s="5">
        <v>87141090</v>
      </c>
      <c r="S218" s="17" t="s">
        <v>22</v>
      </c>
      <c r="T218" s="5" t="s">
        <v>13</v>
      </c>
      <c r="U218" s="7">
        <v>0</v>
      </c>
      <c r="V218" s="7">
        <v>0</v>
      </c>
      <c r="W218" s="7">
        <f t="shared" si="35"/>
        <v>0</v>
      </c>
      <c r="X218" s="7">
        <v>105</v>
      </c>
      <c r="Y218">
        <f>+K218/100*9</f>
        <v>483.36750000000001</v>
      </c>
      <c r="Z218">
        <f>+K218/100*9</f>
        <v>483.36750000000001</v>
      </c>
      <c r="AA218" s="129">
        <f>+Y218-M218</f>
        <v>-268.53750000000008</v>
      </c>
      <c r="AB218" s="129">
        <f>+N218-Z218</f>
        <v>268.53750000000008</v>
      </c>
    </row>
    <row r="219" spans="1:28" ht="15" thickBot="1" x14ac:dyDescent="0.35">
      <c r="A219" s="5" t="s">
        <v>217</v>
      </c>
      <c r="B219" s="5" t="s">
        <v>5</v>
      </c>
      <c r="C219" s="5">
        <v>2041014391</v>
      </c>
      <c r="D219" s="5" t="s">
        <v>410</v>
      </c>
      <c r="E219" s="7">
        <v>10475.52</v>
      </c>
      <c r="F219" s="5" t="s">
        <v>14</v>
      </c>
      <c r="G219" s="5"/>
      <c r="H219" s="5"/>
      <c r="I219" s="5"/>
      <c r="J219" s="14">
        <v>28</v>
      </c>
      <c r="K219" s="138">
        <v>8184</v>
      </c>
      <c r="L219" s="136">
        <v>0</v>
      </c>
      <c r="M219" s="136">
        <v>1145.76</v>
      </c>
      <c r="N219" s="136">
        <v>1145.76</v>
      </c>
      <c r="O219" s="5"/>
      <c r="P219" s="5"/>
      <c r="Q219" s="5"/>
      <c r="R219" s="5">
        <v>87141090</v>
      </c>
      <c r="S219" s="17" t="s">
        <v>22</v>
      </c>
      <c r="T219" s="5" t="s">
        <v>13</v>
      </c>
      <c r="U219" s="7">
        <v>0</v>
      </c>
      <c r="V219" s="7">
        <v>0</v>
      </c>
      <c r="W219" s="7">
        <f t="shared" si="35"/>
        <v>0</v>
      </c>
      <c r="X219" s="7">
        <v>160</v>
      </c>
    </row>
    <row r="220" spans="1:28" ht="15" thickBot="1" x14ac:dyDescent="0.35">
      <c r="A220" s="5" t="s">
        <v>217</v>
      </c>
      <c r="B220" s="5" t="s">
        <v>5</v>
      </c>
      <c r="C220" s="5">
        <v>2041014392</v>
      </c>
      <c r="D220" s="5" t="s">
        <v>410</v>
      </c>
      <c r="E220" s="7">
        <v>4296.72</v>
      </c>
      <c r="F220" s="5" t="s">
        <v>14</v>
      </c>
      <c r="G220" s="3"/>
      <c r="H220" s="3"/>
      <c r="I220" s="3"/>
      <c r="J220" s="14">
        <v>28</v>
      </c>
      <c r="K220" s="138">
        <v>3356.8</v>
      </c>
      <c r="L220" s="18">
        <v>0</v>
      </c>
      <c r="M220" s="18">
        <v>469.96200000000005</v>
      </c>
      <c r="N220" s="18">
        <v>469.96200000000005</v>
      </c>
      <c r="O220" s="3"/>
      <c r="P220" s="3"/>
      <c r="Q220" s="3"/>
      <c r="R220" s="5">
        <v>39199090</v>
      </c>
      <c r="S220" s="17" t="s">
        <v>22</v>
      </c>
      <c r="T220" s="5" t="s">
        <v>13</v>
      </c>
      <c r="U220" s="7">
        <v>0</v>
      </c>
      <c r="V220" s="7">
        <v>0</v>
      </c>
      <c r="W220" s="7">
        <f t="shared" si="35"/>
        <v>0</v>
      </c>
      <c r="X220" s="7">
        <v>80</v>
      </c>
    </row>
    <row r="221" spans="1:28" x14ac:dyDescent="0.3">
      <c r="A221" s="5" t="s">
        <v>217</v>
      </c>
      <c r="B221" s="5" t="s">
        <v>5</v>
      </c>
      <c r="C221" s="5">
        <v>2041014788</v>
      </c>
      <c r="D221" s="5" t="s">
        <v>413</v>
      </c>
      <c r="E221" s="7">
        <v>14403.84</v>
      </c>
      <c r="F221" s="5" t="s">
        <v>14</v>
      </c>
      <c r="J221" s="14">
        <v>28</v>
      </c>
      <c r="K221" s="138">
        <v>11253</v>
      </c>
      <c r="L221" s="129">
        <v>0</v>
      </c>
      <c r="M221" s="129">
        <v>1575.42</v>
      </c>
      <c r="N221" s="129">
        <v>1575.42</v>
      </c>
      <c r="R221" s="5">
        <v>87141090</v>
      </c>
      <c r="S221" s="17" t="s">
        <v>22</v>
      </c>
      <c r="T221" s="5" t="s">
        <v>13</v>
      </c>
      <c r="U221" s="7">
        <v>0</v>
      </c>
      <c r="V221" s="7">
        <v>0</v>
      </c>
      <c r="W221" s="7">
        <f t="shared" si="35"/>
        <v>0</v>
      </c>
      <c r="X221" s="7">
        <v>220</v>
      </c>
    </row>
    <row r="222" spans="1:28" x14ac:dyDescent="0.3">
      <c r="A222" s="5" t="s">
        <v>217</v>
      </c>
      <c r="B222" s="5" t="s">
        <v>5</v>
      </c>
      <c r="C222" s="5">
        <v>2041014790</v>
      </c>
      <c r="D222" s="5" t="s">
        <v>413</v>
      </c>
      <c r="E222" s="7">
        <v>10741.76</v>
      </c>
      <c r="F222" s="5" t="s">
        <v>14</v>
      </c>
      <c r="J222" s="14">
        <v>28</v>
      </c>
      <c r="K222" s="138">
        <v>8392</v>
      </c>
      <c r="L222" s="129">
        <v>0</v>
      </c>
      <c r="M222" s="129">
        <v>1174.8800000000001</v>
      </c>
      <c r="N222" s="129">
        <v>1174.8800000000001</v>
      </c>
      <c r="R222" s="5">
        <v>39199090</v>
      </c>
      <c r="S222" s="17" t="s">
        <v>22</v>
      </c>
      <c r="T222" s="5" t="s">
        <v>13</v>
      </c>
      <c r="U222" s="7">
        <v>0</v>
      </c>
      <c r="V222" s="7">
        <v>0</v>
      </c>
      <c r="W222" s="7">
        <f t="shared" si="35"/>
        <v>0</v>
      </c>
      <c r="X222" s="7">
        <v>200</v>
      </c>
    </row>
    <row r="223" spans="1:28" x14ac:dyDescent="0.3">
      <c r="A223" s="5" t="s">
        <v>217</v>
      </c>
      <c r="B223" s="5" t="s">
        <v>5</v>
      </c>
      <c r="C223" s="5">
        <v>2041015284</v>
      </c>
      <c r="D223" s="5" t="s">
        <v>367</v>
      </c>
      <c r="E223" s="7">
        <v>4583.04</v>
      </c>
      <c r="F223" s="5" t="s">
        <v>14</v>
      </c>
      <c r="J223" s="14">
        <v>28</v>
      </c>
      <c r="K223" s="138">
        <v>3580.5</v>
      </c>
      <c r="L223" s="129">
        <v>0</v>
      </c>
      <c r="M223" s="129">
        <v>501.27</v>
      </c>
      <c r="N223" s="129">
        <v>501.27</v>
      </c>
      <c r="R223" s="5">
        <v>87141090</v>
      </c>
      <c r="S223" s="17" t="s">
        <v>22</v>
      </c>
      <c r="T223" s="5" t="s">
        <v>13</v>
      </c>
      <c r="U223" s="7">
        <v>0</v>
      </c>
      <c r="V223" s="7">
        <v>0</v>
      </c>
      <c r="W223" s="7">
        <f t="shared" si="35"/>
        <v>0</v>
      </c>
      <c r="X223" s="7">
        <v>70</v>
      </c>
    </row>
    <row r="224" spans="1:28" x14ac:dyDescent="0.3">
      <c r="A224" s="5" t="s">
        <v>217</v>
      </c>
      <c r="B224" s="5" t="s">
        <v>5</v>
      </c>
      <c r="C224" s="5">
        <v>2041015285</v>
      </c>
      <c r="D224" s="5" t="s">
        <v>367</v>
      </c>
      <c r="E224" s="7">
        <v>6445.06</v>
      </c>
      <c r="F224" s="5" t="s">
        <v>14</v>
      </c>
      <c r="J224" s="14">
        <v>28</v>
      </c>
      <c r="K224" s="138">
        <v>5035.2</v>
      </c>
      <c r="L224" s="129">
        <v>0</v>
      </c>
      <c r="M224" s="129">
        <v>704.928</v>
      </c>
      <c r="N224" s="129">
        <v>704.928</v>
      </c>
      <c r="R224" s="5">
        <v>39199090</v>
      </c>
      <c r="S224" s="17" t="s">
        <v>22</v>
      </c>
      <c r="T224" s="5" t="s">
        <v>13</v>
      </c>
      <c r="U224" s="7">
        <v>0</v>
      </c>
      <c r="V224" s="7">
        <v>0</v>
      </c>
      <c r="W224" s="7">
        <f t="shared" si="35"/>
        <v>0</v>
      </c>
      <c r="X224" s="7">
        <v>120</v>
      </c>
    </row>
    <row r="225" spans="1:28" x14ac:dyDescent="0.3">
      <c r="A225" s="5" t="s">
        <v>217</v>
      </c>
      <c r="B225" s="5" t="s">
        <v>5</v>
      </c>
      <c r="C225" s="5">
        <v>2041015286</v>
      </c>
      <c r="D225" s="5" t="s">
        <v>367</v>
      </c>
      <c r="E225" s="7">
        <v>6352.9</v>
      </c>
      <c r="F225" s="5" t="s">
        <v>14</v>
      </c>
      <c r="J225" s="14">
        <v>28</v>
      </c>
      <c r="K225" s="138">
        <v>4963.2</v>
      </c>
      <c r="L225" s="129">
        <v>0</v>
      </c>
      <c r="M225" s="129">
        <v>694.84799999999996</v>
      </c>
      <c r="N225" s="129">
        <v>694.84799999999996</v>
      </c>
      <c r="R225" s="5">
        <v>87141090</v>
      </c>
      <c r="S225" s="17" t="s">
        <v>22</v>
      </c>
      <c r="T225" s="5" t="s">
        <v>13</v>
      </c>
      <c r="U225" s="7">
        <v>0</v>
      </c>
      <c r="V225" s="7">
        <v>0</v>
      </c>
      <c r="W225" s="7">
        <f t="shared" si="35"/>
        <v>0</v>
      </c>
      <c r="X225" s="7">
        <v>240</v>
      </c>
    </row>
    <row r="226" spans="1:28" x14ac:dyDescent="0.3">
      <c r="A226" s="5" t="s">
        <v>217</v>
      </c>
      <c r="B226" s="5" t="s">
        <v>5</v>
      </c>
      <c r="C226" s="5">
        <v>2041015287</v>
      </c>
      <c r="D226" s="5" t="s">
        <v>367</v>
      </c>
      <c r="E226" s="7">
        <v>6352.9</v>
      </c>
      <c r="F226" s="5" t="s">
        <v>14</v>
      </c>
      <c r="J226" s="14">
        <v>28</v>
      </c>
      <c r="K226" s="138">
        <v>4963.2</v>
      </c>
      <c r="L226" s="129">
        <v>0</v>
      </c>
      <c r="M226" s="129">
        <v>694.84799999999996</v>
      </c>
      <c r="N226" s="129">
        <v>694.84799999999996</v>
      </c>
      <c r="R226" s="5">
        <v>87141090</v>
      </c>
      <c r="S226" s="17" t="s">
        <v>22</v>
      </c>
      <c r="T226" s="5" t="s">
        <v>13</v>
      </c>
      <c r="U226" s="7">
        <v>0</v>
      </c>
      <c r="V226" s="7">
        <v>0</v>
      </c>
      <c r="W226" s="7">
        <f t="shared" si="35"/>
        <v>0</v>
      </c>
      <c r="X226" s="7">
        <v>240</v>
      </c>
    </row>
    <row r="227" spans="1:28" x14ac:dyDescent="0.3">
      <c r="A227" s="5" t="s">
        <v>217</v>
      </c>
      <c r="B227" s="5" t="s">
        <v>5</v>
      </c>
      <c r="C227" s="5">
        <v>2041015308</v>
      </c>
      <c r="D227" s="5" t="s">
        <v>367</v>
      </c>
      <c r="E227" s="7">
        <v>72522.559999999998</v>
      </c>
      <c r="F227" s="5" t="s">
        <v>14</v>
      </c>
      <c r="J227" s="14">
        <v>28</v>
      </c>
      <c r="K227" s="138">
        <v>56658.239999999998</v>
      </c>
      <c r="L227" s="129">
        <v>0</v>
      </c>
      <c r="M227" s="129">
        <v>7932.1635999999999</v>
      </c>
      <c r="N227" s="129">
        <v>7932.1635999999999</v>
      </c>
      <c r="R227" s="5">
        <v>87141090</v>
      </c>
      <c r="S227" s="17" t="s">
        <v>22</v>
      </c>
      <c r="T227" s="5" t="s">
        <v>13</v>
      </c>
      <c r="U227" s="7">
        <v>0</v>
      </c>
      <c r="V227" s="7">
        <v>0</v>
      </c>
      <c r="W227" s="7">
        <f t="shared" si="35"/>
        <v>0</v>
      </c>
      <c r="X227" s="7">
        <f>764+764</f>
        <v>1528</v>
      </c>
    </row>
    <row r="228" spans="1:28" x14ac:dyDescent="0.3">
      <c r="A228" s="5" t="s">
        <v>217</v>
      </c>
      <c r="B228" s="5" t="s">
        <v>5</v>
      </c>
      <c r="C228" s="5">
        <v>2041016000</v>
      </c>
      <c r="D228" s="5" t="s">
        <v>419</v>
      </c>
      <c r="E228" s="7">
        <v>12705.8</v>
      </c>
      <c r="F228" s="5" t="s">
        <v>14</v>
      </c>
      <c r="J228" s="14">
        <v>28</v>
      </c>
      <c r="K228" s="138">
        <v>9926.4</v>
      </c>
      <c r="L228" s="129">
        <v>0</v>
      </c>
      <c r="M228" s="129">
        <v>1389.6959999999999</v>
      </c>
      <c r="N228" s="129">
        <v>1389.6959999999999</v>
      </c>
      <c r="R228" s="5">
        <v>87141090</v>
      </c>
      <c r="S228" s="17" t="s">
        <v>22</v>
      </c>
      <c r="T228" s="5" t="s">
        <v>13</v>
      </c>
      <c r="U228" s="7">
        <v>0</v>
      </c>
      <c r="V228" s="7">
        <v>0</v>
      </c>
      <c r="W228" s="7">
        <f t="shared" si="35"/>
        <v>0</v>
      </c>
      <c r="X228" s="7">
        <v>480</v>
      </c>
    </row>
    <row r="229" spans="1:28" x14ac:dyDescent="0.3">
      <c r="A229" s="5" t="s">
        <v>217</v>
      </c>
      <c r="B229" s="5" t="s">
        <v>5</v>
      </c>
      <c r="C229" s="5">
        <v>2041016001</v>
      </c>
      <c r="D229" s="5" t="s">
        <v>419</v>
      </c>
      <c r="E229" s="7">
        <v>12705.8</v>
      </c>
      <c r="F229" s="5" t="s">
        <v>14</v>
      </c>
      <c r="J229" s="14">
        <v>28</v>
      </c>
      <c r="K229" s="138">
        <v>9926.4</v>
      </c>
      <c r="L229" s="129">
        <v>0</v>
      </c>
      <c r="M229" s="129">
        <v>1389.6959999999999</v>
      </c>
      <c r="N229" s="129">
        <v>1389.6959999999999</v>
      </c>
      <c r="R229" s="5">
        <v>87141090</v>
      </c>
      <c r="S229" s="17" t="s">
        <v>22</v>
      </c>
      <c r="T229" s="5" t="s">
        <v>13</v>
      </c>
      <c r="U229" s="7">
        <v>0</v>
      </c>
      <c r="V229" s="7">
        <v>0</v>
      </c>
      <c r="W229" s="7">
        <f t="shared" si="35"/>
        <v>0</v>
      </c>
      <c r="X229" s="7">
        <v>480</v>
      </c>
    </row>
    <row r="230" spans="1:28" x14ac:dyDescent="0.3">
      <c r="A230" s="5" t="s">
        <v>217</v>
      </c>
      <c r="B230" s="5" t="s">
        <v>5</v>
      </c>
      <c r="C230" s="5">
        <v>2041016002</v>
      </c>
      <c r="D230" s="5" t="s">
        <v>419</v>
      </c>
      <c r="E230" s="7">
        <v>9493.4500000000007</v>
      </c>
      <c r="F230" s="5" t="s">
        <v>14</v>
      </c>
      <c r="J230" s="14">
        <v>28</v>
      </c>
      <c r="K230" s="138">
        <v>7416.75</v>
      </c>
      <c r="L230" s="129">
        <v>0</v>
      </c>
      <c r="M230" s="129">
        <v>1038.345</v>
      </c>
      <c r="N230" s="129">
        <v>1038.345</v>
      </c>
      <c r="R230" s="5">
        <v>87141090</v>
      </c>
      <c r="S230" s="17" t="s">
        <v>22</v>
      </c>
      <c r="T230" s="5" t="s">
        <v>13</v>
      </c>
      <c r="U230" s="7">
        <v>0</v>
      </c>
      <c r="V230" s="7">
        <v>0</v>
      </c>
      <c r="W230" s="7">
        <f t="shared" si="35"/>
        <v>0</v>
      </c>
      <c r="X230" s="7">
        <v>145</v>
      </c>
    </row>
    <row r="231" spans="1:28" x14ac:dyDescent="0.3">
      <c r="A231" s="5" t="s">
        <v>217</v>
      </c>
      <c r="B231" s="5" t="s">
        <v>5</v>
      </c>
      <c r="C231" s="5">
        <v>2041017327</v>
      </c>
      <c r="D231" s="5" t="s">
        <v>433</v>
      </c>
      <c r="E231" s="7">
        <v>22781.96</v>
      </c>
      <c r="F231" s="5" t="s">
        <v>14</v>
      </c>
      <c r="J231" s="14">
        <v>28</v>
      </c>
      <c r="K231" s="138">
        <v>17798.400000000001</v>
      </c>
      <c r="L231" s="129">
        <v>0</v>
      </c>
      <c r="M231" s="129">
        <v>2491.7760000000003</v>
      </c>
      <c r="N231" s="129">
        <v>2491.7760000000003</v>
      </c>
      <c r="R231" s="5">
        <v>87141090</v>
      </c>
      <c r="S231" s="17" t="s">
        <v>22</v>
      </c>
      <c r="T231" s="5" t="s">
        <v>13</v>
      </c>
      <c r="U231" s="7">
        <v>0</v>
      </c>
      <c r="V231" s="7">
        <v>0</v>
      </c>
      <c r="W231" s="7">
        <f t="shared" si="35"/>
        <v>0</v>
      </c>
      <c r="X231" s="7">
        <f>240+240</f>
        <v>480</v>
      </c>
    </row>
    <row r="232" spans="1:28" x14ac:dyDescent="0.3">
      <c r="A232" s="5" t="s">
        <v>420</v>
      </c>
      <c r="B232" s="5" t="s">
        <v>192</v>
      </c>
      <c r="C232" s="5">
        <v>1299</v>
      </c>
      <c r="D232" s="5" t="s">
        <v>419</v>
      </c>
      <c r="E232" s="7">
        <v>20130.8</v>
      </c>
      <c r="F232" s="5" t="s">
        <v>14</v>
      </c>
      <c r="J232" s="14">
        <v>18</v>
      </c>
      <c r="K232" s="138">
        <v>17060</v>
      </c>
      <c r="L232" s="129">
        <v>0</v>
      </c>
      <c r="M232" s="129">
        <v>1535.3999999999999</v>
      </c>
      <c r="N232" s="129">
        <v>1535.3999999999999</v>
      </c>
      <c r="R232" s="5">
        <v>3919</v>
      </c>
      <c r="S232" s="17" t="s">
        <v>22</v>
      </c>
      <c r="T232" s="5" t="s">
        <v>13</v>
      </c>
      <c r="U232" s="7">
        <v>0</v>
      </c>
      <c r="V232" s="7">
        <v>0</v>
      </c>
      <c r="W232" s="7">
        <f t="shared" si="35"/>
        <v>0</v>
      </c>
      <c r="X232" s="7">
        <v>1500</v>
      </c>
    </row>
    <row r="233" spans="1:28" x14ac:dyDescent="0.3">
      <c r="A233" s="121" t="s">
        <v>416</v>
      </c>
      <c r="B233" s="121" t="s">
        <v>417</v>
      </c>
      <c r="C233" s="5">
        <v>6464</v>
      </c>
      <c r="D233" s="5" t="s">
        <v>367</v>
      </c>
      <c r="E233" s="7">
        <v>14561</v>
      </c>
      <c r="F233" s="5" t="s">
        <v>14</v>
      </c>
      <c r="J233" s="14">
        <v>18</v>
      </c>
      <c r="K233" s="138">
        <v>353.57</v>
      </c>
      <c r="L233" s="129">
        <v>0</v>
      </c>
      <c r="M233" s="129">
        <v>32.001300000000001</v>
      </c>
      <c r="N233" s="129">
        <v>32.001300000000001</v>
      </c>
      <c r="R233" s="5">
        <v>9967</v>
      </c>
      <c r="S233" s="17" t="s">
        <v>461</v>
      </c>
      <c r="T233" s="5" t="s">
        <v>13</v>
      </c>
      <c r="U233" s="7">
        <v>0</v>
      </c>
      <c r="V233" s="7">
        <v>0</v>
      </c>
      <c r="W233" s="7">
        <f t="shared" si="35"/>
        <v>0</v>
      </c>
      <c r="X233" s="7">
        <v>2</v>
      </c>
    </row>
    <row r="234" spans="1:28" x14ac:dyDescent="0.3">
      <c r="A234" s="5" t="s">
        <v>282</v>
      </c>
      <c r="B234" s="5" t="s">
        <v>281</v>
      </c>
      <c r="C234" s="5">
        <v>34</v>
      </c>
      <c r="D234" s="5" t="s">
        <v>361</v>
      </c>
      <c r="E234" s="7">
        <v>482489.59999999998</v>
      </c>
      <c r="F234" s="5" t="s">
        <v>14</v>
      </c>
      <c r="G234" s="118" t="s">
        <v>11</v>
      </c>
      <c r="H234" s="118" t="s">
        <v>12</v>
      </c>
      <c r="I234" s="118"/>
      <c r="J234" s="14">
        <v>28</v>
      </c>
      <c r="K234" s="138">
        <v>376945</v>
      </c>
      <c r="L234" s="141">
        <v>0</v>
      </c>
      <c r="M234" s="141">
        <v>52772.299999999996</v>
      </c>
      <c r="N234" s="141">
        <v>52772.299999999996</v>
      </c>
      <c r="O234" s="118"/>
      <c r="P234" s="118" t="s">
        <v>350</v>
      </c>
      <c r="Q234" s="118" t="s">
        <v>342</v>
      </c>
      <c r="R234" s="5">
        <v>441480</v>
      </c>
      <c r="S234" s="17" t="s">
        <v>283</v>
      </c>
      <c r="T234" s="5" t="s">
        <v>13</v>
      </c>
      <c r="U234" s="7">
        <v>0</v>
      </c>
      <c r="V234" s="7">
        <v>0</v>
      </c>
      <c r="W234" s="7">
        <f t="shared" si="35"/>
        <v>0</v>
      </c>
      <c r="X234" s="7">
        <v>0</v>
      </c>
    </row>
    <row r="235" spans="1:28" x14ac:dyDescent="0.3">
      <c r="A235" s="5" t="s">
        <v>45</v>
      </c>
      <c r="B235" s="5" t="s">
        <v>360</v>
      </c>
      <c r="C235" s="5">
        <v>840012741</v>
      </c>
      <c r="D235" s="5" t="s">
        <v>361</v>
      </c>
      <c r="E235" s="7">
        <v>11205.92</v>
      </c>
      <c r="F235" s="5" t="s">
        <v>14</v>
      </c>
      <c r="G235" s="118" t="s">
        <v>11</v>
      </c>
      <c r="H235" s="118" t="s">
        <v>12</v>
      </c>
      <c r="I235" s="118"/>
      <c r="J235" s="14">
        <v>28</v>
      </c>
      <c r="K235" s="138">
        <v>8753.92</v>
      </c>
      <c r="L235" s="141">
        <v>0</v>
      </c>
      <c r="M235" s="141">
        <v>1225.9988000000001</v>
      </c>
      <c r="N235" s="141">
        <v>1225.9988000000001</v>
      </c>
      <c r="O235" s="118"/>
      <c r="P235" s="118" t="s">
        <v>350</v>
      </c>
      <c r="Q235" s="118" t="s">
        <v>342</v>
      </c>
      <c r="R235" s="5">
        <v>87082900</v>
      </c>
      <c r="S235" s="17" t="s">
        <v>22</v>
      </c>
      <c r="T235" s="5" t="s">
        <v>13</v>
      </c>
      <c r="U235" s="7">
        <v>0</v>
      </c>
      <c r="V235" s="7">
        <v>0</v>
      </c>
      <c r="W235" s="7">
        <f t="shared" si="35"/>
        <v>0</v>
      </c>
      <c r="X235" s="7">
        <v>56</v>
      </c>
    </row>
    <row r="236" spans="1:28" x14ac:dyDescent="0.3">
      <c r="A236" s="5" t="s">
        <v>45</v>
      </c>
      <c r="B236" s="5" t="s">
        <v>360</v>
      </c>
      <c r="C236" s="5">
        <v>840013151</v>
      </c>
      <c r="D236" s="5" t="s">
        <v>368</v>
      </c>
      <c r="E236" s="7">
        <f>4810.24+673+673</f>
        <v>6156.24</v>
      </c>
      <c r="F236" s="5" t="s">
        <v>14</v>
      </c>
      <c r="G236" s="118" t="s">
        <v>11</v>
      </c>
      <c r="H236" s="118" t="s">
        <v>12</v>
      </c>
      <c r="I236" s="118"/>
      <c r="J236" s="14">
        <v>28</v>
      </c>
      <c r="K236" s="138">
        <v>4810.24</v>
      </c>
      <c r="L236" s="141">
        <v>0</v>
      </c>
      <c r="M236" s="141">
        <v>673.00360000000001</v>
      </c>
      <c r="N236" s="141">
        <v>673.00360000000001</v>
      </c>
      <c r="O236" s="118"/>
      <c r="P236" s="118" t="s">
        <v>350</v>
      </c>
      <c r="Q236" s="118" t="s">
        <v>342</v>
      </c>
      <c r="R236" s="5">
        <v>87089900</v>
      </c>
      <c r="S236" s="17" t="s">
        <v>22</v>
      </c>
      <c r="T236" s="5" t="s">
        <v>13</v>
      </c>
      <c r="U236" s="7">
        <v>0</v>
      </c>
      <c r="V236" s="7">
        <v>0</v>
      </c>
      <c r="W236" s="7">
        <f t="shared" si="35"/>
        <v>0</v>
      </c>
      <c r="X236" s="7">
        <v>32</v>
      </c>
    </row>
    <row r="237" spans="1:28" x14ac:dyDescent="0.3">
      <c r="A237" s="5" t="s">
        <v>45</v>
      </c>
      <c r="B237" s="5" t="s">
        <v>360</v>
      </c>
      <c r="C237" s="5">
        <v>840013151</v>
      </c>
      <c r="D237" s="5" t="s">
        <v>368</v>
      </c>
      <c r="E237" s="7">
        <f>10422.4+1459+1459</f>
        <v>13340.4</v>
      </c>
      <c r="F237" s="5" t="s">
        <v>14</v>
      </c>
      <c r="G237" s="118" t="s">
        <v>11</v>
      </c>
      <c r="H237" s="118" t="s">
        <v>12</v>
      </c>
      <c r="I237" s="118"/>
      <c r="J237" s="14">
        <v>28</v>
      </c>
      <c r="K237" s="138">
        <v>10422.4</v>
      </c>
      <c r="L237" s="141">
        <v>0</v>
      </c>
      <c r="M237" s="141">
        <v>1458.9959999999999</v>
      </c>
      <c r="N237" s="141">
        <v>1458.9959999999999</v>
      </c>
      <c r="O237" s="118"/>
      <c r="P237" s="118" t="s">
        <v>350</v>
      </c>
      <c r="Q237" s="118" t="s">
        <v>342</v>
      </c>
      <c r="R237" s="5">
        <v>87081090</v>
      </c>
      <c r="S237" s="17" t="s">
        <v>22</v>
      </c>
      <c r="T237" s="5" t="s">
        <v>13</v>
      </c>
      <c r="U237" s="7">
        <v>0</v>
      </c>
      <c r="V237" s="7">
        <v>0</v>
      </c>
      <c r="W237" s="7">
        <f t="shared" si="35"/>
        <v>0</v>
      </c>
      <c r="X237" s="7">
        <v>80</v>
      </c>
      <c r="Y237">
        <f t="shared" ref="Y237:Y238" si="36">+K237/100*9</f>
        <v>938.01599999999985</v>
      </c>
      <c r="Z237">
        <f t="shared" ref="Z237:Z238" si="37">+K237/100*9</f>
        <v>938.01599999999985</v>
      </c>
      <c r="AA237" s="129">
        <f t="shared" ref="AA237:AA238" si="38">+Y237-M237</f>
        <v>-520.98</v>
      </c>
      <c r="AB237" s="129">
        <f t="shared" ref="AB237:AB238" si="39">+N237-Z237</f>
        <v>520.98</v>
      </c>
    </row>
    <row r="238" spans="1:28" x14ac:dyDescent="0.3">
      <c r="A238" s="5" t="s">
        <v>45</v>
      </c>
      <c r="B238" s="5" t="s">
        <v>360</v>
      </c>
      <c r="C238" s="5">
        <v>840013619</v>
      </c>
      <c r="D238" s="5" t="s">
        <v>372</v>
      </c>
      <c r="E238" s="7">
        <f>5086.72+712+712</f>
        <v>6510.72</v>
      </c>
      <c r="F238" s="5" t="s">
        <v>14</v>
      </c>
      <c r="G238" s="118" t="s">
        <v>11</v>
      </c>
      <c r="H238" s="118" t="s">
        <v>12</v>
      </c>
      <c r="I238" s="118"/>
      <c r="J238" s="14">
        <v>28</v>
      </c>
      <c r="K238" s="138">
        <v>5086.72</v>
      </c>
      <c r="L238" s="141">
        <v>0</v>
      </c>
      <c r="M238" s="141">
        <v>712.00080000000003</v>
      </c>
      <c r="N238" s="141">
        <v>712.00080000000003</v>
      </c>
      <c r="O238" s="118"/>
      <c r="P238" s="118" t="s">
        <v>350</v>
      </c>
      <c r="Q238" s="118" t="s">
        <v>342</v>
      </c>
      <c r="R238" s="5">
        <v>87089900</v>
      </c>
      <c r="S238" s="17" t="s">
        <v>22</v>
      </c>
      <c r="T238" s="5" t="s">
        <v>13</v>
      </c>
      <c r="U238" s="7">
        <v>0</v>
      </c>
      <c r="V238" s="7">
        <v>0</v>
      </c>
      <c r="W238" s="7">
        <f t="shared" si="35"/>
        <v>0</v>
      </c>
      <c r="X238" s="7">
        <v>32</v>
      </c>
      <c r="Y238">
        <f t="shared" si="36"/>
        <v>457.80480000000006</v>
      </c>
      <c r="Z238">
        <f t="shared" si="37"/>
        <v>457.80480000000006</v>
      </c>
      <c r="AA238" s="129">
        <f t="shared" si="38"/>
        <v>-254.19599999999997</v>
      </c>
      <c r="AB238" s="129">
        <f t="shared" si="39"/>
        <v>254.19599999999997</v>
      </c>
    </row>
    <row r="239" spans="1:28" x14ac:dyDescent="0.3">
      <c r="A239" s="5" t="s">
        <v>45</v>
      </c>
      <c r="B239" s="5" t="s">
        <v>360</v>
      </c>
      <c r="C239" s="5">
        <v>840013619</v>
      </c>
      <c r="D239" s="5" t="s">
        <v>372</v>
      </c>
      <c r="E239" s="7">
        <f>15633.6+2189+2189</f>
        <v>20011.599999999999</v>
      </c>
      <c r="F239" s="5" t="s">
        <v>14</v>
      </c>
      <c r="G239" s="118" t="s">
        <v>11</v>
      </c>
      <c r="H239" s="118" t="s">
        <v>12</v>
      </c>
      <c r="I239" s="118"/>
      <c r="J239" s="14">
        <v>28</v>
      </c>
      <c r="K239" s="138">
        <v>15633.6</v>
      </c>
      <c r="L239" s="141">
        <v>0</v>
      </c>
      <c r="M239" s="141">
        <v>2189.0040000000004</v>
      </c>
      <c r="N239" s="141">
        <v>2189.0040000000004</v>
      </c>
      <c r="O239" s="118"/>
      <c r="P239" s="118" t="s">
        <v>350</v>
      </c>
      <c r="Q239" s="118" t="s">
        <v>342</v>
      </c>
      <c r="R239" s="5">
        <v>87081090</v>
      </c>
      <c r="S239" s="17" t="s">
        <v>22</v>
      </c>
      <c r="T239" s="5" t="s">
        <v>13</v>
      </c>
      <c r="U239" s="7">
        <v>0</v>
      </c>
      <c r="V239" s="7">
        <v>0</v>
      </c>
      <c r="W239" s="7">
        <f t="shared" si="35"/>
        <v>0</v>
      </c>
      <c r="X239" s="7">
        <v>120</v>
      </c>
    </row>
    <row r="240" spans="1:28" x14ac:dyDescent="0.3">
      <c r="A240" s="5" t="s">
        <v>45</v>
      </c>
      <c r="B240" s="5" t="s">
        <v>360</v>
      </c>
      <c r="C240" s="5">
        <v>840013619</v>
      </c>
      <c r="D240" s="5" t="s">
        <v>372</v>
      </c>
      <c r="E240" s="7">
        <f>14381.44+2013+2013</f>
        <v>18407.440000000002</v>
      </c>
      <c r="F240" s="5" t="s">
        <v>14</v>
      </c>
      <c r="G240" s="118" t="s">
        <v>11</v>
      </c>
      <c r="H240" s="118" t="s">
        <v>12</v>
      </c>
      <c r="I240" s="118"/>
      <c r="J240" s="14">
        <v>28</v>
      </c>
      <c r="K240" s="138">
        <v>14381.44</v>
      </c>
      <c r="L240" s="141">
        <v>0</v>
      </c>
      <c r="M240" s="141">
        <v>2013.0016000000001</v>
      </c>
      <c r="N240" s="141">
        <v>2013.0016000000001</v>
      </c>
      <c r="O240" s="118"/>
      <c r="P240" s="118" t="s">
        <v>350</v>
      </c>
      <c r="Q240" s="118" t="s">
        <v>342</v>
      </c>
      <c r="R240" s="5">
        <v>87082900</v>
      </c>
      <c r="S240" s="17" t="s">
        <v>22</v>
      </c>
      <c r="T240" s="5" t="s">
        <v>13</v>
      </c>
      <c r="U240" s="7">
        <v>0</v>
      </c>
      <c r="V240" s="7">
        <v>0</v>
      </c>
      <c r="W240" s="7">
        <f t="shared" si="35"/>
        <v>0</v>
      </c>
      <c r="X240" s="7">
        <v>92</v>
      </c>
    </row>
    <row r="241" spans="1:28" x14ac:dyDescent="0.3">
      <c r="A241" s="5" t="s">
        <v>45</v>
      </c>
      <c r="B241" s="5" t="s">
        <v>360</v>
      </c>
      <c r="C241" s="5">
        <v>840014220</v>
      </c>
      <c r="D241" s="5" t="s">
        <v>375</v>
      </c>
      <c r="E241" s="7">
        <v>6156.24</v>
      </c>
      <c r="F241" s="5" t="s">
        <v>14</v>
      </c>
      <c r="G241" s="118" t="s">
        <v>11</v>
      </c>
      <c r="H241" s="118" t="s">
        <v>12</v>
      </c>
      <c r="I241" s="118"/>
      <c r="J241" s="14">
        <v>28</v>
      </c>
      <c r="K241" s="138">
        <v>4810.24</v>
      </c>
      <c r="L241" s="141">
        <v>0</v>
      </c>
      <c r="M241" s="141">
        <v>673.00360000000001</v>
      </c>
      <c r="N241" s="141">
        <v>673.00360000000001</v>
      </c>
      <c r="O241" s="118"/>
      <c r="P241" s="118" t="s">
        <v>350</v>
      </c>
      <c r="Q241" s="118" t="s">
        <v>342</v>
      </c>
      <c r="R241" s="5">
        <v>87089900</v>
      </c>
      <c r="S241" s="17" t="s">
        <v>22</v>
      </c>
      <c r="T241" s="5" t="s">
        <v>13</v>
      </c>
      <c r="U241" s="7">
        <v>0</v>
      </c>
      <c r="V241" s="7">
        <v>0</v>
      </c>
      <c r="W241" s="7">
        <f t="shared" si="35"/>
        <v>0</v>
      </c>
      <c r="X241" s="7">
        <v>32</v>
      </c>
    </row>
    <row r="242" spans="1:28" x14ac:dyDescent="0.3">
      <c r="A242" s="5" t="s">
        <v>45</v>
      </c>
      <c r="B242" s="5" t="s">
        <v>360</v>
      </c>
      <c r="C242" s="5">
        <v>840015083</v>
      </c>
      <c r="D242" s="5" t="s">
        <v>384</v>
      </c>
      <c r="E242" s="7">
        <f>7502.68+1050+1050+2405.12+337+337</f>
        <v>12681.8</v>
      </c>
      <c r="F242" s="5" t="s">
        <v>14</v>
      </c>
      <c r="G242" s="118" t="s">
        <v>11</v>
      </c>
      <c r="H242" s="118" t="s">
        <v>12</v>
      </c>
      <c r="I242" s="118"/>
      <c r="J242" s="14">
        <v>28</v>
      </c>
      <c r="K242" s="138">
        <f>7502.68+2405.12</f>
        <v>9907.7999999999993</v>
      </c>
      <c r="L242" s="141">
        <v>0</v>
      </c>
      <c r="M242" s="141">
        <v>1387.002</v>
      </c>
      <c r="N242" s="141">
        <v>1387.002</v>
      </c>
      <c r="O242" s="118"/>
      <c r="P242" s="118" t="s">
        <v>350</v>
      </c>
      <c r="Q242" s="118" t="s">
        <v>342</v>
      </c>
      <c r="R242" s="5">
        <v>87089900</v>
      </c>
      <c r="S242" s="17" t="s">
        <v>22</v>
      </c>
      <c r="T242" s="5" t="s">
        <v>13</v>
      </c>
      <c r="U242" s="7">
        <v>0</v>
      </c>
      <c r="V242" s="7">
        <v>0</v>
      </c>
      <c r="W242" s="7">
        <f t="shared" si="35"/>
        <v>0</v>
      </c>
      <c r="X242" s="7">
        <f>53+16</f>
        <v>69</v>
      </c>
      <c r="Y242">
        <f t="shared" ref="Y242:Y245" si="40">+K242/100*9</f>
        <v>891.70199999999988</v>
      </c>
      <c r="Z242">
        <f t="shared" ref="Z242:Z245" si="41">+K242/100*9</f>
        <v>891.70199999999988</v>
      </c>
      <c r="AA242" s="129">
        <f t="shared" ref="AA242:AA245" si="42">+Y242-M242</f>
        <v>-495.30000000000007</v>
      </c>
      <c r="AB242" s="129">
        <f t="shared" ref="AB242:AB245" si="43">+N242-Z242</f>
        <v>495.30000000000007</v>
      </c>
    </row>
    <row r="243" spans="1:28" x14ac:dyDescent="0.3">
      <c r="A243" s="5" t="s">
        <v>45</v>
      </c>
      <c r="B243" s="5" t="s">
        <v>360</v>
      </c>
      <c r="C243" s="5">
        <v>840015083</v>
      </c>
      <c r="D243" s="5" t="s">
        <v>384</v>
      </c>
      <c r="E243" s="7">
        <f>15632+2188+2188</f>
        <v>20008</v>
      </c>
      <c r="F243" s="5" t="s">
        <v>14</v>
      </c>
      <c r="G243" s="118" t="s">
        <v>11</v>
      </c>
      <c r="H243" s="118" t="s">
        <v>12</v>
      </c>
      <c r="I243" s="118"/>
      <c r="J243" s="14">
        <v>28</v>
      </c>
      <c r="K243" s="138">
        <v>15632</v>
      </c>
      <c r="L243" s="141">
        <v>0</v>
      </c>
      <c r="M243" s="141">
        <v>2188</v>
      </c>
      <c r="N243" s="141">
        <v>2188</v>
      </c>
      <c r="O243" s="118"/>
      <c r="P243" s="118" t="s">
        <v>350</v>
      </c>
      <c r="Q243" s="118" t="s">
        <v>342</v>
      </c>
      <c r="R243" s="5">
        <v>87082900</v>
      </c>
      <c r="S243" s="17" t="s">
        <v>22</v>
      </c>
      <c r="T243" s="5" t="s">
        <v>13</v>
      </c>
      <c r="U243" s="7">
        <v>0</v>
      </c>
      <c r="V243" s="7">
        <v>0</v>
      </c>
      <c r="W243" s="7">
        <f t="shared" si="35"/>
        <v>0</v>
      </c>
      <c r="X243" s="7">
        <v>100</v>
      </c>
      <c r="Y243">
        <f t="shared" si="40"/>
        <v>1406.8799999999999</v>
      </c>
      <c r="Z243">
        <f t="shared" si="41"/>
        <v>1406.8799999999999</v>
      </c>
      <c r="AA243" s="129">
        <f t="shared" si="42"/>
        <v>-781.12000000000012</v>
      </c>
      <c r="AB243" s="129">
        <f t="shared" si="43"/>
        <v>781.12000000000012</v>
      </c>
    </row>
    <row r="244" spans="1:28" x14ac:dyDescent="0.3">
      <c r="A244" s="5" t="s">
        <v>45</v>
      </c>
      <c r="B244" s="5" t="s">
        <v>360</v>
      </c>
      <c r="C244" s="5">
        <v>840016030</v>
      </c>
      <c r="D244" s="5" t="s">
        <v>386</v>
      </c>
      <c r="E244" s="7">
        <v>6927.52</v>
      </c>
      <c r="F244" s="5" t="s">
        <v>14</v>
      </c>
      <c r="G244" s="118" t="s">
        <v>11</v>
      </c>
      <c r="H244" s="118" t="s">
        <v>12</v>
      </c>
      <c r="I244" s="118"/>
      <c r="J244" s="14">
        <v>28</v>
      </c>
      <c r="K244" s="138">
        <v>5411.52</v>
      </c>
      <c r="L244" s="141">
        <v>0</v>
      </c>
      <c r="M244" s="141">
        <v>758.00279999999998</v>
      </c>
      <c r="N244" s="141">
        <v>758.00279999999998</v>
      </c>
      <c r="O244" s="118"/>
      <c r="P244" s="118" t="s">
        <v>350</v>
      </c>
      <c r="Q244" s="118" t="s">
        <v>342</v>
      </c>
      <c r="R244" s="5">
        <v>87089900</v>
      </c>
      <c r="S244" s="17" t="s">
        <v>22</v>
      </c>
      <c r="T244" s="5" t="s">
        <v>13</v>
      </c>
      <c r="U244" s="7">
        <v>0</v>
      </c>
      <c r="V244" s="7">
        <v>0</v>
      </c>
      <c r="W244" s="7">
        <f t="shared" si="35"/>
        <v>0</v>
      </c>
      <c r="X244" s="7">
        <v>36</v>
      </c>
      <c r="Y244">
        <f t="shared" si="40"/>
        <v>487.03680000000003</v>
      </c>
      <c r="Z244">
        <f t="shared" si="41"/>
        <v>487.03680000000003</v>
      </c>
      <c r="AA244" s="129">
        <f t="shared" si="42"/>
        <v>-270.96599999999995</v>
      </c>
      <c r="AB244" s="129">
        <f t="shared" si="43"/>
        <v>270.96599999999995</v>
      </c>
    </row>
    <row r="245" spans="1:28" x14ac:dyDescent="0.3">
      <c r="A245" s="5" t="s">
        <v>45</v>
      </c>
      <c r="B245" s="5" t="s">
        <v>360</v>
      </c>
      <c r="C245" s="5">
        <v>840016494</v>
      </c>
      <c r="D245" s="5" t="s">
        <v>387</v>
      </c>
      <c r="E245" s="7">
        <f>961.5+135+135</f>
        <v>1231.5</v>
      </c>
      <c r="F245" s="5" t="s">
        <v>14</v>
      </c>
      <c r="G245" s="118" t="s">
        <v>11</v>
      </c>
      <c r="H245" s="118" t="s">
        <v>12</v>
      </c>
      <c r="I245" s="118"/>
      <c r="J245" s="14">
        <v>28</v>
      </c>
      <c r="K245" s="138">
        <v>961.5</v>
      </c>
      <c r="L245" s="141">
        <v>0</v>
      </c>
      <c r="M245" s="141">
        <v>135</v>
      </c>
      <c r="N245" s="141">
        <v>135</v>
      </c>
      <c r="O245" s="118"/>
      <c r="P245" s="118" t="s">
        <v>350</v>
      </c>
      <c r="Q245" s="118" t="s">
        <v>342</v>
      </c>
      <c r="R245" s="5">
        <v>87089900</v>
      </c>
      <c r="S245" s="17" t="s">
        <v>22</v>
      </c>
      <c r="T245" s="5" t="s">
        <v>13</v>
      </c>
      <c r="U245" s="7">
        <v>0</v>
      </c>
      <c r="V245" s="7">
        <v>0</v>
      </c>
      <c r="W245" s="7">
        <f t="shared" si="35"/>
        <v>0</v>
      </c>
      <c r="X245" s="7">
        <v>150</v>
      </c>
      <c r="Y245">
        <f t="shared" si="40"/>
        <v>86.534999999999997</v>
      </c>
      <c r="Z245">
        <f t="shared" si="41"/>
        <v>86.534999999999997</v>
      </c>
      <c r="AA245" s="129">
        <f t="shared" si="42"/>
        <v>-48.465000000000003</v>
      </c>
      <c r="AB245" s="129">
        <f t="shared" si="43"/>
        <v>48.465000000000003</v>
      </c>
    </row>
    <row r="246" spans="1:28" x14ac:dyDescent="0.3">
      <c r="A246" s="5" t="s">
        <v>45</v>
      </c>
      <c r="B246" s="5" t="s">
        <v>360</v>
      </c>
      <c r="C246" s="5">
        <v>840016494</v>
      </c>
      <c r="D246" s="5" t="s">
        <v>387</v>
      </c>
      <c r="E246" s="7">
        <f>18108.92+2535+2535</f>
        <v>23178.92</v>
      </c>
      <c r="F246" s="5" t="s">
        <v>14</v>
      </c>
      <c r="G246" s="118" t="s">
        <v>11</v>
      </c>
      <c r="H246" s="118" t="s">
        <v>12</v>
      </c>
      <c r="I246" s="118"/>
      <c r="J246" s="14">
        <v>28</v>
      </c>
      <c r="K246" s="138">
        <v>18108.919999999998</v>
      </c>
      <c r="L246" s="141">
        <v>0</v>
      </c>
      <c r="M246" s="141">
        <v>2534.9987999999998</v>
      </c>
      <c r="N246" s="141">
        <v>2534.9987999999998</v>
      </c>
      <c r="O246" s="118"/>
      <c r="P246" s="118" t="s">
        <v>350</v>
      </c>
      <c r="Q246" s="118" t="s">
        <v>342</v>
      </c>
      <c r="R246" s="5">
        <v>87081090</v>
      </c>
      <c r="S246" s="17" t="s">
        <v>22</v>
      </c>
      <c r="T246" s="5" t="s">
        <v>13</v>
      </c>
      <c r="U246" s="7">
        <v>0</v>
      </c>
      <c r="V246" s="7">
        <v>0</v>
      </c>
      <c r="W246" s="7">
        <f t="shared" si="35"/>
        <v>0</v>
      </c>
      <c r="X246" s="7">
        <v>139</v>
      </c>
    </row>
    <row r="247" spans="1:28" x14ac:dyDescent="0.3">
      <c r="A247" s="5" t="s">
        <v>45</v>
      </c>
      <c r="B247" s="5" t="s">
        <v>360</v>
      </c>
      <c r="C247" s="5">
        <v>840017102</v>
      </c>
      <c r="D247" s="5" t="s">
        <v>390</v>
      </c>
      <c r="E247" s="7">
        <v>19920.16</v>
      </c>
      <c r="F247" s="5" t="s">
        <v>14</v>
      </c>
      <c r="G247" s="118" t="s">
        <v>11</v>
      </c>
      <c r="H247" s="118" t="s">
        <v>12</v>
      </c>
      <c r="I247" s="118"/>
      <c r="J247" s="14">
        <v>28</v>
      </c>
      <c r="K247" s="138">
        <v>15562.16</v>
      </c>
      <c r="L247" s="141">
        <v>0</v>
      </c>
      <c r="M247" s="141">
        <v>2179.0024000000003</v>
      </c>
      <c r="N247" s="141">
        <v>2179.0024000000003</v>
      </c>
      <c r="O247" s="118"/>
      <c r="P247" s="118" t="s">
        <v>350</v>
      </c>
      <c r="Q247" s="118" t="s">
        <v>342</v>
      </c>
      <c r="R247" s="5">
        <v>87089900</v>
      </c>
      <c r="S247" s="17" t="s">
        <v>22</v>
      </c>
      <c r="T247" s="5" t="s">
        <v>13</v>
      </c>
      <c r="U247" s="7">
        <v>0</v>
      </c>
      <c r="V247" s="7">
        <v>0</v>
      </c>
      <c r="W247" s="7">
        <f t="shared" si="35"/>
        <v>0</v>
      </c>
      <c r="X247" s="7">
        <f>32+74</f>
        <v>106</v>
      </c>
    </row>
    <row r="248" spans="1:28" x14ac:dyDescent="0.3">
      <c r="A248" s="5" t="s">
        <v>45</v>
      </c>
      <c r="B248" s="5" t="s">
        <v>360</v>
      </c>
      <c r="C248" s="5">
        <v>840017561</v>
      </c>
      <c r="D248" s="5" t="s">
        <v>392</v>
      </c>
      <c r="E248" s="7">
        <f>3179.2+445+445</f>
        <v>4069.2</v>
      </c>
      <c r="F248" s="5" t="s">
        <v>14</v>
      </c>
      <c r="G248" s="118" t="s">
        <v>11</v>
      </c>
      <c r="H248" s="118" t="s">
        <v>12</v>
      </c>
      <c r="I248" s="118"/>
      <c r="J248" s="14">
        <v>28</v>
      </c>
      <c r="K248" s="138">
        <v>3179.2</v>
      </c>
      <c r="L248" s="141">
        <v>0</v>
      </c>
      <c r="M248" s="141">
        <v>444.99799999999999</v>
      </c>
      <c r="N248" s="141">
        <v>444.99799999999999</v>
      </c>
      <c r="O248" s="118"/>
      <c r="P248" s="118" t="s">
        <v>350</v>
      </c>
      <c r="Q248" s="118" t="s">
        <v>342</v>
      </c>
      <c r="R248" s="5">
        <v>87089900</v>
      </c>
      <c r="S248" s="17" t="s">
        <v>22</v>
      </c>
      <c r="T248" s="5" t="s">
        <v>13</v>
      </c>
      <c r="U248" s="7">
        <v>0</v>
      </c>
      <c r="V248" s="7">
        <v>0</v>
      </c>
      <c r="W248" s="7">
        <f t="shared" si="35"/>
        <v>0</v>
      </c>
      <c r="X248" s="7">
        <v>20</v>
      </c>
      <c r="Y248">
        <f t="shared" ref="Y248:Y249" si="44">+K248/100*9</f>
        <v>286.12799999999999</v>
      </c>
      <c r="Z248">
        <f t="shared" ref="Z248:Z249" si="45">+K248/100*9</f>
        <v>286.12799999999999</v>
      </c>
      <c r="AA248" s="129">
        <f t="shared" ref="AA248:AA249" si="46">+Y248-M248</f>
        <v>-158.87</v>
      </c>
      <c r="AB248" s="129">
        <f t="shared" ref="AB248:AB249" si="47">+N248-Z248</f>
        <v>158.87</v>
      </c>
    </row>
    <row r="249" spans="1:28" x14ac:dyDescent="0.3">
      <c r="A249" s="5" t="s">
        <v>45</v>
      </c>
      <c r="B249" s="5" t="s">
        <v>360</v>
      </c>
      <c r="C249" s="5">
        <v>840017561</v>
      </c>
      <c r="D249" s="5" t="s">
        <v>392</v>
      </c>
      <c r="E249" s="7">
        <f>7816+1094+1094</f>
        <v>10004</v>
      </c>
      <c r="F249" s="5" t="s">
        <v>14</v>
      </c>
      <c r="G249" s="118" t="s">
        <v>11</v>
      </c>
      <c r="H249" s="118" t="s">
        <v>12</v>
      </c>
      <c r="I249" s="118"/>
      <c r="J249" s="14">
        <v>28</v>
      </c>
      <c r="K249" s="138">
        <v>7816</v>
      </c>
      <c r="L249" s="141">
        <v>0</v>
      </c>
      <c r="M249" s="141">
        <v>1094</v>
      </c>
      <c r="N249" s="141">
        <v>1094</v>
      </c>
      <c r="O249" s="118"/>
      <c r="P249" s="118" t="s">
        <v>350</v>
      </c>
      <c r="Q249" s="118" t="s">
        <v>342</v>
      </c>
      <c r="R249" s="5">
        <v>87082900</v>
      </c>
      <c r="S249" s="17" t="s">
        <v>22</v>
      </c>
      <c r="T249" s="5" t="s">
        <v>13</v>
      </c>
      <c r="U249" s="7">
        <v>0</v>
      </c>
      <c r="V249" s="7">
        <v>0</v>
      </c>
      <c r="W249" s="7">
        <f t="shared" si="35"/>
        <v>0</v>
      </c>
      <c r="X249" s="7">
        <v>50</v>
      </c>
      <c r="Y249">
        <f t="shared" si="44"/>
        <v>703.43999999999994</v>
      </c>
      <c r="Z249">
        <f t="shared" si="45"/>
        <v>703.43999999999994</v>
      </c>
      <c r="AA249" s="129">
        <f t="shared" si="46"/>
        <v>-390.56000000000006</v>
      </c>
      <c r="AB249" s="129">
        <f t="shared" si="47"/>
        <v>390.56000000000006</v>
      </c>
    </row>
    <row r="250" spans="1:28" x14ac:dyDescent="0.3">
      <c r="A250" s="5" t="s">
        <v>45</v>
      </c>
      <c r="B250" s="5" t="s">
        <v>360</v>
      </c>
      <c r="C250" s="5">
        <v>840018090</v>
      </c>
      <c r="D250" s="5" t="s">
        <v>395</v>
      </c>
      <c r="E250" s="7">
        <v>21844.68</v>
      </c>
      <c r="F250" s="5" t="s">
        <v>14</v>
      </c>
      <c r="G250" s="118" t="s">
        <v>11</v>
      </c>
      <c r="H250" s="118" t="s">
        <v>12</v>
      </c>
      <c r="I250" s="118"/>
      <c r="J250" s="14">
        <v>28</v>
      </c>
      <c r="K250" s="138">
        <v>17066.68</v>
      </c>
      <c r="L250" s="141">
        <v>0</v>
      </c>
      <c r="M250" s="141">
        <v>2388.9951999999998</v>
      </c>
      <c r="N250" s="141">
        <v>2388.9951999999998</v>
      </c>
      <c r="O250" s="118"/>
      <c r="P250" s="118" t="s">
        <v>350</v>
      </c>
      <c r="Q250" s="118" t="s">
        <v>342</v>
      </c>
      <c r="R250" s="5">
        <v>87081090</v>
      </c>
      <c r="S250" s="17" t="s">
        <v>22</v>
      </c>
      <c r="T250" s="5" t="s">
        <v>13</v>
      </c>
      <c r="U250" s="7">
        <v>0</v>
      </c>
      <c r="V250" s="7">
        <v>0</v>
      </c>
      <c r="W250" s="7">
        <f t="shared" si="35"/>
        <v>0</v>
      </c>
      <c r="X250" s="7">
        <v>131</v>
      </c>
    </row>
    <row r="251" spans="1:28" x14ac:dyDescent="0.3">
      <c r="A251" s="5" t="s">
        <v>45</v>
      </c>
      <c r="B251" s="5" t="s">
        <v>360</v>
      </c>
      <c r="C251" s="5">
        <v>840018727</v>
      </c>
      <c r="D251" s="5" t="s">
        <v>398</v>
      </c>
      <c r="E251" s="7">
        <f>2861.28+401+401+6228.64+872+872</f>
        <v>11635.92</v>
      </c>
      <c r="F251" s="5" t="s">
        <v>14</v>
      </c>
      <c r="G251" s="118" t="s">
        <v>11</v>
      </c>
      <c r="H251" s="118" t="s">
        <v>12</v>
      </c>
      <c r="I251" s="118"/>
      <c r="J251" s="14">
        <v>28</v>
      </c>
      <c r="K251" s="138">
        <f>2861.28+6228.64</f>
        <v>9089.92</v>
      </c>
      <c r="L251" s="141">
        <v>0</v>
      </c>
      <c r="M251" s="141">
        <v>1272.6887999999999</v>
      </c>
      <c r="N251" s="141">
        <v>1272.6887999999999</v>
      </c>
      <c r="O251" s="118"/>
      <c r="P251" s="118" t="s">
        <v>350</v>
      </c>
      <c r="Q251" s="118" t="s">
        <v>342</v>
      </c>
      <c r="R251" s="5">
        <v>87089900</v>
      </c>
      <c r="S251" s="17" t="s">
        <v>22</v>
      </c>
      <c r="T251" s="5" t="s">
        <v>13</v>
      </c>
      <c r="U251" s="7">
        <v>0</v>
      </c>
      <c r="V251" s="7">
        <v>0</v>
      </c>
      <c r="W251" s="7">
        <f t="shared" si="35"/>
        <v>0</v>
      </c>
      <c r="X251" s="7">
        <f>18+44</f>
        <v>62</v>
      </c>
    </row>
    <row r="252" spans="1:28" x14ac:dyDescent="0.3">
      <c r="A252" s="5" t="s">
        <v>45</v>
      </c>
      <c r="B252" s="5" t="s">
        <v>360</v>
      </c>
      <c r="C252" s="5">
        <v>840018727</v>
      </c>
      <c r="D252" s="5" t="s">
        <v>398</v>
      </c>
      <c r="E252" s="7">
        <f>5002.24+700+700</f>
        <v>6402.24</v>
      </c>
      <c r="F252" s="5" t="s">
        <v>14</v>
      </c>
      <c r="G252" s="118" t="s">
        <v>11</v>
      </c>
      <c r="H252" s="118" t="s">
        <v>12</v>
      </c>
      <c r="I252" s="118"/>
      <c r="J252" s="14">
        <v>28</v>
      </c>
      <c r="K252" s="138">
        <v>5002.24</v>
      </c>
      <c r="L252" s="141">
        <v>0</v>
      </c>
      <c r="M252" s="141">
        <v>700.31359999999995</v>
      </c>
      <c r="N252" s="141">
        <v>700.31359999999995</v>
      </c>
      <c r="O252" s="118"/>
      <c r="P252" s="118" t="s">
        <v>350</v>
      </c>
      <c r="Q252" s="118" t="s">
        <v>342</v>
      </c>
      <c r="R252" s="5">
        <v>87082900</v>
      </c>
      <c r="S252" s="17" t="s">
        <v>22</v>
      </c>
      <c r="T252" s="5" t="s">
        <v>13</v>
      </c>
      <c r="U252" s="7">
        <v>0</v>
      </c>
      <c r="V252" s="7">
        <v>0</v>
      </c>
      <c r="W252" s="7">
        <f t="shared" si="35"/>
        <v>0</v>
      </c>
      <c r="X252" s="7">
        <v>32</v>
      </c>
    </row>
    <row r="253" spans="1:28" x14ac:dyDescent="0.3">
      <c r="A253" s="5" t="s">
        <v>45</v>
      </c>
      <c r="B253" s="5" t="s">
        <v>360</v>
      </c>
      <c r="C253" s="5">
        <v>840019381</v>
      </c>
      <c r="D253" s="5" t="s">
        <v>401</v>
      </c>
      <c r="E253" s="7">
        <v>14674.64</v>
      </c>
      <c r="F253" s="5" t="s">
        <v>14</v>
      </c>
      <c r="G253" s="118" t="s">
        <v>11</v>
      </c>
      <c r="H253" s="118" t="s">
        <v>12</v>
      </c>
      <c r="I253" s="118"/>
      <c r="J253" s="14">
        <v>28</v>
      </c>
      <c r="K253" s="138">
        <v>11464.64</v>
      </c>
      <c r="L253" s="141">
        <v>0</v>
      </c>
      <c r="M253" s="141">
        <v>1604.9996000000001</v>
      </c>
      <c r="N253" s="141">
        <v>1604.9996000000001</v>
      </c>
      <c r="O253" s="118"/>
      <c r="P253" s="118" t="s">
        <v>350</v>
      </c>
      <c r="Q253" s="118" t="s">
        <v>342</v>
      </c>
      <c r="R253" s="5">
        <v>87081090</v>
      </c>
      <c r="S253" s="17" t="s">
        <v>22</v>
      </c>
      <c r="T253" s="5" t="s">
        <v>13</v>
      </c>
      <c r="U253" s="7">
        <v>0</v>
      </c>
      <c r="V253" s="7">
        <v>0</v>
      </c>
      <c r="W253" s="7">
        <f t="shared" si="35"/>
        <v>0</v>
      </c>
      <c r="X253" s="7">
        <v>88</v>
      </c>
    </row>
    <row r="254" spans="1:28" x14ac:dyDescent="0.3">
      <c r="A254" s="5" t="s">
        <v>45</v>
      </c>
      <c r="B254" s="5" t="s">
        <v>360</v>
      </c>
      <c r="C254" s="5">
        <v>840019800</v>
      </c>
      <c r="D254" s="5" t="s">
        <v>404</v>
      </c>
      <c r="E254" s="7">
        <v>7696.8</v>
      </c>
      <c r="F254" s="5" t="s">
        <v>14</v>
      </c>
      <c r="G254" s="118" t="s">
        <v>11</v>
      </c>
      <c r="H254" s="118" t="s">
        <v>12</v>
      </c>
      <c r="I254" s="118"/>
      <c r="J254" s="14">
        <v>28</v>
      </c>
      <c r="K254" s="138">
        <v>6012.8</v>
      </c>
      <c r="L254" s="141">
        <v>0</v>
      </c>
      <c r="M254" s="141">
        <v>842.00200000000007</v>
      </c>
      <c r="N254" s="141">
        <v>842.00200000000007</v>
      </c>
      <c r="O254" s="118"/>
      <c r="P254" s="118" t="s">
        <v>350</v>
      </c>
      <c r="Q254" s="118" t="s">
        <v>342</v>
      </c>
      <c r="R254" s="5">
        <v>87089900</v>
      </c>
      <c r="S254" s="17" t="s">
        <v>22</v>
      </c>
      <c r="T254" s="5" t="s">
        <v>13</v>
      </c>
      <c r="U254" s="7">
        <v>0</v>
      </c>
      <c r="V254" s="7">
        <v>0</v>
      </c>
      <c r="W254" s="7">
        <f t="shared" si="35"/>
        <v>0</v>
      </c>
      <c r="X254" s="7">
        <v>40</v>
      </c>
      <c r="Y254">
        <f>+K254/100*9</f>
        <v>541.15200000000004</v>
      </c>
      <c r="Z254">
        <f>+K254/100*9</f>
        <v>541.15200000000004</v>
      </c>
      <c r="AA254" s="129">
        <f>+Y254-M254</f>
        <v>-300.85000000000002</v>
      </c>
      <c r="AB254" s="129">
        <f>+N254-Z254</f>
        <v>300.85000000000002</v>
      </c>
    </row>
    <row r="255" spans="1:28" x14ac:dyDescent="0.3">
      <c r="A255" s="5" t="s">
        <v>45</v>
      </c>
      <c r="B255" s="5" t="s">
        <v>360</v>
      </c>
      <c r="C255" s="5">
        <v>840020790</v>
      </c>
      <c r="D255" s="5" t="s">
        <v>406</v>
      </c>
      <c r="E255" s="7">
        <v>1502</v>
      </c>
      <c r="F255" s="5" t="s">
        <v>14</v>
      </c>
      <c r="G255" s="118" t="s">
        <v>11</v>
      </c>
      <c r="H255" s="118" t="s">
        <v>12</v>
      </c>
      <c r="I255" s="118"/>
      <c r="J255" s="14">
        <v>28</v>
      </c>
      <c r="K255" s="138">
        <v>1174</v>
      </c>
      <c r="L255" s="141">
        <v>0</v>
      </c>
      <c r="M255" s="141">
        <v>164</v>
      </c>
      <c r="N255" s="141">
        <v>164</v>
      </c>
      <c r="O255" s="118"/>
      <c r="P255" s="118" t="s">
        <v>350</v>
      </c>
      <c r="Q255" s="118" t="s">
        <v>342</v>
      </c>
      <c r="R255" s="5">
        <v>87089900</v>
      </c>
      <c r="S255" s="17" t="s">
        <v>22</v>
      </c>
      <c r="T255" s="5" t="s">
        <v>13</v>
      </c>
      <c r="U255" s="7">
        <v>0</v>
      </c>
      <c r="V255" s="7">
        <v>0</v>
      </c>
      <c r="W255" s="7">
        <f t="shared" si="35"/>
        <v>0</v>
      </c>
      <c r="X255" s="7">
        <v>200</v>
      </c>
    </row>
    <row r="256" spans="1:28" x14ac:dyDescent="0.3">
      <c r="A256" s="5" t="s">
        <v>45</v>
      </c>
      <c r="B256" s="5" t="s">
        <v>360</v>
      </c>
      <c r="C256" s="5">
        <v>840020790</v>
      </c>
      <c r="D256" s="5" t="s">
        <v>406</v>
      </c>
      <c r="E256" s="7">
        <v>15842.6</v>
      </c>
      <c r="F256" s="5" t="s">
        <v>14</v>
      </c>
      <c r="G256" s="118" t="s">
        <v>11</v>
      </c>
      <c r="H256" s="118" t="s">
        <v>12</v>
      </c>
      <c r="I256" s="118"/>
      <c r="J256" s="14">
        <v>28</v>
      </c>
      <c r="K256" s="138">
        <v>12376.6</v>
      </c>
      <c r="L256" s="141">
        <v>0</v>
      </c>
      <c r="M256" s="141">
        <v>1733.0040000000001</v>
      </c>
      <c r="N256" s="141">
        <v>1733.0040000000001</v>
      </c>
      <c r="O256" s="118"/>
      <c r="P256" s="118" t="s">
        <v>350</v>
      </c>
      <c r="Q256" s="118" t="s">
        <v>342</v>
      </c>
      <c r="R256" s="5">
        <v>87081090</v>
      </c>
      <c r="S256" s="17" t="s">
        <v>22</v>
      </c>
      <c r="T256" s="5" t="s">
        <v>13</v>
      </c>
      <c r="U256" s="7">
        <v>0</v>
      </c>
      <c r="V256" s="7">
        <v>0</v>
      </c>
      <c r="W256" s="7">
        <f t="shared" si="35"/>
        <v>0</v>
      </c>
      <c r="X256" s="7">
        <v>95</v>
      </c>
    </row>
    <row r="257" spans="1:28" x14ac:dyDescent="0.3">
      <c r="A257" s="5" t="s">
        <v>45</v>
      </c>
      <c r="B257" s="5" t="s">
        <v>360</v>
      </c>
      <c r="C257" s="5">
        <v>840021252</v>
      </c>
      <c r="D257" s="5" t="s">
        <v>409</v>
      </c>
      <c r="E257" s="7">
        <f>6358.4+890+890+5662.4+793+793+3006.4+421+421</f>
        <v>19235.2</v>
      </c>
      <c r="F257" s="5" t="s">
        <v>14</v>
      </c>
      <c r="G257" s="118">
        <v>6254256.4800000004</v>
      </c>
      <c r="H257" s="118"/>
      <c r="I257" s="118"/>
      <c r="J257" s="14">
        <v>28</v>
      </c>
      <c r="K257" s="138">
        <f>6358.4+5662.4+3006.4</f>
        <v>15027.199999999999</v>
      </c>
      <c r="L257" s="141">
        <v>0</v>
      </c>
      <c r="M257" s="141">
        <v>2103.9079999999999</v>
      </c>
      <c r="N257" s="141">
        <v>2103.9079999999999</v>
      </c>
      <c r="O257" s="280">
        <f>SUM(O45:O256)</f>
        <v>0</v>
      </c>
      <c r="P257" s="280"/>
      <c r="Q257" s="280"/>
      <c r="R257" s="5">
        <v>87089900</v>
      </c>
      <c r="S257" s="17" t="s">
        <v>22</v>
      </c>
      <c r="T257" s="5" t="s">
        <v>13</v>
      </c>
      <c r="U257" s="7">
        <v>0</v>
      </c>
      <c r="V257" s="7">
        <v>0</v>
      </c>
      <c r="W257" s="7">
        <f t="shared" si="35"/>
        <v>0</v>
      </c>
      <c r="X257" s="7">
        <f>40+40+20</f>
        <v>100</v>
      </c>
    </row>
    <row r="258" spans="1:28" x14ac:dyDescent="0.3">
      <c r="A258" s="5" t="s">
        <v>45</v>
      </c>
      <c r="B258" s="5" t="s">
        <v>360</v>
      </c>
      <c r="C258" s="5">
        <v>840021252</v>
      </c>
      <c r="D258" s="5" t="s">
        <v>409</v>
      </c>
      <c r="E258" s="7">
        <f>9379.2+1313+1313</f>
        <v>12005.2</v>
      </c>
      <c r="F258" s="5" t="s">
        <v>14</v>
      </c>
      <c r="J258" s="14">
        <v>28</v>
      </c>
      <c r="K258" s="138">
        <v>9379.2000000000007</v>
      </c>
      <c r="L258" s="129">
        <v>0</v>
      </c>
      <c r="M258" s="129">
        <v>1313.088</v>
      </c>
      <c r="N258" s="129">
        <v>1313.088</v>
      </c>
      <c r="R258" s="5">
        <v>87082900</v>
      </c>
      <c r="S258" s="17" t="s">
        <v>22</v>
      </c>
      <c r="T258" s="5" t="s">
        <v>13</v>
      </c>
      <c r="U258" s="7">
        <v>0</v>
      </c>
      <c r="V258" s="7">
        <v>0</v>
      </c>
      <c r="W258" s="7">
        <f t="shared" si="35"/>
        <v>0</v>
      </c>
      <c r="X258" s="7">
        <v>60</v>
      </c>
    </row>
    <row r="259" spans="1:28" x14ac:dyDescent="0.3">
      <c r="A259" s="5" t="s">
        <v>45</v>
      </c>
      <c r="B259" s="5" t="s">
        <v>360</v>
      </c>
      <c r="C259" s="5">
        <v>840021788</v>
      </c>
      <c r="D259" s="5" t="s">
        <v>410</v>
      </c>
      <c r="E259" s="7">
        <f>1907.52+267+267+3607.68+505+505</f>
        <v>7059.2</v>
      </c>
      <c r="F259" s="5" t="s">
        <v>14</v>
      </c>
      <c r="J259" s="14">
        <v>28</v>
      </c>
      <c r="K259" s="138">
        <f>1907.52+3607.68</f>
        <v>5515.2</v>
      </c>
      <c r="L259" s="129">
        <v>0</v>
      </c>
      <c r="M259" s="129">
        <v>772.48800000000006</v>
      </c>
      <c r="N259" s="129">
        <v>772.48800000000006</v>
      </c>
      <c r="R259" s="5">
        <v>87089900</v>
      </c>
      <c r="S259" s="17" t="s">
        <v>22</v>
      </c>
      <c r="T259" s="5" t="s">
        <v>13</v>
      </c>
      <c r="U259" s="7">
        <v>0</v>
      </c>
      <c r="V259" s="7">
        <v>0</v>
      </c>
      <c r="W259" s="7">
        <f t="shared" si="35"/>
        <v>0</v>
      </c>
      <c r="X259" s="7">
        <f>12+24</f>
        <v>36</v>
      </c>
    </row>
    <row r="260" spans="1:28" x14ac:dyDescent="0.3">
      <c r="A260" s="5" t="s">
        <v>45</v>
      </c>
      <c r="B260" s="5" t="s">
        <v>360</v>
      </c>
      <c r="C260" s="5">
        <v>840021788</v>
      </c>
      <c r="D260" s="5" t="s">
        <v>410</v>
      </c>
      <c r="E260" s="7">
        <f>14982.2+2098+2098</f>
        <v>19178.2</v>
      </c>
      <c r="F260" s="5" t="s">
        <v>14</v>
      </c>
      <c r="J260" s="14">
        <v>28</v>
      </c>
      <c r="K260" s="138">
        <v>14982.2</v>
      </c>
      <c r="L260" s="129">
        <v>0</v>
      </c>
      <c r="M260" s="129">
        <v>2097.5079999999998</v>
      </c>
      <c r="N260" s="129">
        <v>2097.5079999999998</v>
      </c>
      <c r="R260" s="5">
        <v>87081090</v>
      </c>
      <c r="S260" s="17" t="s">
        <v>22</v>
      </c>
      <c r="T260" s="5" t="s">
        <v>13</v>
      </c>
      <c r="U260" s="7">
        <v>0</v>
      </c>
      <c r="V260" s="7">
        <v>0</v>
      </c>
      <c r="W260" s="7">
        <f t="shared" si="35"/>
        <v>0</v>
      </c>
      <c r="X260" s="7">
        <v>115</v>
      </c>
    </row>
    <row r="261" spans="1:28" x14ac:dyDescent="0.3">
      <c r="A261" s="5" t="s">
        <v>45</v>
      </c>
      <c r="B261" s="5" t="s">
        <v>360</v>
      </c>
      <c r="C261" s="5">
        <v>84002284</v>
      </c>
      <c r="D261" s="5" t="s">
        <v>413</v>
      </c>
      <c r="E261" s="7">
        <v>1855.63</v>
      </c>
      <c r="F261" s="5" t="s">
        <v>14</v>
      </c>
      <c r="J261" s="14">
        <v>28</v>
      </c>
      <c r="K261" s="138">
        <v>1449.63</v>
      </c>
      <c r="L261" s="129">
        <v>0</v>
      </c>
      <c r="M261" s="129">
        <v>202.99820000000003</v>
      </c>
      <c r="N261" s="129">
        <v>202.99820000000003</v>
      </c>
      <c r="R261" s="5">
        <v>87089900</v>
      </c>
      <c r="S261" s="17" t="s">
        <v>22</v>
      </c>
      <c r="T261" s="5" t="s">
        <v>13</v>
      </c>
      <c r="U261" s="7">
        <v>0</v>
      </c>
      <c r="V261" s="7">
        <v>0</v>
      </c>
      <c r="W261" s="7">
        <f t="shared" si="35"/>
        <v>0</v>
      </c>
      <c r="X261" s="7">
        <f>100+100+43</f>
        <v>243</v>
      </c>
      <c r="Y261">
        <f>+K261/100*9</f>
        <v>130.4667</v>
      </c>
      <c r="Z261">
        <f>+K261/100*9</f>
        <v>130.4667</v>
      </c>
      <c r="AA261" s="129">
        <f>+Y261-M261</f>
        <v>-72.531500000000023</v>
      </c>
      <c r="AB261" s="129">
        <f>+N261-Z261</f>
        <v>72.531500000000023</v>
      </c>
    </row>
    <row r="262" spans="1:28" x14ac:dyDescent="0.3">
      <c r="A262" s="5" t="s">
        <v>45</v>
      </c>
      <c r="B262" s="5" t="s">
        <v>360</v>
      </c>
      <c r="C262" s="5">
        <v>840022653</v>
      </c>
      <c r="D262" s="5" t="s">
        <v>367</v>
      </c>
      <c r="E262" s="7">
        <v>12207.6</v>
      </c>
      <c r="F262" s="5" t="s">
        <v>14</v>
      </c>
      <c r="J262" s="14">
        <v>28</v>
      </c>
      <c r="K262" s="138">
        <v>9537.6</v>
      </c>
      <c r="L262" s="129">
        <v>0</v>
      </c>
      <c r="M262" s="129">
        <v>1335.0040000000001</v>
      </c>
      <c r="N262" s="129">
        <v>1335.0040000000001</v>
      </c>
      <c r="R262" s="5">
        <v>87089900</v>
      </c>
      <c r="S262" s="17" t="s">
        <v>22</v>
      </c>
      <c r="T262" s="5" t="s">
        <v>13</v>
      </c>
      <c r="U262" s="7">
        <v>0</v>
      </c>
      <c r="V262" s="7">
        <v>0</v>
      </c>
      <c r="W262" s="7">
        <f t="shared" si="35"/>
        <v>0</v>
      </c>
      <c r="X262" s="7">
        <v>60</v>
      </c>
    </row>
    <row r="263" spans="1:28" x14ac:dyDescent="0.3">
      <c r="A263" s="5" t="s">
        <v>45</v>
      </c>
      <c r="B263" s="5" t="s">
        <v>360</v>
      </c>
      <c r="C263" s="5">
        <v>840023037</v>
      </c>
      <c r="D263" s="5" t="s">
        <v>418</v>
      </c>
      <c r="E263" s="7">
        <f>6012.8+842+842</f>
        <v>7696.8</v>
      </c>
      <c r="F263" s="5" t="s">
        <v>14</v>
      </c>
      <c r="J263" s="14">
        <v>28</v>
      </c>
      <c r="K263" s="138">
        <v>6012.8</v>
      </c>
      <c r="L263" s="129">
        <v>0</v>
      </c>
      <c r="M263" s="129">
        <v>842.00200000000007</v>
      </c>
      <c r="N263" s="129">
        <v>842.00200000000007</v>
      </c>
      <c r="R263" s="5">
        <v>87089900</v>
      </c>
      <c r="S263" s="17" t="s">
        <v>22</v>
      </c>
      <c r="T263" s="5" t="s">
        <v>13</v>
      </c>
      <c r="U263" s="7">
        <v>0</v>
      </c>
      <c r="V263" s="7">
        <v>0</v>
      </c>
      <c r="W263" s="7">
        <f t="shared" ref="W263:W326" si="48">+U263-V263</f>
        <v>0</v>
      </c>
      <c r="X263" s="7">
        <v>40</v>
      </c>
    </row>
    <row r="264" spans="1:28" x14ac:dyDescent="0.3">
      <c r="A264" s="5" t="s">
        <v>45</v>
      </c>
      <c r="B264" s="5" t="s">
        <v>360</v>
      </c>
      <c r="C264" s="5">
        <v>840023037</v>
      </c>
      <c r="D264" s="5" t="s">
        <v>418</v>
      </c>
      <c r="E264" s="7">
        <f>6252.8+875+875</f>
        <v>8002.8</v>
      </c>
      <c r="F264" s="5" t="s">
        <v>14</v>
      </c>
      <c r="J264" s="14">
        <v>28</v>
      </c>
      <c r="K264" s="138">
        <v>6252.8</v>
      </c>
      <c r="L264" s="129">
        <v>0</v>
      </c>
      <c r="M264" s="129">
        <v>875.00199999999995</v>
      </c>
      <c r="N264" s="129">
        <v>875.00199999999995</v>
      </c>
      <c r="R264" s="5">
        <v>87082900</v>
      </c>
      <c r="S264" s="17" t="s">
        <v>22</v>
      </c>
      <c r="T264" s="5" t="s">
        <v>13</v>
      </c>
      <c r="U264" s="7">
        <v>0</v>
      </c>
      <c r="V264" s="7">
        <v>0</v>
      </c>
      <c r="W264" s="7">
        <f t="shared" si="48"/>
        <v>0</v>
      </c>
      <c r="X264" s="7">
        <v>40</v>
      </c>
    </row>
    <row r="265" spans="1:28" x14ac:dyDescent="0.3">
      <c r="A265" s="5" t="s">
        <v>45</v>
      </c>
      <c r="B265" s="5" t="s">
        <v>360</v>
      </c>
      <c r="C265" s="5">
        <v>840023594</v>
      </c>
      <c r="D265" s="5" t="s">
        <v>419</v>
      </c>
      <c r="E265" s="7">
        <v>13952.12</v>
      </c>
      <c r="F265" s="5" t="s">
        <v>14</v>
      </c>
      <c r="J265" s="14">
        <v>28</v>
      </c>
      <c r="K265" s="138">
        <v>10900.12</v>
      </c>
      <c r="L265" s="129">
        <v>0</v>
      </c>
      <c r="M265" s="129">
        <v>1525.9968000000001</v>
      </c>
      <c r="N265" s="129">
        <v>1525.9968000000001</v>
      </c>
      <c r="R265" s="5">
        <v>87089900</v>
      </c>
      <c r="S265" s="17" t="s">
        <v>22</v>
      </c>
      <c r="T265" s="5" t="s">
        <v>13</v>
      </c>
      <c r="U265" s="7">
        <v>0</v>
      </c>
      <c r="V265" s="7">
        <v>0</v>
      </c>
      <c r="W265" s="7">
        <f t="shared" si="48"/>
        <v>0</v>
      </c>
      <c r="X265" s="7">
        <v>77</v>
      </c>
    </row>
    <row r="266" spans="1:28" x14ac:dyDescent="0.3">
      <c r="A266" s="5" t="s">
        <v>45</v>
      </c>
      <c r="B266" s="5" t="s">
        <v>360</v>
      </c>
      <c r="C266" s="5">
        <v>840023905</v>
      </c>
      <c r="D266" s="5" t="s">
        <v>424</v>
      </c>
      <c r="E266" s="7">
        <v>21980.84</v>
      </c>
      <c r="F266" s="5" t="s">
        <v>14</v>
      </c>
      <c r="J266" s="14">
        <v>28</v>
      </c>
      <c r="K266" s="138">
        <v>17172.84</v>
      </c>
      <c r="L266" s="129">
        <v>0</v>
      </c>
      <c r="M266" s="129">
        <v>2403.9976000000001</v>
      </c>
      <c r="N266" s="129">
        <v>2403.9976000000001</v>
      </c>
      <c r="R266" s="5">
        <v>87089900</v>
      </c>
      <c r="S266" s="17" t="s">
        <v>22</v>
      </c>
      <c r="T266" s="5" t="s">
        <v>13</v>
      </c>
      <c r="U266" s="7">
        <v>0</v>
      </c>
      <c r="V266" s="7">
        <v>0</v>
      </c>
      <c r="W266" s="7">
        <f t="shared" si="48"/>
        <v>0</v>
      </c>
      <c r="X266" s="7">
        <f>104+100</f>
        <v>204</v>
      </c>
      <c r="Y266">
        <f t="shared" ref="Y266:Y267" si="49">+K266/100*9</f>
        <v>1545.5555999999999</v>
      </c>
      <c r="Z266">
        <f t="shared" ref="Z266:Z267" si="50">+K266/100*9</f>
        <v>1545.5555999999999</v>
      </c>
      <c r="AA266" s="129">
        <f t="shared" ref="AA266:AA267" si="51">+Y266-M266</f>
        <v>-858.44200000000023</v>
      </c>
      <c r="AB266" s="129">
        <f t="shared" ref="AB266:AB267" si="52">+N266-Z266</f>
        <v>858.44200000000023</v>
      </c>
    </row>
    <row r="267" spans="1:28" x14ac:dyDescent="0.3">
      <c r="A267" s="5" t="s">
        <v>45</v>
      </c>
      <c r="B267" s="5" t="s">
        <v>360</v>
      </c>
      <c r="C267" s="5">
        <v>840024351</v>
      </c>
      <c r="D267" s="5" t="s">
        <v>430</v>
      </c>
      <c r="E267" s="7">
        <v>19677.04</v>
      </c>
      <c r="F267" s="5" t="s">
        <v>14</v>
      </c>
      <c r="J267" s="14">
        <v>28</v>
      </c>
      <c r="K267" s="138">
        <v>15373.04</v>
      </c>
      <c r="L267" s="129">
        <v>0</v>
      </c>
      <c r="M267" s="129">
        <v>2151.9956000000002</v>
      </c>
      <c r="N267" s="129">
        <v>2151.9956000000002</v>
      </c>
      <c r="R267" s="5">
        <v>87081090</v>
      </c>
      <c r="S267" s="17" t="s">
        <v>22</v>
      </c>
      <c r="T267" s="5" t="s">
        <v>13</v>
      </c>
      <c r="U267" s="7">
        <v>0</v>
      </c>
      <c r="V267" s="7">
        <v>0</v>
      </c>
      <c r="W267" s="7">
        <f t="shared" si="48"/>
        <v>0</v>
      </c>
      <c r="X267" s="7">
        <v>118</v>
      </c>
      <c r="Y267">
        <f t="shared" si="49"/>
        <v>1383.5735999999999</v>
      </c>
      <c r="Z267">
        <f t="shared" si="50"/>
        <v>1383.5735999999999</v>
      </c>
      <c r="AA267" s="129">
        <f t="shared" si="51"/>
        <v>-768.42200000000025</v>
      </c>
      <c r="AB267" s="129">
        <f t="shared" si="52"/>
        <v>768.42200000000025</v>
      </c>
    </row>
    <row r="268" spans="1:28" x14ac:dyDescent="0.3">
      <c r="A268" s="5" t="s">
        <v>45</v>
      </c>
      <c r="B268" s="5" t="s">
        <v>360</v>
      </c>
      <c r="C268" s="5">
        <v>840024934</v>
      </c>
      <c r="D268" s="5" t="s">
        <v>433</v>
      </c>
      <c r="E268" s="7">
        <v>4069.2</v>
      </c>
      <c r="F268" s="5" t="s">
        <v>14</v>
      </c>
      <c r="J268" s="14">
        <v>28</v>
      </c>
      <c r="K268" s="138">
        <v>3179.2</v>
      </c>
      <c r="L268" s="129">
        <v>0</v>
      </c>
      <c r="M268" s="129">
        <v>444.99799999999999</v>
      </c>
      <c r="N268" s="129">
        <v>444.99799999999999</v>
      </c>
      <c r="R268" s="5">
        <v>87089900</v>
      </c>
      <c r="S268" s="17" t="s">
        <v>22</v>
      </c>
      <c r="T268" s="5" t="s">
        <v>13</v>
      </c>
      <c r="U268" s="7">
        <v>0</v>
      </c>
      <c r="V268" s="7">
        <v>0</v>
      </c>
      <c r="W268" s="7">
        <f t="shared" si="48"/>
        <v>0</v>
      </c>
      <c r="X268" s="7">
        <v>20</v>
      </c>
    </row>
    <row r="269" spans="1:28" x14ac:dyDescent="0.3">
      <c r="A269" s="5" t="s">
        <v>267</v>
      </c>
      <c r="B269" s="5" t="s">
        <v>266</v>
      </c>
      <c r="C269" s="5" t="s">
        <v>363</v>
      </c>
      <c r="D269" s="5" t="s">
        <v>361</v>
      </c>
      <c r="E269" s="7">
        <v>30116</v>
      </c>
      <c r="F269" s="5" t="s">
        <v>14</v>
      </c>
      <c r="G269" s="118" t="s">
        <v>11</v>
      </c>
      <c r="H269" s="118" t="s">
        <v>12</v>
      </c>
      <c r="I269" s="118"/>
      <c r="J269" s="14">
        <v>28</v>
      </c>
      <c r="K269" s="138">
        <v>23528</v>
      </c>
      <c r="L269" s="141">
        <v>0</v>
      </c>
      <c r="M269" s="141">
        <v>3293.92</v>
      </c>
      <c r="N269" s="141">
        <v>3293.92</v>
      </c>
      <c r="O269" s="118"/>
      <c r="P269" s="118" t="s">
        <v>350</v>
      </c>
      <c r="Q269" s="118" t="s">
        <v>342</v>
      </c>
      <c r="R269" s="5">
        <v>32082090</v>
      </c>
      <c r="S269" s="17" t="s">
        <v>198</v>
      </c>
      <c r="T269" s="5" t="s">
        <v>197</v>
      </c>
      <c r="U269" s="7">
        <v>0</v>
      </c>
      <c r="V269" s="7">
        <v>0</v>
      </c>
      <c r="W269" s="7">
        <f t="shared" si="48"/>
        <v>0</v>
      </c>
      <c r="X269" s="7">
        <v>68</v>
      </c>
    </row>
    <row r="270" spans="1:28" x14ac:dyDescent="0.3">
      <c r="A270" s="5" t="s">
        <v>267</v>
      </c>
      <c r="B270" s="5" t="s">
        <v>266</v>
      </c>
      <c r="C270" s="5" t="s">
        <v>364</v>
      </c>
      <c r="D270" s="5" t="s">
        <v>361</v>
      </c>
      <c r="E270" s="7">
        <v>7096</v>
      </c>
      <c r="F270" s="5" t="s">
        <v>14</v>
      </c>
      <c r="G270" s="118" t="s">
        <v>11</v>
      </c>
      <c r="H270" s="118" t="s">
        <v>12</v>
      </c>
      <c r="I270" s="118"/>
      <c r="J270" s="14">
        <v>28</v>
      </c>
      <c r="K270" s="138">
        <v>5544</v>
      </c>
      <c r="L270" s="141">
        <v>0</v>
      </c>
      <c r="M270" s="141">
        <v>776.16</v>
      </c>
      <c r="N270" s="141">
        <v>776.16</v>
      </c>
      <c r="O270" s="118"/>
      <c r="P270" s="118" t="s">
        <v>350</v>
      </c>
      <c r="Q270" s="118" t="s">
        <v>342</v>
      </c>
      <c r="R270" s="5">
        <v>38140010</v>
      </c>
      <c r="S270" s="17" t="s">
        <v>198</v>
      </c>
      <c r="T270" s="5" t="s">
        <v>197</v>
      </c>
      <c r="U270" s="7">
        <v>0</v>
      </c>
      <c r="V270" s="7">
        <v>0</v>
      </c>
      <c r="W270" s="7">
        <f t="shared" si="48"/>
        <v>0</v>
      </c>
      <c r="X270" s="7">
        <v>60</v>
      </c>
    </row>
    <row r="271" spans="1:28" x14ac:dyDescent="0.3">
      <c r="A271" s="5" t="s">
        <v>267</v>
      </c>
      <c r="B271" s="5" t="s">
        <v>266</v>
      </c>
      <c r="C271" s="5" t="s">
        <v>388</v>
      </c>
      <c r="D271" s="5" t="s">
        <v>387</v>
      </c>
      <c r="E271" s="7">
        <v>13582</v>
      </c>
      <c r="F271" s="5" t="s">
        <v>14</v>
      </c>
      <c r="G271" s="118" t="s">
        <v>11</v>
      </c>
      <c r="H271" s="118" t="s">
        <v>12</v>
      </c>
      <c r="I271" s="118"/>
      <c r="J271" s="14">
        <v>28</v>
      </c>
      <c r="K271" s="138">
        <v>10611</v>
      </c>
      <c r="L271" s="141">
        <v>0</v>
      </c>
      <c r="M271" s="141">
        <v>1485.54</v>
      </c>
      <c r="N271" s="141">
        <v>1485.54</v>
      </c>
      <c r="O271" s="118"/>
      <c r="P271" s="118" t="s">
        <v>350</v>
      </c>
      <c r="Q271" s="118" t="s">
        <v>342</v>
      </c>
      <c r="R271" s="5">
        <v>38140010</v>
      </c>
      <c r="S271" s="17" t="s">
        <v>198</v>
      </c>
      <c r="T271" s="5" t="s">
        <v>197</v>
      </c>
      <c r="U271" s="7">
        <v>0</v>
      </c>
      <c r="V271" s="7">
        <v>0</v>
      </c>
      <c r="W271" s="7">
        <f t="shared" si="48"/>
        <v>0</v>
      </c>
      <c r="X271" s="7">
        <v>100</v>
      </c>
    </row>
    <row r="272" spans="1:28" x14ac:dyDescent="0.3">
      <c r="A272" s="5" t="s">
        <v>267</v>
      </c>
      <c r="B272" s="5" t="s">
        <v>266</v>
      </c>
      <c r="C272" s="5" t="s">
        <v>389</v>
      </c>
      <c r="D272" s="5" t="s">
        <v>387</v>
      </c>
      <c r="E272" s="7">
        <v>31252</v>
      </c>
      <c r="F272" s="5" t="s">
        <v>14</v>
      </c>
      <c r="G272" s="118" t="s">
        <v>11</v>
      </c>
      <c r="H272" s="118" t="s">
        <v>12</v>
      </c>
      <c r="I272" s="118"/>
      <c r="J272" s="14">
        <v>28</v>
      </c>
      <c r="K272" s="138">
        <v>24415.3</v>
      </c>
      <c r="L272" s="141">
        <v>0</v>
      </c>
      <c r="M272" s="141">
        <v>3418.1419999999998</v>
      </c>
      <c r="N272" s="141">
        <v>3418.1419999999998</v>
      </c>
      <c r="O272" s="118"/>
      <c r="P272" s="118" t="s">
        <v>350</v>
      </c>
      <c r="Q272" s="118" t="s">
        <v>342</v>
      </c>
      <c r="R272" s="5">
        <v>32082090</v>
      </c>
      <c r="S272" s="17" t="s">
        <v>198</v>
      </c>
      <c r="T272" s="5" t="s">
        <v>197</v>
      </c>
      <c r="U272" s="7">
        <v>0</v>
      </c>
      <c r="V272" s="7">
        <v>0</v>
      </c>
      <c r="W272" s="7">
        <f t="shared" si="48"/>
        <v>0</v>
      </c>
      <c r="X272" s="7">
        <v>70</v>
      </c>
    </row>
    <row r="273" spans="1:28" x14ac:dyDescent="0.3">
      <c r="A273" s="5" t="s">
        <v>267</v>
      </c>
      <c r="B273" s="5" t="s">
        <v>266</v>
      </c>
      <c r="C273" s="5">
        <v>271028115</v>
      </c>
      <c r="D273" s="5" t="s">
        <v>392</v>
      </c>
      <c r="E273" s="7">
        <v>62577</v>
      </c>
      <c r="F273" s="5" t="s">
        <v>14</v>
      </c>
      <c r="G273" s="118" t="s">
        <v>11</v>
      </c>
      <c r="H273" s="118" t="s">
        <v>12</v>
      </c>
      <c r="I273" s="118"/>
      <c r="J273" s="14">
        <v>28</v>
      </c>
      <c r="K273" s="138">
        <v>48888</v>
      </c>
      <c r="L273" s="141">
        <v>0</v>
      </c>
      <c r="M273" s="141">
        <v>6844.32</v>
      </c>
      <c r="N273" s="141">
        <v>6844.32</v>
      </c>
      <c r="O273" s="118"/>
      <c r="P273" s="118" t="s">
        <v>350</v>
      </c>
      <c r="Q273" s="118" t="s">
        <v>342</v>
      </c>
      <c r="R273" s="5">
        <v>32082090</v>
      </c>
      <c r="S273" s="17" t="s">
        <v>198</v>
      </c>
      <c r="T273" s="5" t="s">
        <v>197</v>
      </c>
      <c r="U273" s="7">
        <v>0</v>
      </c>
      <c r="V273" s="7">
        <v>0</v>
      </c>
      <c r="W273" s="7">
        <f t="shared" si="48"/>
        <v>0</v>
      </c>
      <c r="X273" s="7">
        <v>168</v>
      </c>
    </row>
    <row r="274" spans="1:28" x14ac:dyDescent="0.3">
      <c r="A274" s="5" t="s">
        <v>267</v>
      </c>
      <c r="B274" s="5" t="s">
        <v>266</v>
      </c>
      <c r="C274" s="5">
        <v>271029615</v>
      </c>
      <c r="D274" s="5" t="s">
        <v>396</v>
      </c>
      <c r="E274" s="7">
        <v>156442</v>
      </c>
      <c r="F274" s="5" t="s">
        <v>14</v>
      </c>
      <c r="G274" s="118" t="s">
        <v>11</v>
      </c>
      <c r="H274" s="118" t="s">
        <v>12</v>
      </c>
      <c r="I274" s="118"/>
      <c r="J274" s="14">
        <v>28</v>
      </c>
      <c r="K274" s="138">
        <v>122220</v>
      </c>
      <c r="L274" s="141">
        <v>0</v>
      </c>
      <c r="M274" s="141">
        <v>17110.8</v>
      </c>
      <c r="N274" s="141">
        <v>17110.8</v>
      </c>
      <c r="O274" s="118"/>
      <c r="P274" s="118" t="s">
        <v>350</v>
      </c>
      <c r="Q274" s="118" t="s">
        <v>342</v>
      </c>
      <c r="R274" s="5">
        <v>32082090</v>
      </c>
      <c r="S274" s="17" t="s">
        <v>198</v>
      </c>
      <c r="T274" s="5" t="s">
        <v>197</v>
      </c>
      <c r="U274" s="7">
        <v>0</v>
      </c>
      <c r="V274" s="7">
        <v>0</v>
      </c>
      <c r="W274" s="7">
        <f t="shared" si="48"/>
        <v>0</v>
      </c>
      <c r="X274" s="7">
        <v>420</v>
      </c>
      <c r="Y274">
        <f t="shared" ref="Y274:Y277" si="53">+K274/100*9</f>
        <v>10999.800000000001</v>
      </c>
      <c r="Z274">
        <f t="shared" ref="Z274:Z277" si="54">+K274/100*9</f>
        <v>10999.800000000001</v>
      </c>
      <c r="AA274" s="129">
        <f t="shared" ref="AA274:AA277" si="55">+Y274-M274</f>
        <v>-6110.9999999999982</v>
      </c>
      <c r="AB274" s="129">
        <f t="shared" ref="AB274:AB277" si="56">+N274-Z274</f>
        <v>6110.9999999999982</v>
      </c>
    </row>
    <row r="275" spans="1:28" x14ac:dyDescent="0.3">
      <c r="A275" s="5" t="s">
        <v>267</v>
      </c>
      <c r="B275" s="5" t="s">
        <v>266</v>
      </c>
      <c r="C275" s="5">
        <v>271030122</v>
      </c>
      <c r="D275" s="5" t="s">
        <v>398</v>
      </c>
      <c r="E275" s="7">
        <v>6758</v>
      </c>
      <c r="F275" s="5" t="s">
        <v>14</v>
      </c>
      <c r="G275" s="118" t="s">
        <v>11</v>
      </c>
      <c r="H275" s="118" t="s">
        <v>12</v>
      </c>
      <c r="I275" s="118"/>
      <c r="J275" s="14">
        <v>28</v>
      </c>
      <c r="K275" s="138">
        <v>5280</v>
      </c>
      <c r="L275" s="141">
        <v>0</v>
      </c>
      <c r="M275" s="141">
        <v>739.19999999999993</v>
      </c>
      <c r="N275" s="141">
        <v>739.19999999999993</v>
      </c>
      <c r="O275" s="118"/>
      <c r="P275" s="118" t="s">
        <v>350</v>
      </c>
      <c r="Q275" s="118" t="s">
        <v>342</v>
      </c>
      <c r="R275" s="5">
        <v>32082090</v>
      </c>
      <c r="S275" s="17" t="s">
        <v>198</v>
      </c>
      <c r="T275" s="5" t="s">
        <v>197</v>
      </c>
      <c r="U275" s="7">
        <v>0</v>
      </c>
      <c r="V275" s="7">
        <v>0</v>
      </c>
      <c r="W275" s="7">
        <f t="shared" si="48"/>
        <v>0</v>
      </c>
      <c r="X275" s="7">
        <v>16</v>
      </c>
      <c r="Y275">
        <f t="shared" si="53"/>
        <v>475.2</v>
      </c>
      <c r="Z275">
        <f t="shared" si="54"/>
        <v>475.2</v>
      </c>
      <c r="AA275" s="129">
        <f t="shared" si="55"/>
        <v>-263.99999999999994</v>
      </c>
      <c r="AB275" s="129">
        <f t="shared" si="56"/>
        <v>263.99999999999994</v>
      </c>
    </row>
    <row r="276" spans="1:28" x14ac:dyDescent="0.3">
      <c r="A276" s="5" t="s">
        <v>267</v>
      </c>
      <c r="B276" s="5" t="s">
        <v>266</v>
      </c>
      <c r="C276" s="5">
        <v>271030123</v>
      </c>
      <c r="D276" s="5" t="s">
        <v>398</v>
      </c>
      <c r="E276" s="7">
        <v>40746</v>
      </c>
      <c r="F276" s="5" t="s">
        <v>14</v>
      </c>
      <c r="G276" s="118" t="s">
        <v>11</v>
      </c>
      <c r="H276" s="118" t="s">
        <v>12</v>
      </c>
      <c r="I276" s="118"/>
      <c r="J276" s="14">
        <v>28</v>
      </c>
      <c r="K276" s="138">
        <v>31833</v>
      </c>
      <c r="L276" s="141">
        <v>0</v>
      </c>
      <c r="M276" s="141">
        <v>4456.62</v>
      </c>
      <c r="N276" s="141">
        <v>4456.62</v>
      </c>
      <c r="O276" s="118"/>
      <c r="P276" s="118" t="s">
        <v>350</v>
      </c>
      <c r="Q276" s="118" t="s">
        <v>342</v>
      </c>
      <c r="R276" s="5">
        <v>38140010</v>
      </c>
      <c r="S276" s="17" t="s">
        <v>198</v>
      </c>
      <c r="T276" s="5" t="s">
        <v>197</v>
      </c>
      <c r="U276" s="7">
        <v>0</v>
      </c>
      <c r="V276" s="7">
        <v>0</v>
      </c>
      <c r="W276" s="7">
        <f t="shared" si="48"/>
        <v>0</v>
      </c>
      <c r="X276" s="7">
        <v>300</v>
      </c>
      <c r="Y276">
        <f t="shared" si="53"/>
        <v>2864.97</v>
      </c>
      <c r="Z276">
        <f t="shared" si="54"/>
        <v>2864.97</v>
      </c>
      <c r="AA276" s="129">
        <f t="shared" si="55"/>
        <v>-1591.65</v>
      </c>
      <c r="AB276" s="129">
        <f t="shared" si="56"/>
        <v>1591.65</v>
      </c>
    </row>
    <row r="277" spans="1:28" x14ac:dyDescent="0.3">
      <c r="A277" s="5" t="s">
        <v>267</v>
      </c>
      <c r="B277" s="5" t="s">
        <v>266</v>
      </c>
      <c r="C277" s="5">
        <v>271034778</v>
      </c>
      <c r="D277" s="5" t="s">
        <v>406</v>
      </c>
      <c r="E277" s="7">
        <v>219018</v>
      </c>
      <c r="F277" s="5" t="s">
        <v>14</v>
      </c>
      <c r="G277" s="118"/>
      <c r="H277" s="118"/>
      <c r="I277" s="118"/>
      <c r="J277" s="14">
        <v>28</v>
      </c>
      <c r="K277" s="138">
        <v>171108</v>
      </c>
      <c r="L277" s="141">
        <v>0</v>
      </c>
      <c r="M277" s="141">
        <v>23955.119999999999</v>
      </c>
      <c r="N277" s="141">
        <v>23955.119999999999</v>
      </c>
      <c r="O277" s="118"/>
      <c r="P277" s="118" t="s">
        <v>347</v>
      </c>
      <c r="Q277" s="118" t="s">
        <v>343</v>
      </c>
      <c r="R277" s="5">
        <v>32082090</v>
      </c>
      <c r="S277" s="17" t="s">
        <v>198</v>
      </c>
      <c r="T277" s="5" t="s">
        <v>197</v>
      </c>
      <c r="U277" s="7">
        <v>0</v>
      </c>
      <c r="V277" s="7">
        <v>0</v>
      </c>
      <c r="W277" s="7">
        <f t="shared" si="48"/>
        <v>0</v>
      </c>
      <c r="X277" s="7">
        <v>588</v>
      </c>
      <c r="Y277">
        <f t="shared" si="53"/>
        <v>15399.72</v>
      </c>
      <c r="Z277">
        <f t="shared" si="54"/>
        <v>15399.72</v>
      </c>
      <c r="AA277" s="129">
        <f t="shared" si="55"/>
        <v>-8555.4</v>
      </c>
      <c r="AB277" s="129">
        <f t="shared" si="56"/>
        <v>8555.4</v>
      </c>
    </row>
    <row r="278" spans="1:28" x14ac:dyDescent="0.3">
      <c r="A278" s="5" t="s">
        <v>267</v>
      </c>
      <c r="B278" s="5" t="s">
        <v>266</v>
      </c>
      <c r="C278" s="5">
        <v>271035523</v>
      </c>
      <c r="D278" s="5" t="s">
        <v>409</v>
      </c>
      <c r="E278" s="7">
        <v>13582</v>
      </c>
      <c r="F278" s="5" t="s">
        <v>14</v>
      </c>
      <c r="H278">
        <v>-28169</v>
      </c>
      <c r="J278" s="14">
        <v>28</v>
      </c>
      <c r="K278" s="138">
        <v>10611</v>
      </c>
      <c r="L278" s="129">
        <v>0</v>
      </c>
      <c r="M278" s="129">
        <v>1485.54</v>
      </c>
      <c r="N278" s="129">
        <v>1485.54</v>
      </c>
      <c r="R278" s="5">
        <v>38140010</v>
      </c>
      <c r="S278" s="17" t="s">
        <v>198</v>
      </c>
      <c r="T278" s="5" t="s">
        <v>197</v>
      </c>
      <c r="U278" s="7">
        <v>0</v>
      </c>
      <c r="V278" s="7">
        <v>0</v>
      </c>
      <c r="W278" s="7">
        <f t="shared" si="48"/>
        <v>0</v>
      </c>
      <c r="X278" s="7">
        <v>100</v>
      </c>
    </row>
    <row r="279" spans="1:28" x14ac:dyDescent="0.3">
      <c r="A279" s="5" t="s">
        <v>381</v>
      </c>
      <c r="B279" s="5" t="s">
        <v>382</v>
      </c>
      <c r="C279" s="5">
        <v>9330000019</v>
      </c>
      <c r="D279" s="5" t="s">
        <v>380</v>
      </c>
      <c r="E279" s="7">
        <v>129280</v>
      </c>
      <c r="F279" s="5" t="s">
        <v>14</v>
      </c>
      <c r="G279" s="118" t="s">
        <v>11</v>
      </c>
      <c r="H279" s="118" t="s">
        <v>12</v>
      </c>
      <c r="I279" s="118"/>
      <c r="J279" s="14">
        <v>28</v>
      </c>
      <c r="K279" s="138">
        <v>101000</v>
      </c>
      <c r="L279" s="141">
        <v>0</v>
      </c>
      <c r="M279" s="141">
        <v>14140</v>
      </c>
      <c r="N279" s="141">
        <v>14140</v>
      </c>
      <c r="O279" s="118"/>
      <c r="P279" s="118" t="s">
        <v>350</v>
      </c>
      <c r="Q279" s="118" t="s">
        <v>342</v>
      </c>
      <c r="R279" s="5">
        <v>32082090</v>
      </c>
      <c r="S279" s="17" t="s">
        <v>22</v>
      </c>
      <c r="T279" s="5" t="s">
        <v>13</v>
      </c>
      <c r="U279" s="7">
        <v>0</v>
      </c>
      <c r="V279" s="7">
        <v>0</v>
      </c>
      <c r="W279" s="7">
        <f t="shared" si="48"/>
        <v>0</v>
      </c>
      <c r="X279" s="7">
        <v>304</v>
      </c>
    </row>
    <row r="280" spans="1:28" x14ac:dyDescent="0.3">
      <c r="A280" s="5" t="s">
        <v>381</v>
      </c>
      <c r="B280" s="5" t="s">
        <v>382</v>
      </c>
      <c r="C280" s="5">
        <v>9330000111</v>
      </c>
      <c r="D280" s="5" t="s">
        <v>401</v>
      </c>
      <c r="E280" s="7">
        <v>87475</v>
      </c>
      <c r="F280" s="5" t="s">
        <v>14</v>
      </c>
      <c r="G280" s="118" t="s">
        <v>11</v>
      </c>
      <c r="H280" s="118" t="s">
        <v>12</v>
      </c>
      <c r="I280" s="118"/>
      <c r="J280" s="14">
        <v>28</v>
      </c>
      <c r="K280" s="138">
        <v>68340</v>
      </c>
      <c r="L280" s="141">
        <v>0</v>
      </c>
      <c r="M280" s="141">
        <v>9567.6</v>
      </c>
      <c r="N280" s="141">
        <v>9567.6</v>
      </c>
      <c r="O280" s="118"/>
      <c r="P280" s="118" t="s">
        <v>350</v>
      </c>
      <c r="Q280" s="118" t="s">
        <v>342</v>
      </c>
      <c r="R280" s="5">
        <v>32082090</v>
      </c>
      <c r="S280" s="17" t="s">
        <v>22</v>
      </c>
      <c r="T280" s="5" t="s">
        <v>197</v>
      </c>
      <c r="U280" s="7">
        <v>0</v>
      </c>
      <c r="V280" s="7">
        <v>0</v>
      </c>
      <c r="W280" s="7">
        <f t="shared" si="48"/>
        <v>0</v>
      </c>
      <c r="X280" s="7">
        <v>204</v>
      </c>
    </row>
    <row r="281" spans="1:28" x14ac:dyDescent="0.3">
      <c r="A281" s="5" t="s">
        <v>186</v>
      </c>
      <c r="B281" s="5" t="s">
        <v>187</v>
      </c>
      <c r="C281" s="5">
        <v>2701803289</v>
      </c>
      <c r="D281" s="5" t="s">
        <v>368</v>
      </c>
      <c r="E281" s="7">
        <v>101291.92</v>
      </c>
      <c r="F281" s="5" t="s">
        <v>14</v>
      </c>
      <c r="G281" s="118" t="s">
        <v>11</v>
      </c>
      <c r="H281" s="118" t="s">
        <v>12</v>
      </c>
      <c r="I281" s="118"/>
      <c r="J281" s="14">
        <v>28</v>
      </c>
      <c r="K281" s="138">
        <v>79134.3</v>
      </c>
      <c r="L281" s="141">
        <v>0</v>
      </c>
      <c r="M281" s="141">
        <v>11078.812000000002</v>
      </c>
      <c r="N281" s="141">
        <v>11078.812000000002</v>
      </c>
      <c r="O281" s="118"/>
      <c r="P281" s="118" t="s">
        <v>350</v>
      </c>
      <c r="Q281" s="118" t="s">
        <v>342</v>
      </c>
      <c r="R281" s="5">
        <v>87142090</v>
      </c>
      <c r="S281" s="17" t="s">
        <v>22</v>
      </c>
      <c r="T281" s="5" t="s">
        <v>13</v>
      </c>
      <c r="U281" s="7">
        <v>0</v>
      </c>
      <c r="V281" s="7">
        <v>0</v>
      </c>
      <c r="W281" s="7">
        <f t="shared" si="48"/>
        <v>0</v>
      </c>
      <c r="X281" s="7">
        <f>3565+3590</f>
        <v>7155</v>
      </c>
    </row>
    <row r="282" spans="1:28" x14ac:dyDescent="0.3">
      <c r="A282" s="5" t="s">
        <v>186</v>
      </c>
      <c r="B282" s="5" t="s">
        <v>187</v>
      </c>
      <c r="C282" s="5">
        <v>2701804005</v>
      </c>
      <c r="D282" s="5" t="s">
        <v>385</v>
      </c>
      <c r="E282" s="7">
        <v>37373.96</v>
      </c>
      <c r="F282" s="5" t="s">
        <v>14</v>
      </c>
      <c r="G282" s="118" t="s">
        <v>11</v>
      </c>
      <c r="H282" s="118" t="s">
        <v>12</v>
      </c>
      <c r="I282" s="118"/>
      <c r="J282" s="14">
        <v>28</v>
      </c>
      <c r="K282" s="138">
        <v>29198.400000000001</v>
      </c>
      <c r="L282" s="141">
        <v>0</v>
      </c>
      <c r="M282" s="141">
        <v>4087.7760000000007</v>
      </c>
      <c r="N282" s="141">
        <v>4087.7760000000007</v>
      </c>
      <c r="O282" s="118"/>
      <c r="P282" s="118" t="s">
        <v>350</v>
      </c>
      <c r="Q282" s="118" t="s">
        <v>342</v>
      </c>
      <c r="R282" s="5">
        <v>87142090</v>
      </c>
      <c r="S282" s="17" t="s">
        <v>22</v>
      </c>
      <c r="T282" s="5" t="s">
        <v>13</v>
      </c>
      <c r="U282" s="7">
        <v>0</v>
      </c>
      <c r="V282" s="7">
        <v>0</v>
      </c>
      <c r="W282" s="7">
        <f t="shared" si="48"/>
        <v>0</v>
      </c>
      <c r="X282" s="7">
        <f>1320+1320</f>
        <v>2640</v>
      </c>
    </row>
    <row r="283" spans="1:28" x14ac:dyDescent="0.3">
      <c r="A283" s="5" t="s">
        <v>186</v>
      </c>
      <c r="B283" s="5" t="s">
        <v>187</v>
      </c>
      <c r="C283" s="5">
        <v>2701804431</v>
      </c>
      <c r="D283" s="5" t="s">
        <v>390</v>
      </c>
      <c r="E283" s="7">
        <v>20385.8</v>
      </c>
      <c r="F283" s="5" t="s">
        <v>14</v>
      </c>
      <c r="G283" s="118" t="s">
        <v>11</v>
      </c>
      <c r="H283" s="118" t="s">
        <v>12</v>
      </c>
      <c r="I283" s="118"/>
      <c r="J283" s="14">
        <v>28</v>
      </c>
      <c r="K283" s="138">
        <v>15926.4</v>
      </c>
      <c r="L283" s="141">
        <v>0</v>
      </c>
      <c r="M283" s="141">
        <v>2229.6959999999999</v>
      </c>
      <c r="N283" s="141">
        <v>2229.6959999999999</v>
      </c>
      <c r="O283" s="118"/>
      <c r="P283" s="118" t="s">
        <v>350</v>
      </c>
      <c r="Q283" s="118" t="s">
        <v>342</v>
      </c>
      <c r="R283" s="5">
        <v>87142090</v>
      </c>
      <c r="S283" s="17" t="s">
        <v>22</v>
      </c>
      <c r="T283" s="5" t="s">
        <v>13</v>
      </c>
      <c r="U283" s="7">
        <v>0</v>
      </c>
      <c r="V283" s="7">
        <v>0</v>
      </c>
      <c r="W283" s="7">
        <f t="shared" si="48"/>
        <v>0</v>
      </c>
      <c r="X283" s="7">
        <f>720+720</f>
        <v>1440</v>
      </c>
    </row>
    <row r="284" spans="1:28" x14ac:dyDescent="0.3">
      <c r="A284" s="5" t="s">
        <v>186</v>
      </c>
      <c r="B284" s="5" t="s">
        <v>187</v>
      </c>
      <c r="C284" s="5">
        <v>2701804910</v>
      </c>
      <c r="D284" s="5" t="s">
        <v>398</v>
      </c>
      <c r="E284" s="7">
        <v>20385.8</v>
      </c>
      <c r="F284" s="5" t="s">
        <v>14</v>
      </c>
      <c r="G284" s="118" t="s">
        <v>11</v>
      </c>
      <c r="H284" s="118" t="s">
        <v>12</v>
      </c>
      <c r="I284" s="118"/>
      <c r="J284" s="14">
        <v>28</v>
      </c>
      <c r="K284" s="138">
        <v>15926.4</v>
      </c>
      <c r="L284" s="141">
        <v>0</v>
      </c>
      <c r="M284" s="141">
        <v>2229.6959999999999</v>
      </c>
      <c r="N284" s="141">
        <v>2229.6959999999999</v>
      </c>
      <c r="O284" s="118"/>
      <c r="P284" s="118" t="s">
        <v>350</v>
      </c>
      <c r="Q284" s="118" t="s">
        <v>342</v>
      </c>
      <c r="R284" s="5">
        <v>87142090</v>
      </c>
      <c r="S284" s="17" t="s">
        <v>22</v>
      </c>
      <c r="T284" s="5" t="s">
        <v>13</v>
      </c>
      <c r="U284" s="7">
        <v>0</v>
      </c>
      <c r="V284" s="7">
        <v>0</v>
      </c>
      <c r="W284" s="7">
        <f t="shared" si="48"/>
        <v>0</v>
      </c>
      <c r="X284" s="7">
        <f>720+720</f>
        <v>1440</v>
      </c>
    </row>
    <row r="285" spans="1:28" x14ac:dyDescent="0.3">
      <c r="A285" s="5" t="s">
        <v>186</v>
      </c>
      <c r="B285" s="5" t="s">
        <v>187</v>
      </c>
      <c r="C285" s="5">
        <v>2701804864</v>
      </c>
      <c r="D285" s="5" t="s">
        <v>398</v>
      </c>
      <c r="E285" s="7">
        <v>6781.12</v>
      </c>
      <c r="F285" s="5" t="s">
        <v>14</v>
      </c>
      <c r="G285" s="118" t="s">
        <v>11</v>
      </c>
      <c r="H285" s="118" t="s">
        <v>12</v>
      </c>
      <c r="I285" s="118"/>
      <c r="J285" s="14">
        <v>28</v>
      </c>
      <c r="K285" s="138">
        <v>5297.74</v>
      </c>
      <c r="L285" s="141">
        <v>0</v>
      </c>
      <c r="M285" s="141">
        <v>741.69359999999995</v>
      </c>
      <c r="N285" s="141">
        <v>741.69359999999995</v>
      </c>
      <c r="O285" s="118"/>
      <c r="P285" s="118" t="s">
        <v>350</v>
      </c>
      <c r="Q285" s="118" t="s">
        <v>342</v>
      </c>
      <c r="R285" s="5">
        <v>87142090</v>
      </c>
      <c r="S285" s="17" t="s">
        <v>22</v>
      </c>
      <c r="T285" s="5" t="s">
        <v>13</v>
      </c>
      <c r="U285" s="7">
        <v>0</v>
      </c>
      <c r="V285" s="7">
        <v>0</v>
      </c>
      <c r="W285" s="7">
        <f t="shared" si="48"/>
        <v>0</v>
      </c>
      <c r="X285" s="7">
        <f>239+240</f>
        <v>479</v>
      </c>
    </row>
    <row r="286" spans="1:28" x14ac:dyDescent="0.3">
      <c r="A286" s="5" t="s">
        <v>186</v>
      </c>
      <c r="B286" s="5" t="s">
        <v>187</v>
      </c>
      <c r="C286" s="5">
        <v>2701805062</v>
      </c>
      <c r="D286" s="5" t="s">
        <v>401</v>
      </c>
      <c r="E286" s="7">
        <v>50964.480000000003</v>
      </c>
      <c r="F286" s="5" t="s">
        <v>14</v>
      </c>
      <c r="G286" s="118" t="s">
        <v>11</v>
      </c>
      <c r="H286" s="118" t="s">
        <v>12</v>
      </c>
      <c r="I286" s="118"/>
      <c r="J286" s="14">
        <v>28</v>
      </c>
      <c r="K286" s="138">
        <v>39816</v>
      </c>
      <c r="L286" s="141">
        <v>0</v>
      </c>
      <c r="M286" s="141">
        <v>5574.2400000000007</v>
      </c>
      <c r="N286" s="141">
        <v>5574.2400000000007</v>
      </c>
      <c r="O286" s="118"/>
      <c r="P286" s="118" t="s">
        <v>350</v>
      </c>
      <c r="Q286" s="118" t="s">
        <v>342</v>
      </c>
      <c r="R286" s="5">
        <v>87142090</v>
      </c>
      <c r="S286" s="17" t="s">
        <v>22</v>
      </c>
      <c r="T286" s="5" t="s">
        <v>13</v>
      </c>
      <c r="U286" s="7">
        <v>0</v>
      </c>
      <c r="V286" s="7">
        <v>0</v>
      </c>
      <c r="W286" s="7">
        <f t="shared" si="48"/>
        <v>0</v>
      </c>
      <c r="X286" s="7">
        <f>1800+1800</f>
        <v>3600</v>
      </c>
      <c r="Y286">
        <f>+K286/100*9</f>
        <v>3583.44</v>
      </c>
      <c r="Z286">
        <f>+K286/100*9</f>
        <v>3583.44</v>
      </c>
      <c r="AA286" s="129">
        <f>+Y286-M286</f>
        <v>-1990.8000000000006</v>
      </c>
      <c r="AB286" s="129">
        <f>+N286-Z286</f>
        <v>1990.8000000000006</v>
      </c>
    </row>
    <row r="287" spans="1:28" x14ac:dyDescent="0.3">
      <c r="A287" s="5" t="s">
        <v>186</v>
      </c>
      <c r="B287" s="5" t="s">
        <v>187</v>
      </c>
      <c r="C287" s="5">
        <v>2701805268</v>
      </c>
      <c r="D287" s="5" t="s">
        <v>405</v>
      </c>
      <c r="E287" s="7">
        <v>33905.519999999997</v>
      </c>
      <c r="F287" s="5" t="s">
        <v>14</v>
      </c>
      <c r="G287" s="118" t="s">
        <v>11</v>
      </c>
      <c r="H287" s="118" t="s">
        <v>12</v>
      </c>
      <c r="I287" s="118"/>
      <c r="J287" s="14">
        <v>28</v>
      </c>
      <c r="K287" s="138">
        <v>26488.7</v>
      </c>
      <c r="L287" s="141">
        <v>0</v>
      </c>
      <c r="M287" s="141">
        <v>3708.4079999999999</v>
      </c>
      <c r="N287" s="141">
        <v>3708.4079999999999</v>
      </c>
      <c r="O287" s="118"/>
      <c r="P287" s="118" t="s">
        <v>350</v>
      </c>
      <c r="Q287" s="118" t="s">
        <v>342</v>
      </c>
      <c r="R287" s="5">
        <v>87142090</v>
      </c>
      <c r="S287" s="17" t="s">
        <v>22</v>
      </c>
      <c r="T287" s="5" t="s">
        <v>13</v>
      </c>
      <c r="U287" s="7">
        <v>0</v>
      </c>
      <c r="V287" s="7">
        <v>0</v>
      </c>
      <c r="W287" s="7">
        <f t="shared" si="48"/>
        <v>0</v>
      </c>
      <c r="X287" s="7">
        <f>1198+1197</f>
        <v>2395</v>
      </c>
    </row>
    <row r="288" spans="1:28" x14ac:dyDescent="0.3">
      <c r="A288" s="5" t="s">
        <v>186</v>
      </c>
      <c r="B288" s="5" t="s">
        <v>187</v>
      </c>
      <c r="C288" s="5">
        <v>2701805408</v>
      </c>
      <c r="D288" s="5" t="s">
        <v>406</v>
      </c>
      <c r="E288" s="7">
        <v>47566.84</v>
      </c>
      <c r="F288" s="5" t="s">
        <v>14</v>
      </c>
      <c r="G288" s="118" t="s">
        <v>11</v>
      </c>
      <c r="H288" s="118" t="s">
        <v>12</v>
      </c>
      <c r="I288" s="118"/>
      <c r="J288" s="14">
        <v>28</v>
      </c>
      <c r="K288" s="138">
        <v>37161.599999999999</v>
      </c>
      <c r="L288" s="141">
        <v>0</v>
      </c>
      <c r="M288" s="141">
        <v>5202.6239999999998</v>
      </c>
      <c r="N288" s="141">
        <v>5202.6239999999998</v>
      </c>
      <c r="O288" s="118"/>
      <c r="P288" s="118" t="s">
        <v>350</v>
      </c>
      <c r="Q288" s="118" t="s">
        <v>342</v>
      </c>
      <c r="R288" s="5">
        <v>87142090</v>
      </c>
      <c r="S288" s="17" t="s">
        <v>22</v>
      </c>
      <c r="T288" s="5" t="s">
        <v>13</v>
      </c>
      <c r="U288" s="7">
        <v>0</v>
      </c>
      <c r="V288" s="7">
        <v>0</v>
      </c>
      <c r="W288" s="7">
        <f t="shared" si="48"/>
        <v>0</v>
      </c>
      <c r="X288" s="7">
        <f>1680+1680</f>
        <v>3360</v>
      </c>
    </row>
    <row r="289" spans="1:28" x14ac:dyDescent="0.3">
      <c r="A289" s="5" t="s">
        <v>186</v>
      </c>
      <c r="B289" s="5" t="s">
        <v>187</v>
      </c>
      <c r="C289" s="5">
        <v>2701805502</v>
      </c>
      <c r="D289" s="5" t="s">
        <v>409</v>
      </c>
      <c r="E289" s="7">
        <v>47566.84</v>
      </c>
      <c r="F289" s="5" t="s">
        <v>14</v>
      </c>
      <c r="G289" s="118"/>
      <c r="H289" s="118"/>
      <c r="I289" s="118"/>
      <c r="J289" s="14">
        <v>28</v>
      </c>
      <c r="K289" s="138">
        <v>37161.599999999999</v>
      </c>
      <c r="L289" s="141">
        <v>0</v>
      </c>
      <c r="M289" s="141">
        <v>5202.6239999999998</v>
      </c>
      <c r="N289" s="141">
        <v>5202.6239999999998</v>
      </c>
      <c r="O289" s="118"/>
      <c r="P289" s="118"/>
      <c r="Q289" s="118"/>
      <c r="R289" s="5">
        <v>87142090</v>
      </c>
      <c r="S289" s="17" t="s">
        <v>22</v>
      </c>
      <c r="T289" s="5" t="s">
        <v>13</v>
      </c>
      <c r="U289" s="7">
        <v>0</v>
      </c>
      <c r="V289" s="7">
        <v>0</v>
      </c>
      <c r="W289" s="7">
        <f t="shared" si="48"/>
        <v>0</v>
      </c>
      <c r="X289" s="7">
        <f>1680+1680</f>
        <v>3360</v>
      </c>
    </row>
    <row r="290" spans="1:28" x14ac:dyDescent="0.3">
      <c r="A290" s="5" t="s">
        <v>186</v>
      </c>
      <c r="B290" s="5" t="s">
        <v>187</v>
      </c>
      <c r="C290" s="5">
        <v>2701805994</v>
      </c>
      <c r="D290" s="5" t="s">
        <v>419</v>
      </c>
      <c r="E290" s="7">
        <v>13590.52</v>
      </c>
      <c r="F290" s="5" t="s">
        <v>14</v>
      </c>
      <c r="J290" s="14">
        <v>28</v>
      </c>
      <c r="K290" s="138">
        <v>10617.6</v>
      </c>
      <c r="L290" s="129">
        <v>0</v>
      </c>
      <c r="M290" s="129">
        <v>1486.4639999999999</v>
      </c>
      <c r="N290" s="129">
        <v>1486.4639999999999</v>
      </c>
      <c r="R290" s="5">
        <v>87142090</v>
      </c>
      <c r="S290" s="17" t="s">
        <v>22</v>
      </c>
      <c r="T290" s="5" t="s">
        <v>13</v>
      </c>
      <c r="U290" s="7">
        <v>0</v>
      </c>
      <c r="V290" s="7">
        <v>0</v>
      </c>
      <c r="W290" s="7">
        <f t="shared" si="48"/>
        <v>0</v>
      </c>
      <c r="X290" s="7">
        <f>480+480</f>
        <v>960</v>
      </c>
      <c r="Y290">
        <f>+K290/100*9</f>
        <v>955.58400000000006</v>
      </c>
      <c r="Z290">
        <f>+K290/100*9</f>
        <v>955.58400000000006</v>
      </c>
      <c r="AA290" s="129">
        <f>+Y290-M290</f>
        <v>-530.87999999999988</v>
      </c>
      <c r="AB290" s="129">
        <f>+N290-Z290</f>
        <v>530.87999999999988</v>
      </c>
    </row>
    <row r="291" spans="1:28" x14ac:dyDescent="0.3">
      <c r="A291" s="5" t="s">
        <v>186</v>
      </c>
      <c r="B291" s="5" t="s">
        <v>187</v>
      </c>
      <c r="C291" s="5">
        <v>2701806224</v>
      </c>
      <c r="D291" s="5" t="s">
        <v>430</v>
      </c>
      <c r="E291" s="7">
        <v>67952.639999999999</v>
      </c>
      <c r="F291" s="5" t="s">
        <v>14</v>
      </c>
      <c r="J291" s="14">
        <v>28</v>
      </c>
      <c r="K291" s="138">
        <v>53088</v>
      </c>
      <c r="L291" s="129">
        <v>0</v>
      </c>
      <c r="M291" s="129">
        <v>7432.32</v>
      </c>
      <c r="N291" s="129">
        <v>7432.32</v>
      </c>
      <c r="R291" s="5">
        <v>87142090</v>
      </c>
      <c r="S291" s="17" t="s">
        <v>22</v>
      </c>
      <c r="T291" s="5" t="s">
        <v>13</v>
      </c>
      <c r="U291" s="7">
        <v>0</v>
      </c>
      <c r="V291" s="7">
        <v>0</v>
      </c>
      <c r="W291" s="7">
        <f t="shared" si="48"/>
        <v>0</v>
      </c>
      <c r="X291" s="7">
        <f>2400+2400</f>
        <v>4800</v>
      </c>
    </row>
    <row r="292" spans="1:28" x14ac:dyDescent="0.3">
      <c r="A292" s="5" t="s">
        <v>186</v>
      </c>
      <c r="B292" s="5" t="s">
        <v>187</v>
      </c>
      <c r="C292" s="5">
        <v>2701806361</v>
      </c>
      <c r="D292" s="5" t="s">
        <v>433</v>
      </c>
      <c r="E292" s="7">
        <v>67952.639999999999</v>
      </c>
      <c r="F292" s="5" t="s">
        <v>14</v>
      </c>
      <c r="J292" s="14">
        <v>28</v>
      </c>
      <c r="K292" s="138">
        <v>53088</v>
      </c>
      <c r="L292" s="129">
        <v>0</v>
      </c>
      <c r="M292" s="129">
        <v>7432.32</v>
      </c>
      <c r="N292" s="129">
        <v>7432.32</v>
      </c>
      <c r="R292" s="5">
        <v>87142090</v>
      </c>
      <c r="S292" s="17" t="s">
        <v>22</v>
      </c>
      <c r="T292" s="5" t="s">
        <v>13</v>
      </c>
      <c r="U292" s="7">
        <v>0</v>
      </c>
      <c r="V292" s="7">
        <v>0</v>
      </c>
      <c r="W292" s="7">
        <f t="shared" si="48"/>
        <v>0</v>
      </c>
      <c r="X292" s="7">
        <f>2400+2400</f>
        <v>4800</v>
      </c>
    </row>
    <row r="293" spans="1:28" x14ac:dyDescent="0.3">
      <c r="A293" s="5" t="s">
        <v>412</v>
      </c>
      <c r="B293" s="5" t="s">
        <v>178</v>
      </c>
      <c r="C293" s="5">
        <v>741700000024</v>
      </c>
      <c r="D293" s="5" t="s">
        <v>410</v>
      </c>
      <c r="E293" s="7">
        <v>2687.1</v>
      </c>
      <c r="F293" s="5" t="s">
        <v>14</v>
      </c>
      <c r="J293" s="14">
        <v>28</v>
      </c>
      <c r="K293" s="138">
        <v>2099.3000000000002</v>
      </c>
      <c r="L293" s="129">
        <v>0</v>
      </c>
      <c r="M293" s="129">
        <v>293.90200000000004</v>
      </c>
      <c r="N293" s="129">
        <v>293.90200000000004</v>
      </c>
      <c r="R293" s="5">
        <v>85129000</v>
      </c>
      <c r="S293" s="17" t="s">
        <v>22</v>
      </c>
      <c r="T293" s="5" t="s">
        <v>13</v>
      </c>
      <c r="U293" s="7">
        <v>0</v>
      </c>
      <c r="V293" s="7">
        <v>0</v>
      </c>
      <c r="W293" s="7">
        <f t="shared" si="48"/>
        <v>0</v>
      </c>
      <c r="X293" s="7">
        <v>35</v>
      </c>
    </row>
    <row r="294" spans="1:28" x14ac:dyDescent="0.3">
      <c r="A294" s="5" t="s">
        <v>373</v>
      </c>
      <c r="B294" s="5" t="s">
        <v>374</v>
      </c>
      <c r="C294" s="5">
        <v>13</v>
      </c>
      <c r="D294" s="5" t="s">
        <v>372</v>
      </c>
      <c r="E294" s="7">
        <v>11163</v>
      </c>
      <c r="F294" s="5" t="s">
        <v>14</v>
      </c>
      <c r="G294" s="118" t="s">
        <v>11</v>
      </c>
      <c r="H294" s="118" t="s">
        <v>12</v>
      </c>
      <c r="I294" s="118"/>
      <c r="J294" s="14">
        <v>28</v>
      </c>
      <c r="K294" s="138">
        <v>8721</v>
      </c>
      <c r="L294" s="141">
        <v>0</v>
      </c>
      <c r="M294" s="141">
        <v>1220.9999999999998</v>
      </c>
      <c r="N294" s="141">
        <v>1220.9999999999998</v>
      </c>
      <c r="O294" s="118"/>
      <c r="P294" s="118" t="s">
        <v>350</v>
      </c>
      <c r="Q294" s="118" t="s">
        <v>342</v>
      </c>
      <c r="R294" s="5">
        <v>8714</v>
      </c>
      <c r="S294" s="17" t="s">
        <v>22</v>
      </c>
      <c r="T294" s="5" t="s">
        <v>13</v>
      </c>
      <c r="U294" s="7">
        <v>0</v>
      </c>
      <c r="V294" s="7">
        <v>0</v>
      </c>
      <c r="W294" s="7">
        <f t="shared" si="48"/>
        <v>0</v>
      </c>
      <c r="X294" s="7">
        <v>380</v>
      </c>
    </row>
    <row r="295" spans="1:28" x14ac:dyDescent="0.3">
      <c r="A295" s="5" t="s">
        <v>240</v>
      </c>
      <c r="B295" s="5" t="s">
        <v>239</v>
      </c>
      <c r="C295" s="5" t="s">
        <v>369</v>
      </c>
      <c r="D295" s="5" t="s">
        <v>368</v>
      </c>
      <c r="E295" s="7">
        <v>24748</v>
      </c>
      <c r="F295" s="5" t="s">
        <v>14</v>
      </c>
      <c r="G295" s="118" t="s">
        <v>11</v>
      </c>
      <c r="H295" s="118" t="s">
        <v>12</v>
      </c>
      <c r="I295" s="118"/>
      <c r="J295" s="14">
        <v>28</v>
      </c>
      <c r="K295" s="138">
        <v>19334.400000000001</v>
      </c>
      <c r="L295" s="141">
        <v>0</v>
      </c>
      <c r="M295" s="141">
        <v>2706.8160000000003</v>
      </c>
      <c r="N295" s="141">
        <v>2706.8160000000003</v>
      </c>
      <c r="O295" s="118"/>
      <c r="P295" s="118" t="s">
        <v>350</v>
      </c>
      <c r="Q295" s="118" t="s">
        <v>342</v>
      </c>
      <c r="R295" s="5">
        <v>32089090</v>
      </c>
      <c r="S295" s="17" t="s">
        <v>199</v>
      </c>
      <c r="T295" s="5" t="s">
        <v>197</v>
      </c>
      <c r="U295" s="7">
        <v>0</v>
      </c>
      <c r="V295" s="7">
        <v>0</v>
      </c>
      <c r="W295" s="7">
        <f t="shared" si="48"/>
        <v>0</v>
      </c>
      <c r="X295" s="7">
        <v>80</v>
      </c>
    </row>
    <row r="296" spans="1:28" x14ac:dyDescent="0.3">
      <c r="A296" s="5" t="s">
        <v>240</v>
      </c>
      <c r="B296" s="5" t="s">
        <v>239</v>
      </c>
      <c r="C296" s="5" t="s">
        <v>370</v>
      </c>
      <c r="D296" s="5" t="s">
        <v>368</v>
      </c>
      <c r="E296" s="7">
        <v>20864</v>
      </c>
      <c r="F296" s="5" t="s">
        <v>14</v>
      </c>
      <c r="G296" s="118" t="s">
        <v>11</v>
      </c>
      <c r="H296" s="118" t="s">
        <v>12</v>
      </c>
      <c r="I296" s="118"/>
      <c r="J296" s="14">
        <v>28</v>
      </c>
      <c r="K296" s="138">
        <v>16300</v>
      </c>
      <c r="L296" s="141">
        <v>0</v>
      </c>
      <c r="M296" s="141">
        <v>2282</v>
      </c>
      <c r="N296" s="141">
        <v>2282</v>
      </c>
      <c r="O296" s="118"/>
      <c r="P296" s="118" t="s">
        <v>350</v>
      </c>
      <c r="Q296" s="118" t="s">
        <v>342</v>
      </c>
      <c r="R296" s="5">
        <v>38140010</v>
      </c>
      <c r="S296" s="17" t="s">
        <v>199</v>
      </c>
      <c r="T296" s="5" t="s">
        <v>197</v>
      </c>
      <c r="U296" s="7">
        <v>0</v>
      </c>
      <c r="V296" s="7">
        <v>0</v>
      </c>
      <c r="W296" s="7">
        <f t="shared" si="48"/>
        <v>0</v>
      </c>
      <c r="X296" s="7">
        <v>100</v>
      </c>
      <c r="Y296">
        <f>+K296/100*9</f>
        <v>1467</v>
      </c>
      <c r="Z296">
        <f>+K296/100*9</f>
        <v>1467</v>
      </c>
      <c r="AA296" s="129">
        <f>+Y296-M296</f>
        <v>-815</v>
      </c>
      <c r="AB296" s="129">
        <f>+N296-Z296</f>
        <v>815</v>
      </c>
    </row>
    <row r="297" spans="1:28" x14ac:dyDescent="0.3">
      <c r="A297" s="5" t="s">
        <v>240</v>
      </c>
      <c r="B297" s="5" t="s">
        <v>239</v>
      </c>
      <c r="C297" s="5" t="s">
        <v>434</v>
      </c>
      <c r="D297" s="5" t="s">
        <v>433</v>
      </c>
      <c r="E297" s="7">
        <v>30935</v>
      </c>
      <c r="F297" s="5" t="s">
        <v>14</v>
      </c>
      <c r="J297" s="14">
        <v>28</v>
      </c>
      <c r="K297" s="138">
        <v>24168</v>
      </c>
      <c r="L297" s="129">
        <v>0</v>
      </c>
      <c r="M297" s="129">
        <v>3383.52</v>
      </c>
      <c r="N297" s="129">
        <v>3383.52</v>
      </c>
      <c r="R297" s="5">
        <v>32089090</v>
      </c>
      <c r="S297" s="17" t="s">
        <v>199</v>
      </c>
      <c r="T297" s="5" t="s">
        <v>197</v>
      </c>
      <c r="U297" s="7">
        <v>0</v>
      </c>
      <c r="V297" s="7">
        <v>0</v>
      </c>
      <c r="W297" s="7">
        <f t="shared" si="48"/>
        <v>0</v>
      </c>
      <c r="X297" s="7">
        <v>100</v>
      </c>
    </row>
    <row r="298" spans="1:28" x14ac:dyDescent="0.3">
      <c r="A298" s="5" t="s">
        <v>240</v>
      </c>
      <c r="B298" s="5" t="s">
        <v>239</v>
      </c>
      <c r="C298" s="5" t="s">
        <v>435</v>
      </c>
      <c r="D298" s="5" t="s">
        <v>433</v>
      </c>
      <c r="E298" s="7">
        <v>2586</v>
      </c>
      <c r="F298" s="5" t="s">
        <v>14</v>
      </c>
      <c r="J298" s="14">
        <v>28</v>
      </c>
      <c r="K298" s="138">
        <v>2020</v>
      </c>
      <c r="L298" s="129">
        <v>0</v>
      </c>
      <c r="M298" s="129">
        <v>282.8</v>
      </c>
      <c r="N298" s="129">
        <v>282.8</v>
      </c>
      <c r="R298" s="5">
        <v>38140010</v>
      </c>
      <c r="S298" s="17" t="s">
        <v>199</v>
      </c>
      <c r="T298" s="5" t="s">
        <v>197</v>
      </c>
      <c r="U298" s="7">
        <v>0</v>
      </c>
      <c r="V298" s="7">
        <v>0</v>
      </c>
      <c r="W298" s="7">
        <f t="shared" si="48"/>
        <v>0</v>
      </c>
      <c r="X298" s="7">
        <v>20</v>
      </c>
    </row>
    <row r="299" spans="1:28" x14ac:dyDescent="0.3">
      <c r="A299" s="5" t="s">
        <v>240</v>
      </c>
      <c r="B299" s="5" t="s">
        <v>239</v>
      </c>
      <c r="C299" s="5" t="s">
        <v>436</v>
      </c>
      <c r="D299" s="5" t="s">
        <v>433</v>
      </c>
      <c r="E299" s="7">
        <v>5171</v>
      </c>
      <c r="F299" s="5" t="s">
        <v>14</v>
      </c>
      <c r="J299" s="14">
        <v>28</v>
      </c>
      <c r="K299" s="138">
        <v>4040</v>
      </c>
      <c r="L299" s="129">
        <v>0</v>
      </c>
      <c r="M299" s="129">
        <v>565.6</v>
      </c>
      <c r="N299" s="129">
        <v>565.6</v>
      </c>
      <c r="R299" s="5">
        <v>38140010</v>
      </c>
      <c r="S299" s="17" t="s">
        <v>199</v>
      </c>
      <c r="T299" s="5" t="s">
        <v>197</v>
      </c>
      <c r="U299" s="7">
        <v>0</v>
      </c>
      <c r="V299" s="7">
        <v>0</v>
      </c>
      <c r="W299" s="7">
        <f t="shared" si="48"/>
        <v>0</v>
      </c>
      <c r="X299" s="7">
        <v>40</v>
      </c>
      <c r="Y299">
        <f>+K299/100*9</f>
        <v>363.59999999999997</v>
      </c>
      <c r="Z299">
        <f>+K299/100*9</f>
        <v>363.59999999999997</v>
      </c>
      <c r="AA299" s="129">
        <f>+Y299-M299</f>
        <v>-202.00000000000006</v>
      </c>
      <c r="AB299" s="129">
        <f>+N299-Z299</f>
        <v>202.00000000000006</v>
      </c>
    </row>
    <row r="300" spans="1:28" x14ac:dyDescent="0.3">
      <c r="A300" s="121" t="s">
        <v>407</v>
      </c>
      <c r="B300" s="5" t="s">
        <v>408</v>
      </c>
      <c r="C300" s="5">
        <v>453275699</v>
      </c>
      <c r="D300" s="5" t="s">
        <v>406</v>
      </c>
      <c r="E300" s="7">
        <v>5849.49</v>
      </c>
      <c r="F300" s="5" t="s">
        <v>14</v>
      </c>
      <c r="G300" s="118"/>
      <c r="H300" s="118"/>
      <c r="I300" s="118"/>
      <c r="J300" s="14">
        <v>18</v>
      </c>
      <c r="K300" s="138">
        <v>4956.29</v>
      </c>
      <c r="L300" s="141">
        <v>0</v>
      </c>
      <c r="M300" s="141">
        <v>446.09609999999998</v>
      </c>
      <c r="N300" s="141">
        <v>446.09609999999998</v>
      </c>
      <c r="O300" s="118"/>
      <c r="P300" s="118" t="s">
        <v>347</v>
      </c>
      <c r="Q300" s="118" t="s">
        <v>343</v>
      </c>
      <c r="R300" s="5">
        <v>9984</v>
      </c>
      <c r="S300" s="17" t="s">
        <v>457</v>
      </c>
      <c r="T300" s="5" t="s">
        <v>13</v>
      </c>
      <c r="U300" s="7">
        <v>0</v>
      </c>
      <c r="V300" s="7">
        <v>0</v>
      </c>
      <c r="W300" s="7">
        <f t="shared" si="48"/>
        <v>0</v>
      </c>
      <c r="X300" s="7">
        <v>1</v>
      </c>
    </row>
    <row r="301" spans="1:28" x14ac:dyDescent="0.3">
      <c r="A301" s="5" t="s">
        <v>216</v>
      </c>
      <c r="B301" s="5" t="s">
        <v>215</v>
      </c>
      <c r="C301" s="5">
        <v>1761006360</v>
      </c>
      <c r="D301" s="5" t="s">
        <v>392</v>
      </c>
      <c r="E301" s="7">
        <f>16999.69+2380+2380</f>
        <v>21759.69</v>
      </c>
      <c r="F301" s="5" t="s">
        <v>14</v>
      </c>
      <c r="G301" s="118" t="s">
        <v>11</v>
      </c>
      <c r="H301" s="118" t="s">
        <v>12</v>
      </c>
      <c r="I301" s="118"/>
      <c r="J301" s="14">
        <v>28</v>
      </c>
      <c r="K301" s="138">
        <f>16999.69+0.4</f>
        <v>17000.09</v>
      </c>
      <c r="L301" s="141">
        <v>0</v>
      </c>
      <c r="M301" s="141">
        <v>2380.0025999999998</v>
      </c>
      <c r="N301" s="141">
        <v>2380.0025999999998</v>
      </c>
      <c r="O301" s="118"/>
      <c r="P301" s="118" t="s">
        <v>350</v>
      </c>
      <c r="Q301" s="118" t="s">
        <v>342</v>
      </c>
      <c r="R301" s="5">
        <v>3208</v>
      </c>
      <c r="S301" s="17" t="s">
        <v>199</v>
      </c>
      <c r="T301" s="5" t="s">
        <v>13</v>
      </c>
      <c r="U301" s="7">
        <v>0</v>
      </c>
      <c r="V301" s="7">
        <v>0</v>
      </c>
      <c r="W301" s="7">
        <f t="shared" si="48"/>
        <v>0</v>
      </c>
      <c r="X301" s="7">
        <v>50</v>
      </c>
    </row>
    <row r="302" spans="1:28" x14ac:dyDescent="0.3">
      <c r="A302" s="159" t="s">
        <v>216</v>
      </c>
      <c r="B302" s="5" t="s">
        <v>215</v>
      </c>
      <c r="C302" s="5">
        <v>1761006360</v>
      </c>
      <c r="D302" s="5" t="s">
        <v>392</v>
      </c>
      <c r="E302" s="7">
        <f>4679.91+655.2+655.2</f>
        <v>5990.3099999999995</v>
      </c>
      <c r="F302" s="5" t="s">
        <v>14</v>
      </c>
      <c r="G302" s="118" t="s">
        <v>11</v>
      </c>
      <c r="H302" s="118" t="s">
        <v>12</v>
      </c>
      <c r="I302" s="118"/>
      <c r="J302" s="14">
        <v>28</v>
      </c>
      <c r="K302" s="138">
        <v>4679.91</v>
      </c>
      <c r="L302" s="141">
        <v>0</v>
      </c>
      <c r="M302" s="141">
        <v>655.1973999999999</v>
      </c>
      <c r="N302" s="141">
        <v>655.1973999999999</v>
      </c>
      <c r="O302" s="118"/>
      <c r="P302" s="118" t="s">
        <v>350</v>
      </c>
      <c r="Q302" s="118" t="s">
        <v>342</v>
      </c>
      <c r="R302" s="5">
        <v>3814</v>
      </c>
      <c r="S302" s="17" t="s">
        <v>199</v>
      </c>
      <c r="T302" s="5" t="s">
        <v>13</v>
      </c>
      <c r="U302" s="7">
        <v>0</v>
      </c>
      <c r="V302" s="7">
        <v>0</v>
      </c>
      <c r="W302" s="7">
        <f t="shared" si="48"/>
        <v>0</v>
      </c>
      <c r="X302" s="7">
        <v>40</v>
      </c>
    </row>
    <row r="303" spans="1:28" x14ac:dyDescent="0.3">
      <c r="A303" s="136" t="s">
        <v>184</v>
      </c>
      <c r="B303" s="136" t="s">
        <v>183</v>
      </c>
      <c r="C303" s="5" t="s">
        <v>371</v>
      </c>
      <c r="D303" s="5" t="s">
        <v>368</v>
      </c>
      <c r="E303" s="7">
        <v>833.82</v>
      </c>
      <c r="F303" s="5" t="s">
        <v>185</v>
      </c>
      <c r="G303" s="118" t="s">
        <v>11</v>
      </c>
      <c r="H303" s="118" t="s">
        <v>12</v>
      </c>
      <c r="I303" s="118"/>
      <c r="J303" s="14">
        <v>28</v>
      </c>
      <c r="K303" s="138">
        <v>651.41999999999996</v>
      </c>
      <c r="L303" s="141">
        <v>182.39759999999998</v>
      </c>
      <c r="M303" s="141">
        <v>0</v>
      </c>
      <c r="N303" s="141">
        <v>0</v>
      </c>
      <c r="O303" s="118"/>
      <c r="P303" s="118" t="s">
        <v>350</v>
      </c>
      <c r="Q303" s="118" t="s">
        <v>342</v>
      </c>
      <c r="R303" s="5">
        <v>87081090</v>
      </c>
      <c r="S303" s="17" t="s">
        <v>22</v>
      </c>
      <c r="T303" s="5" t="s">
        <v>13</v>
      </c>
      <c r="U303" s="7">
        <v>0</v>
      </c>
      <c r="V303" s="7">
        <v>0</v>
      </c>
      <c r="W303" s="7">
        <f t="shared" si="48"/>
        <v>0</v>
      </c>
      <c r="X303" s="7">
        <v>2</v>
      </c>
      <c r="Y303">
        <f>+K303/100*9</f>
        <v>58.627800000000001</v>
      </c>
      <c r="Z303">
        <f>+K303/100*9</f>
        <v>58.627800000000001</v>
      </c>
      <c r="AA303" s="129">
        <f>+Y303-M303</f>
        <v>58.627800000000001</v>
      </c>
      <c r="AB303" s="129">
        <f>+N303-Z303</f>
        <v>-58.627800000000001</v>
      </c>
    </row>
    <row r="304" spans="1:28" x14ac:dyDescent="0.3">
      <c r="A304" s="136" t="s">
        <v>184</v>
      </c>
      <c r="B304" s="136" t="s">
        <v>183</v>
      </c>
      <c r="C304" s="5" t="s">
        <v>399</v>
      </c>
      <c r="D304" s="5" t="s">
        <v>398</v>
      </c>
      <c r="E304" s="7">
        <v>1667.64</v>
      </c>
      <c r="F304" s="5" t="s">
        <v>185</v>
      </c>
      <c r="G304" s="118" t="s">
        <v>11</v>
      </c>
      <c r="H304" s="118" t="s">
        <v>12</v>
      </c>
      <c r="I304" s="118"/>
      <c r="J304" s="14">
        <v>28</v>
      </c>
      <c r="K304" s="138">
        <v>1302.8399999999999</v>
      </c>
      <c r="L304" s="141">
        <v>364.79519999999997</v>
      </c>
      <c r="M304" s="141">
        <v>0</v>
      </c>
      <c r="N304" s="141">
        <v>0</v>
      </c>
      <c r="O304" s="118"/>
      <c r="P304" s="118" t="s">
        <v>350</v>
      </c>
      <c r="Q304" s="118" t="s">
        <v>342</v>
      </c>
      <c r="R304" s="5">
        <v>87081090</v>
      </c>
      <c r="S304" s="17" t="s">
        <v>22</v>
      </c>
      <c r="T304" s="5" t="s">
        <v>13</v>
      </c>
      <c r="U304" s="7">
        <v>0</v>
      </c>
      <c r="V304" s="7">
        <v>0</v>
      </c>
      <c r="W304" s="7">
        <f t="shared" si="48"/>
        <v>0</v>
      </c>
      <c r="X304" s="7">
        <v>4</v>
      </c>
    </row>
    <row r="305" spans="1:28" x14ac:dyDescent="0.3">
      <c r="A305" s="136" t="s">
        <v>184</v>
      </c>
      <c r="B305" s="136" t="s">
        <v>183</v>
      </c>
      <c r="C305" s="5" t="s">
        <v>400</v>
      </c>
      <c r="D305" s="5" t="s">
        <v>398</v>
      </c>
      <c r="E305" s="7">
        <v>833.82</v>
      </c>
      <c r="F305" s="5" t="s">
        <v>185</v>
      </c>
      <c r="G305" s="118" t="s">
        <v>11</v>
      </c>
      <c r="H305" s="118" t="s">
        <v>12</v>
      </c>
      <c r="I305" s="118"/>
      <c r="J305" s="14">
        <v>28</v>
      </c>
      <c r="K305" s="138">
        <v>651.41999999999996</v>
      </c>
      <c r="L305" s="141">
        <v>182.39759999999998</v>
      </c>
      <c r="M305" s="141">
        <v>0</v>
      </c>
      <c r="N305" s="141">
        <v>0</v>
      </c>
      <c r="O305" s="118"/>
      <c r="P305" s="118" t="s">
        <v>350</v>
      </c>
      <c r="Q305" s="118" t="s">
        <v>342</v>
      </c>
      <c r="R305" s="5">
        <v>87081090</v>
      </c>
      <c r="S305" s="17" t="s">
        <v>22</v>
      </c>
      <c r="T305" s="5" t="s">
        <v>13</v>
      </c>
      <c r="U305" s="7">
        <v>0</v>
      </c>
      <c r="V305" s="7">
        <v>0</v>
      </c>
      <c r="W305" s="7">
        <f t="shared" si="48"/>
        <v>0</v>
      </c>
      <c r="X305" s="7">
        <v>2</v>
      </c>
      <c r="Y305">
        <f>+K305/100*9</f>
        <v>58.627800000000001</v>
      </c>
      <c r="Z305">
        <f>+K305/100*9</f>
        <v>58.627800000000001</v>
      </c>
      <c r="AA305" s="129">
        <f>+Y305-M305</f>
        <v>58.627800000000001</v>
      </c>
      <c r="AB305" s="129">
        <f>+N305-Z305</f>
        <v>-58.627800000000001</v>
      </c>
    </row>
    <row r="306" spans="1:28" x14ac:dyDescent="0.3">
      <c r="A306" s="136" t="s">
        <v>184</v>
      </c>
      <c r="B306" s="136" t="s">
        <v>183</v>
      </c>
      <c r="C306" s="5" t="s">
        <v>414</v>
      </c>
      <c r="D306" s="5" t="s">
        <v>413</v>
      </c>
      <c r="E306" s="7">
        <v>1250.73</v>
      </c>
      <c r="F306" s="5" t="s">
        <v>185</v>
      </c>
      <c r="J306" s="14">
        <v>28</v>
      </c>
      <c r="K306" s="138">
        <v>977.13</v>
      </c>
      <c r="L306" s="129">
        <v>273.59640000000002</v>
      </c>
      <c r="M306" s="129">
        <v>0</v>
      </c>
      <c r="N306" s="129">
        <v>0</v>
      </c>
      <c r="R306" s="5">
        <v>87081090</v>
      </c>
      <c r="S306" s="17" t="s">
        <v>22</v>
      </c>
      <c r="T306" s="5" t="s">
        <v>13</v>
      </c>
      <c r="U306" s="7">
        <v>0</v>
      </c>
      <c r="V306" s="7">
        <v>0</v>
      </c>
      <c r="W306" s="7">
        <f t="shared" si="48"/>
        <v>0</v>
      </c>
      <c r="X306" s="7">
        <v>3</v>
      </c>
    </row>
    <row r="307" spans="1:28" x14ac:dyDescent="0.3">
      <c r="A307" s="136" t="s">
        <v>184</v>
      </c>
      <c r="B307" s="136" t="s">
        <v>183</v>
      </c>
      <c r="C307" s="5" t="s">
        <v>415</v>
      </c>
      <c r="D307" s="5" t="s">
        <v>413</v>
      </c>
      <c r="E307" s="7">
        <v>1667.64</v>
      </c>
      <c r="F307" s="5" t="s">
        <v>185</v>
      </c>
      <c r="J307" s="14">
        <v>28</v>
      </c>
      <c r="K307" s="138">
        <v>1302.8399999999999</v>
      </c>
      <c r="L307" s="129">
        <v>364.79519999999997</v>
      </c>
      <c r="M307" s="129">
        <v>0</v>
      </c>
      <c r="N307" s="129">
        <v>0</v>
      </c>
      <c r="R307" s="5">
        <v>87081090</v>
      </c>
      <c r="S307" s="17" t="s">
        <v>22</v>
      </c>
      <c r="T307" s="5" t="s">
        <v>13</v>
      </c>
      <c r="U307" s="7">
        <v>0</v>
      </c>
      <c r="V307" s="7">
        <v>0</v>
      </c>
      <c r="W307" s="7">
        <f t="shared" si="48"/>
        <v>0</v>
      </c>
      <c r="X307" s="7">
        <v>4</v>
      </c>
    </row>
    <row r="308" spans="1:28" x14ac:dyDescent="0.3">
      <c r="A308" s="136" t="s">
        <v>184</v>
      </c>
      <c r="B308" s="136" t="s">
        <v>183</v>
      </c>
      <c r="C308" s="5" t="s">
        <v>421</v>
      </c>
      <c r="D308" s="5" t="s">
        <v>419</v>
      </c>
      <c r="E308" s="7">
        <v>1250.73</v>
      </c>
      <c r="F308" s="5" t="s">
        <v>185</v>
      </c>
      <c r="J308" s="14">
        <v>28</v>
      </c>
      <c r="K308" s="138">
        <v>977.13</v>
      </c>
      <c r="L308" s="129">
        <v>273.59640000000002</v>
      </c>
      <c r="M308" s="129">
        <v>0</v>
      </c>
      <c r="N308" s="129">
        <v>0</v>
      </c>
      <c r="R308" s="5">
        <v>87081090</v>
      </c>
      <c r="S308" s="17" t="s">
        <v>22</v>
      </c>
      <c r="T308" s="5" t="s">
        <v>13</v>
      </c>
      <c r="U308" s="7">
        <v>0</v>
      </c>
      <c r="V308" s="7">
        <v>0</v>
      </c>
      <c r="W308" s="7">
        <f t="shared" si="48"/>
        <v>0</v>
      </c>
      <c r="X308" s="7">
        <v>3</v>
      </c>
    </row>
    <row r="309" spans="1:28" x14ac:dyDescent="0.3">
      <c r="A309" s="136" t="s">
        <v>184</v>
      </c>
      <c r="B309" s="136" t="s">
        <v>183</v>
      </c>
      <c r="C309" s="5" t="s">
        <v>422</v>
      </c>
      <c r="D309" s="5" t="s">
        <v>419</v>
      </c>
      <c r="E309" s="7">
        <v>1250.73</v>
      </c>
      <c r="F309" s="5" t="s">
        <v>185</v>
      </c>
      <c r="J309" s="14">
        <v>28</v>
      </c>
      <c r="K309" s="138">
        <v>977.13</v>
      </c>
      <c r="L309" s="129">
        <v>273.59640000000002</v>
      </c>
      <c r="M309" s="129">
        <v>0</v>
      </c>
      <c r="N309" s="129">
        <v>0</v>
      </c>
      <c r="R309" s="5">
        <v>87081090</v>
      </c>
      <c r="S309" s="17" t="s">
        <v>22</v>
      </c>
      <c r="T309" s="5" t="s">
        <v>13</v>
      </c>
      <c r="U309" s="7">
        <v>0</v>
      </c>
      <c r="V309" s="7">
        <v>0</v>
      </c>
      <c r="W309" s="7">
        <f t="shared" si="48"/>
        <v>0</v>
      </c>
      <c r="X309" s="7">
        <v>3</v>
      </c>
    </row>
    <row r="310" spans="1:28" x14ac:dyDescent="0.3">
      <c r="A310" s="136" t="s">
        <v>184</v>
      </c>
      <c r="B310" s="136" t="s">
        <v>183</v>
      </c>
      <c r="C310" s="5" t="s">
        <v>422</v>
      </c>
      <c r="D310" s="5" t="s">
        <v>424</v>
      </c>
      <c r="E310" s="7">
        <v>416.91</v>
      </c>
      <c r="F310" s="5" t="s">
        <v>185</v>
      </c>
      <c r="J310" s="14">
        <v>28</v>
      </c>
      <c r="K310" s="138">
        <v>325.70999999999998</v>
      </c>
      <c r="L310" s="129">
        <v>91.198799999999991</v>
      </c>
      <c r="M310" s="129">
        <v>0</v>
      </c>
      <c r="N310" s="129">
        <v>0</v>
      </c>
      <c r="R310" s="5">
        <v>87081090</v>
      </c>
      <c r="S310" s="17" t="s">
        <v>22</v>
      </c>
      <c r="T310" s="5" t="s">
        <v>13</v>
      </c>
      <c r="U310" s="7">
        <v>0</v>
      </c>
      <c r="V310" s="7">
        <v>0</v>
      </c>
      <c r="W310" s="7">
        <f t="shared" si="48"/>
        <v>0</v>
      </c>
      <c r="X310" s="7">
        <v>1</v>
      </c>
      <c r="Y310">
        <f>+K310/100*9</f>
        <v>29.3139</v>
      </c>
      <c r="Z310">
        <f>+K310/100*9</f>
        <v>29.3139</v>
      </c>
      <c r="AA310" s="129">
        <f>+Y310-M310</f>
        <v>29.3139</v>
      </c>
      <c r="AB310" s="129">
        <f>+N310-Z310</f>
        <v>-29.3139</v>
      </c>
    </row>
    <row r="311" spans="1:28" x14ac:dyDescent="0.3">
      <c r="A311" s="136" t="s">
        <v>184</v>
      </c>
      <c r="B311" s="136" t="s">
        <v>183</v>
      </c>
      <c r="C311" s="5" t="s">
        <v>422</v>
      </c>
      <c r="D311" s="5" t="s">
        <v>433</v>
      </c>
      <c r="E311" s="7">
        <v>3570.51</v>
      </c>
      <c r="F311" s="5" t="s">
        <v>185</v>
      </c>
      <c r="J311" s="14">
        <v>28</v>
      </c>
      <c r="K311" s="138">
        <v>2789.46</v>
      </c>
      <c r="L311" s="129">
        <v>781.04880000000003</v>
      </c>
      <c r="M311" s="129">
        <v>0</v>
      </c>
      <c r="N311" s="129">
        <v>0</v>
      </c>
      <c r="R311" s="5">
        <v>87081090</v>
      </c>
      <c r="S311" s="17" t="s">
        <v>22</v>
      </c>
      <c r="T311" s="5" t="s">
        <v>13</v>
      </c>
      <c r="U311" s="7">
        <v>0</v>
      </c>
      <c r="V311" s="7">
        <v>0</v>
      </c>
      <c r="W311" s="7">
        <f t="shared" si="48"/>
        <v>0</v>
      </c>
      <c r="X311" s="7">
        <v>2</v>
      </c>
    </row>
    <row r="312" spans="1:28" x14ac:dyDescent="0.3">
      <c r="A312" s="5" t="s">
        <v>204</v>
      </c>
      <c r="B312" s="5" t="s">
        <v>203</v>
      </c>
      <c r="C312" s="5">
        <v>17613602</v>
      </c>
      <c r="D312" s="5" t="s">
        <v>368</v>
      </c>
      <c r="E312" s="7">
        <v>29044.89</v>
      </c>
      <c r="F312" s="5" t="s">
        <v>185</v>
      </c>
      <c r="G312" s="118" t="s">
        <v>11</v>
      </c>
      <c r="H312" s="118" t="s">
        <v>12</v>
      </c>
      <c r="I312" s="118"/>
      <c r="J312" s="14">
        <v>28</v>
      </c>
      <c r="K312" s="138">
        <v>22691.89</v>
      </c>
      <c r="L312" s="141">
        <v>6352.9992000000002</v>
      </c>
      <c r="M312" s="141">
        <v>0</v>
      </c>
      <c r="N312" s="141">
        <v>0</v>
      </c>
      <c r="O312" s="118"/>
      <c r="P312" s="118" t="s">
        <v>350</v>
      </c>
      <c r="Q312" s="118" t="s">
        <v>342</v>
      </c>
      <c r="R312" s="5">
        <v>87081090</v>
      </c>
      <c r="S312" s="17" t="s">
        <v>22</v>
      </c>
      <c r="T312" s="5" t="s">
        <v>13</v>
      </c>
      <c r="U312" s="7">
        <v>0</v>
      </c>
      <c r="V312" s="7">
        <v>0</v>
      </c>
      <c r="W312" s="7">
        <f t="shared" si="48"/>
        <v>0</v>
      </c>
      <c r="X312" s="7">
        <v>42</v>
      </c>
    </row>
    <row r="313" spans="1:28" x14ac:dyDescent="0.3">
      <c r="A313" s="5" t="s">
        <v>204</v>
      </c>
      <c r="B313" s="5" t="s">
        <v>203</v>
      </c>
      <c r="C313" s="5">
        <v>17614513</v>
      </c>
      <c r="D313" s="5" t="s">
        <v>390</v>
      </c>
      <c r="E313" s="7">
        <v>19006</v>
      </c>
      <c r="F313" s="5" t="s">
        <v>185</v>
      </c>
      <c r="G313" s="118" t="s">
        <v>11</v>
      </c>
      <c r="H313" s="118" t="s">
        <v>12</v>
      </c>
      <c r="I313" s="118"/>
      <c r="J313" s="14">
        <v>28</v>
      </c>
      <c r="K313" s="138">
        <v>14848</v>
      </c>
      <c r="L313" s="141">
        <v>4157</v>
      </c>
      <c r="M313" s="141">
        <v>0</v>
      </c>
      <c r="N313" s="141">
        <v>0</v>
      </c>
      <c r="O313" s="118"/>
      <c r="P313" s="118" t="s">
        <v>350</v>
      </c>
      <c r="Q313" s="118" t="s">
        <v>342</v>
      </c>
      <c r="R313" s="5">
        <v>87081090</v>
      </c>
      <c r="S313" s="17" t="s">
        <v>22</v>
      </c>
      <c r="T313" s="5" t="s">
        <v>13</v>
      </c>
      <c r="U313" s="7">
        <v>0</v>
      </c>
      <c r="V313" s="7">
        <v>0</v>
      </c>
      <c r="W313" s="7">
        <f t="shared" si="48"/>
        <v>0</v>
      </c>
      <c r="X313" s="7">
        <v>20</v>
      </c>
    </row>
    <row r="314" spans="1:28" x14ac:dyDescent="0.3">
      <c r="A314" s="5" t="s">
        <v>204</v>
      </c>
      <c r="B314" s="5" t="s">
        <v>203</v>
      </c>
      <c r="C314" s="5">
        <v>17615097</v>
      </c>
      <c r="D314" s="5" t="s">
        <v>404</v>
      </c>
      <c r="E314" s="7">
        <v>16219.45</v>
      </c>
      <c r="F314" s="5" t="s">
        <v>185</v>
      </c>
      <c r="G314" s="118" t="s">
        <v>11</v>
      </c>
      <c r="H314" s="118" t="s">
        <v>12</v>
      </c>
      <c r="I314" s="118"/>
      <c r="J314" s="14">
        <v>28</v>
      </c>
      <c r="K314" s="138">
        <v>12671.45</v>
      </c>
      <c r="L314" s="141">
        <v>3547.9959999999996</v>
      </c>
      <c r="M314" s="141">
        <v>0</v>
      </c>
      <c r="N314" s="141">
        <v>0</v>
      </c>
      <c r="O314" s="118"/>
      <c r="P314" s="118" t="s">
        <v>350</v>
      </c>
      <c r="Q314" s="118" t="s">
        <v>342</v>
      </c>
      <c r="R314" s="5">
        <v>87081090</v>
      </c>
      <c r="S314" s="17" t="s">
        <v>22</v>
      </c>
      <c r="T314" s="5" t="s">
        <v>13</v>
      </c>
      <c r="U314" s="7">
        <v>0</v>
      </c>
      <c r="V314" s="7">
        <v>0</v>
      </c>
      <c r="W314" s="7">
        <f t="shared" si="48"/>
        <v>0</v>
      </c>
      <c r="X314" s="7">
        <v>17</v>
      </c>
    </row>
    <row r="315" spans="1:28" x14ac:dyDescent="0.3">
      <c r="A315" s="5" t="s">
        <v>204</v>
      </c>
      <c r="B315" s="5" t="s">
        <v>203</v>
      </c>
      <c r="C315" s="5">
        <v>17616216</v>
      </c>
      <c r="D315" s="5" t="s">
        <v>430</v>
      </c>
      <c r="E315" s="7">
        <v>14804.02</v>
      </c>
      <c r="F315" s="5" t="s">
        <v>185</v>
      </c>
      <c r="J315" s="14">
        <v>28</v>
      </c>
      <c r="K315" s="138">
        <v>11566.02</v>
      </c>
      <c r="L315" s="129">
        <v>3237.9956000000002</v>
      </c>
      <c r="M315" s="129">
        <v>0</v>
      </c>
      <c r="N315" s="129">
        <v>0</v>
      </c>
      <c r="R315" s="5">
        <v>87081090</v>
      </c>
      <c r="S315" s="17" t="s">
        <v>22</v>
      </c>
      <c r="T315" s="5" t="s">
        <v>13</v>
      </c>
      <c r="U315" s="7">
        <v>0</v>
      </c>
      <c r="V315" s="7">
        <v>0</v>
      </c>
      <c r="W315" s="7">
        <f t="shared" si="48"/>
        <v>0</v>
      </c>
      <c r="X315" s="7">
        <v>24</v>
      </c>
    </row>
    <row r="316" spans="1:28" x14ac:dyDescent="0.3">
      <c r="A316" s="5" t="s">
        <v>352</v>
      </c>
      <c r="B316" s="5">
        <v>5</v>
      </c>
      <c r="C316" s="5">
        <v>60</v>
      </c>
      <c r="D316" s="5" t="s">
        <v>375</v>
      </c>
      <c r="E316" s="7">
        <v>1800</v>
      </c>
      <c r="F316" s="5" t="s">
        <v>14</v>
      </c>
      <c r="G316" s="118" t="s">
        <v>11</v>
      </c>
      <c r="H316" s="118" t="s">
        <v>12</v>
      </c>
      <c r="I316" s="118"/>
      <c r="J316" s="14">
        <v>0</v>
      </c>
      <c r="K316" s="138">
        <v>1800</v>
      </c>
      <c r="L316" s="141">
        <v>0</v>
      </c>
      <c r="M316" s="141">
        <v>0</v>
      </c>
      <c r="N316" s="141">
        <v>0</v>
      </c>
      <c r="O316" s="118"/>
      <c r="P316" s="118" t="s">
        <v>350</v>
      </c>
      <c r="Q316" s="118" t="s">
        <v>342</v>
      </c>
      <c r="R316" s="5">
        <v>0</v>
      </c>
      <c r="S316" s="17" t="s">
        <v>451</v>
      </c>
      <c r="T316" s="5" t="s">
        <v>13</v>
      </c>
      <c r="U316" s="7">
        <v>0</v>
      </c>
      <c r="V316" s="7">
        <v>0</v>
      </c>
      <c r="W316" s="7">
        <f t="shared" si="48"/>
        <v>0</v>
      </c>
      <c r="X316" s="7">
        <v>0</v>
      </c>
    </row>
    <row r="317" spans="1:28" x14ac:dyDescent="0.3">
      <c r="A317" s="5" t="s">
        <v>352</v>
      </c>
      <c r="B317" s="5">
        <v>5</v>
      </c>
      <c r="C317" s="5">
        <v>64</v>
      </c>
      <c r="D317" s="5" t="s">
        <v>375</v>
      </c>
      <c r="E317" s="7">
        <v>1800</v>
      </c>
      <c r="F317" s="5" t="s">
        <v>14</v>
      </c>
      <c r="G317" s="118" t="s">
        <v>11</v>
      </c>
      <c r="H317" s="118" t="s">
        <v>12</v>
      </c>
      <c r="I317" s="118"/>
      <c r="J317" s="14">
        <v>0</v>
      </c>
      <c r="K317" s="138">
        <v>1800</v>
      </c>
      <c r="L317" s="141">
        <v>0</v>
      </c>
      <c r="M317" s="141">
        <v>0</v>
      </c>
      <c r="N317" s="141">
        <v>0</v>
      </c>
      <c r="O317" s="118"/>
      <c r="P317" s="118" t="s">
        <v>350</v>
      </c>
      <c r="Q317" s="118" t="s">
        <v>342</v>
      </c>
      <c r="R317" s="5">
        <v>0</v>
      </c>
      <c r="S317" s="17" t="s">
        <v>451</v>
      </c>
      <c r="T317" s="5" t="s">
        <v>13</v>
      </c>
      <c r="U317" s="7">
        <v>0</v>
      </c>
      <c r="V317" s="7">
        <v>0</v>
      </c>
      <c r="W317" s="7">
        <f t="shared" si="48"/>
        <v>0</v>
      </c>
      <c r="X317" s="7">
        <v>0</v>
      </c>
    </row>
    <row r="318" spans="1:28" x14ac:dyDescent="0.3">
      <c r="A318" s="5" t="s">
        <v>379</v>
      </c>
      <c r="B318" s="5">
        <v>4</v>
      </c>
      <c r="C318" s="257">
        <v>37104</v>
      </c>
      <c r="D318" s="5" t="s">
        <v>380</v>
      </c>
      <c r="E318" s="7">
        <v>20000</v>
      </c>
      <c r="F318" s="5" t="s">
        <v>14</v>
      </c>
      <c r="G318" s="118" t="s">
        <v>11</v>
      </c>
      <c r="H318" s="118" t="s">
        <v>12</v>
      </c>
      <c r="I318" s="118"/>
      <c r="J318" s="14">
        <v>0</v>
      </c>
      <c r="K318" s="138">
        <v>20000</v>
      </c>
      <c r="L318" s="141">
        <v>0</v>
      </c>
      <c r="M318" s="141">
        <v>0</v>
      </c>
      <c r="N318" s="141">
        <v>0</v>
      </c>
      <c r="O318" s="118"/>
      <c r="P318" s="118" t="s">
        <v>350</v>
      </c>
      <c r="Q318" s="118" t="s">
        <v>342</v>
      </c>
      <c r="R318" s="5">
        <v>0</v>
      </c>
      <c r="S318" s="17" t="s">
        <v>451</v>
      </c>
      <c r="T318" s="5" t="s">
        <v>13</v>
      </c>
      <c r="U318" s="7">
        <v>0</v>
      </c>
      <c r="V318" s="7">
        <v>0</v>
      </c>
      <c r="W318" s="7">
        <f t="shared" si="48"/>
        <v>0</v>
      </c>
      <c r="X318" s="7">
        <v>0</v>
      </c>
    </row>
    <row r="319" spans="1:28" x14ac:dyDescent="0.3">
      <c r="A319" s="121" t="s">
        <v>397</v>
      </c>
      <c r="B319" s="5">
        <v>3</v>
      </c>
      <c r="C319" s="5">
        <v>170140476776</v>
      </c>
      <c r="D319" s="5" t="s">
        <v>396</v>
      </c>
      <c r="E319" s="7">
        <v>161760</v>
      </c>
      <c r="F319" s="5" t="s">
        <v>14</v>
      </c>
      <c r="G319" s="118" t="s">
        <v>11</v>
      </c>
      <c r="H319" s="118" t="s">
        <v>12</v>
      </c>
      <c r="I319" s="118"/>
      <c r="J319" s="14">
        <v>28</v>
      </c>
      <c r="K319" s="138">
        <v>0</v>
      </c>
      <c r="L319" s="141">
        <v>0</v>
      </c>
      <c r="M319" s="141">
        <v>0</v>
      </c>
      <c r="N319" s="141">
        <v>0</v>
      </c>
      <c r="O319" s="118"/>
      <c r="P319" s="118" t="s">
        <v>350</v>
      </c>
      <c r="Q319" s="118" t="s">
        <v>342</v>
      </c>
      <c r="R319" s="5">
        <v>0</v>
      </c>
      <c r="S319" s="17" t="s">
        <v>452</v>
      </c>
      <c r="T319" s="5">
        <v>0</v>
      </c>
      <c r="U319" s="7">
        <v>0</v>
      </c>
      <c r="V319" s="7">
        <v>0</v>
      </c>
      <c r="W319" s="7">
        <f t="shared" si="48"/>
        <v>0</v>
      </c>
      <c r="X319" s="7">
        <v>0</v>
      </c>
    </row>
    <row r="320" spans="1:28" x14ac:dyDescent="0.3">
      <c r="A320" s="121" t="s">
        <v>397</v>
      </c>
      <c r="B320" s="5">
        <v>3</v>
      </c>
      <c r="C320" s="5">
        <v>170101403354</v>
      </c>
      <c r="D320" s="5" t="s">
        <v>396</v>
      </c>
      <c r="E320" s="7">
        <v>2970</v>
      </c>
      <c r="F320" s="5" t="s">
        <v>14</v>
      </c>
      <c r="G320" s="118" t="s">
        <v>11</v>
      </c>
      <c r="H320" s="118" t="s">
        <v>12</v>
      </c>
      <c r="I320" s="118"/>
      <c r="J320" s="14">
        <v>28</v>
      </c>
      <c r="K320" s="138">
        <v>0</v>
      </c>
      <c r="L320" s="141">
        <v>0</v>
      </c>
      <c r="M320" s="141">
        <v>0</v>
      </c>
      <c r="N320" s="141">
        <v>0</v>
      </c>
      <c r="O320" s="118"/>
      <c r="P320" s="118" t="s">
        <v>350</v>
      </c>
      <c r="Q320" s="118" t="s">
        <v>342</v>
      </c>
      <c r="R320" s="5">
        <v>0</v>
      </c>
      <c r="S320" s="17" t="s">
        <v>452</v>
      </c>
      <c r="T320" s="5">
        <v>0</v>
      </c>
      <c r="U320" s="7">
        <v>0</v>
      </c>
      <c r="V320" s="7">
        <v>0</v>
      </c>
      <c r="W320" s="7">
        <f t="shared" si="48"/>
        <v>0</v>
      </c>
      <c r="X320" s="7">
        <v>0</v>
      </c>
    </row>
    <row r="321" spans="1:28" x14ac:dyDescent="0.3">
      <c r="A321" s="121" t="s">
        <v>365</v>
      </c>
      <c r="B321" s="5">
        <v>2</v>
      </c>
      <c r="C321" s="5">
        <v>1367</v>
      </c>
      <c r="D321" s="5" t="s">
        <v>361</v>
      </c>
      <c r="E321" s="7">
        <v>30073.1</v>
      </c>
      <c r="F321" s="5" t="s">
        <v>14</v>
      </c>
      <c r="G321" s="118" t="s">
        <v>101</v>
      </c>
      <c r="H321" s="118" t="s">
        <v>12</v>
      </c>
      <c r="I321" s="118"/>
      <c r="J321" s="14">
        <v>28</v>
      </c>
      <c r="K321" s="138">
        <v>0</v>
      </c>
      <c r="L321" s="141">
        <v>0</v>
      </c>
      <c r="M321" s="141">
        <v>0</v>
      </c>
      <c r="N321" s="141">
        <v>0</v>
      </c>
      <c r="O321" s="118"/>
      <c r="P321" s="118" t="s">
        <v>350</v>
      </c>
      <c r="Q321" s="118" t="s">
        <v>342</v>
      </c>
      <c r="R321" s="5"/>
      <c r="S321" s="17" t="s">
        <v>444</v>
      </c>
      <c r="T321" s="5" t="s">
        <v>197</v>
      </c>
      <c r="U321" s="7">
        <v>0</v>
      </c>
      <c r="V321" s="7">
        <v>0</v>
      </c>
      <c r="W321" s="7">
        <f t="shared" si="48"/>
        <v>0</v>
      </c>
      <c r="X321" s="7">
        <f>210+210+101.3</f>
        <v>521.29999999999995</v>
      </c>
    </row>
    <row r="322" spans="1:28" x14ac:dyDescent="0.3">
      <c r="A322" s="5" t="s">
        <v>365</v>
      </c>
      <c r="B322" s="5">
        <v>2</v>
      </c>
      <c r="C322" s="5">
        <v>1372</v>
      </c>
      <c r="D322" s="5" t="s">
        <v>406</v>
      </c>
      <c r="E322" s="7">
        <v>19397.099999999999</v>
      </c>
      <c r="F322" s="5" t="s">
        <v>14</v>
      </c>
      <c r="G322" s="118" t="s">
        <v>11</v>
      </c>
      <c r="H322" s="118" t="s">
        <v>12</v>
      </c>
      <c r="I322" s="118"/>
      <c r="J322" s="14">
        <v>0</v>
      </c>
      <c r="K322" s="138">
        <v>19397.099999999999</v>
      </c>
      <c r="L322" s="141">
        <v>0</v>
      </c>
      <c r="M322" s="141">
        <v>0</v>
      </c>
      <c r="N322" s="141">
        <v>0</v>
      </c>
      <c r="O322" s="118"/>
      <c r="P322" s="118" t="s">
        <v>350</v>
      </c>
      <c r="Q322" s="118" t="s">
        <v>343</v>
      </c>
      <c r="R322" s="5">
        <v>0</v>
      </c>
      <c r="S322" s="17" t="s">
        <v>444</v>
      </c>
      <c r="T322" s="5" t="s">
        <v>197</v>
      </c>
      <c r="U322" s="7">
        <v>0</v>
      </c>
      <c r="V322" s="7">
        <v>0</v>
      </c>
      <c r="W322" s="7">
        <f t="shared" si="48"/>
        <v>0</v>
      </c>
      <c r="X322" s="7">
        <f>210+114.79</f>
        <v>324.79000000000002</v>
      </c>
    </row>
    <row r="323" spans="1:28" x14ac:dyDescent="0.3">
      <c r="A323" s="5" t="s">
        <v>365</v>
      </c>
      <c r="B323" s="5">
        <v>2</v>
      </c>
      <c r="C323" s="5">
        <v>1377</v>
      </c>
      <c r="D323" s="5" t="s">
        <v>433</v>
      </c>
      <c r="E323" s="7">
        <v>29982.400000000001</v>
      </c>
      <c r="F323" s="5" t="s">
        <v>14</v>
      </c>
      <c r="J323" s="14">
        <v>0</v>
      </c>
      <c r="K323" s="136">
        <v>29982.400000000001</v>
      </c>
      <c r="L323" s="129">
        <v>0</v>
      </c>
      <c r="M323" s="129">
        <v>0</v>
      </c>
      <c r="N323" s="129">
        <v>0</v>
      </c>
      <c r="R323" s="5">
        <v>0</v>
      </c>
      <c r="S323" s="17" t="s">
        <v>444</v>
      </c>
      <c r="T323" s="5" t="s">
        <v>197</v>
      </c>
      <c r="U323" s="7">
        <v>0</v>
      </c>
      <c r="V323" s="7">
        <v>0</v>
      </c>
      <c r="W323" s="7">
        <f t="shared" si="48"/>
        <v>0</v>
      </c>
      <c r="X323" s="7">
        <v>501.99</v>
      </c>
    </row>
    <row r="324" spans="1:28" x14ac:dyDescent="0.3">
      <c r="A324" s="121" t="s">
        <v>311</v>
      </c>
      <c r="B324" s="5">
        <v>1</v>
      </c>
      <c r="C324" s="5">
        <v>12</v>
      </c>
      <c r="D324" s="5" t="s">
        <v>378</v>
      </c>
      <c r="E324" s="7">
        <v>4294</v>
      </c>
      <c r="F324" s="5" t="s">
        <v>14</v>
      </c>
      <c r="G324" s="118" t="s">
        <v>11</v>
      </c>
      <c r="H324" s="118" t="s">
        <v>12</v>
      </c>
      <c r="I324" s="118"/>
      <c r="J324" s="14">
        <v>0</v>
      </c>
      <c r="K324" s="138">
        <v>0</v>
      </c>
      <c r="L324" s="141">
        <v>0</v>
      </c>
      <c r="M324" s="141">
        <v>0</v>
      </c>
      <c r="N324" s="141">
        <v>0</v>
      </c>
      <c r="O324" s="118"/>
      <c r="P324" s="118" t="s">
        <v>350</v>
      </c>
      <c r="Q324" s="118" t="s">
        <v>342</v>
      </c>
      <c r="R324" s="5">
        <v>0</v>
      </c>
      <c r="S324" s="17" t="s">
        <v>450</v>
      </c>
      <c r="T324" s="5" t="s">
        <v>13</v>
      </c>
      <c r="U324" s="7">
        <v>0</v>
      </c>
      <c r="V324" s="7">
        <v>0</v>
      </c>
      <c r="W324" s="7">
        <f t="shared" si="48"/>
        <v>0</v>
      </c>
      <c r="X324" s="7">
        <f>5+15+10+37</f>
        <v>67</v>
      </c>
    </row>
    <row r="325" spans="1:28" x14ac:dyDescent="0.3">
      <c r="A325" s="121" t="s">
        <v>311</v>
      </c>
      <c r="B325" s="5">
        <v>1</v>
      </c>
      <c r="C325" s="5">
        <v>13</v>
      </c>
      <c r="D325" s="5" t="s">
        <v>378</v>
      </c>
      <c r="E325" s="7">
        <v>4699</v>
      </c>
      <c r="F325" s="5" t="s">
        <v>14</v>
      </c>
      <c r="G325" s="118" t="s">
        <v>11</v>
      </c>
      <c r="H325" s="118" t="s">
        <v>12</v>
      </c>
      <c r="I325" s="118"/>
      <c r="J325" s="14">
        <v>0</v>
      </c>
      <c r="K325" s="138">
        <v>4699</v>
      </c>
      <c r="L325" s="141">
        <v>0</v>
      </c>
      <c r="M325" s="141">
        <v>0</v>
      </c>
      <c r="N325" s="141">
        <v>0</v>
      </c>
      <c r="O325" s="118"/>
      <c r="P325" s="118" t="s">
        <v>350</v>
      </c>
      <c r="Q325" s="118" t="s">
        <v>342</v>
      </c>
      <c r="R325" s="5">
        <v>0</v>
      </c>
      <c r="S325" s="17" t="s">
        <v>450</v>
      </c>
      <c r="T325" s="5" t="s">
        <v>13</v>
      </c>
      <c r="U325" s="7">
        <v>0</v>
      </c>
      <c r="V325" s="7">
        <v>0</v>
      </c>
      <c r="W325" s="7">
        <f t="shared" si="48"/>
        <v>0</v>
      </c>
      <c r="X325" s="7">
        <f>5+15+10+37</f>
        <v>67</v>
      </c>
      <c r="Y325">
        <f t="shared" ref="Y325:Y328" si="57">+K325/100*9</f>
        <v>422.91</v>
      </c>
      <c r="Z325">
        <f t="shared" ref="Z325:Z328" si="58">+K325/100*9</f>
        <v>422.91</v>
      </c>
      <c r="AA325" s="129">
        <f t="shared" ref="AA325:AA328" si="59">+Y325-M325</f>
        <v>422.91</v>
      </c>
      <c r="AB325" s="129">
        <f t="shared" ref="AB325:AB328" si="60">+N325-Z325</f>
        <v>-422.91</v>
      </c>
    </row>
    <row r="326" spans="1:28" x14ac:dyDescent="0.3">
      <c r="A326" s="121" t="s">
        <v>311</v>
      </c>
      <c r="B326" s="5">
        <v>1</v>
      </c>
      <c r="C326" s="5">
        <v>14</v>
      </c>
      <c r="D326" s="5" t="s">
        <v>396</v>
      </c>
      <c r="E326" s="7">
        <v>4107</v>
      </c>
      <c r="F326" s="5" t="s">
        <v>14</v>
      </c>
      <c r="G326" s="118" t="s">
        <v>11</v>
      </c>
      <c r="H326" s="118" t="s">
        <v>12</v>
      </c>
      <c r="I326" s="118"/>
      <c r="J326" s="14">
        <v>0</v>
      </c>
      <c r="K326" s="138">
        <v>4699</v>
      </c>
      <c r="L326" s="141">
        <v>0</v>
      </c>
      <c r="M326" s="141">
        <v>0</v>
      </c>
      <c r="N326" s="141">
        <v>0</v>
      </c>
      <c r="O326" s="118"/>
      <c r="P326" s="118" t="s">
        <v>350</v>
      </c>
      <c r="Q326" s="118" t="s">
        <v>342</v>
      </c>
      <c r="R326" s="5">
        <v>0</v>
      </c>
      <c r="S326" s="17" t="s">
        <v>450</v>
      </c>
      <c r="T326" s="5" t="s">
        <v>13</v>
      </c>
      <c r="U326" s="7">
        <v>0</v>
      </c>
      <c r="V326" s="7">
        <v>0</v>
      </c>
      <c r="W326" s="7">
        <f t="shared" si="48"/>
        <v>0</v>
      </c>
      <c r="X326" s="7">
        <f>5+15+10+37</f>
        <v>67</v>
      </c>
      <c r="Y326">
        <f t="shared" si="57"/>
        <v>422.91</v>
      </c>
      <c r="Z326">
        <f t="shared" si="58"/>
        <v>422.91</v>
      </c>
      <c r="AA326" s="129">
        <f t="shared" si="59"/>
        <v>422.91</v>
      </c>
      <c r="AB326" s="129">
        <f t="shared" si="60"/>
        <v>-422.91</v>
      </c>
    </row>
    <row r="327" spans="1:28" x14ac:dyDescent="0.3">
      <c r="A327" s="121" t="s">
        <v>311</v>
      </c>
      <c r="B327" s="5">
        <v>1</v>
      </c>
      <c r="C327" s="5">
        <v>15</v>
      </c>
      <c r="D327" s="5" t="s">
        <v>406</v>
      </c>
      <c r="E327" s="7">
        <v>4837</v>
      </c>
      <c r="F327" s="5" t="s">
        <v>14</v>
      </c>
      <c r="G327" s="118" t="s">
        <v>11</v>
      </c>
      <c r="H327" s="118" t="s">
        <v>12</v>
      </c>
      <c r="I327" s="118"/>
      <c r="J327" s="14">
        <v>0</v>
      </c>
      <c r="K327" s="138">
        <v>4837</v>
      </c>
      <c r="L327" s="141">
        <v>0</v>
      </c>
      <c r="M327" s="141">
        <v>0</v>
      </c>
      <c r="N327" s="141">
        <v>0</v>
      </c>
      <c r="O327" s="118"/>
      <c r="P327" s="118" t="s">
        <v>350</v>
      </c>
      <c r="Q327" s="118" t="s">
        <v>343</v>
      </c>
      <c r="R327" s="5">
        <v>0</v>
      </c>
      <c r="S327" s="17" t="s">
        <v>450</v>
      </c>
      <c r="T327" s="5" t="s">
        <v>13</v>
      </c>
      <c r="U327" s="7">
        <v>0</v>
      </c>
      <c r="V327" s="7">
        <v>0</v>
      </c>
      <c r="W327" s="7">
        <f t="shared" ref="W327:W332" si="61">+U327-V327</f>
        <v>0</v>
      </c>
      <c r="X327" s="7">
        <f>5+15+10+37</f>
        <v>67</v>
      </c>
      <c r="Y327">
        <f t="shared" si="57"/>
        <v>435.33</v>
      </c>
      <c r="Z327">
        <f t="shared" si="58"/>
        <v>435.33</v>
      </c>
      <c r="AA327" s="129">
        <f t="shared" si="59"/>
        <v>435.33</v>
      </c>
      <c r="AB327" s="129">
        <f t="shared" si="60"/>
        <v>-435.33</v>
      </c>
    </row>
    <row r="328" spans="1:28" x14ac:dyDescent="0.3">
      <c r="A328" s="121" t="s">
        <v>311</v>
      </c>
      <c r="B328" s="5">
        <v>1</v>
      </c>
      <c r="C328" s="5">
        <v>16</v>
      </c>
      <c r="D328" s="5" t="s">
        <v>409</v>
      </c>
      <c r="E328" s="7">
        <v>4322</v>
      </c>
      <c r="F328" s="5" t="s">
        <v>14</v>
      </c>
      <c r="J328" s="14">
        <v>0</v>
      </c>
      <c r="K328" s="138">
        <v>4322</v>
      </c>
      <c r="L328" s="129">
        <v>0</v>
      </c>
      <c r="M328" s="129">
        <v>0</v>
      </c>
      <c r="N328" s="129">
        <v>0</v>
      </c>
      <c r="R328" s="5">
        <v>0</v>
      </c>
      <c r="S328" s="17" t="s">
        <v>450</v>
      </c>
      <c r="T328" s="5" t="s">
        <v>13</v>
      </c>
      <c r="U328" s="7">
        <v>0</v>
      </c>
      <c r="V328" s="7">
        <v>0</v>
      </c>
      <c r="W328" s="7">
        <f t="shared" si="61"/>
        <v>0</v>
      </c>
      <c r="X328" s="7">
        <f>5+15+10+37</f>
        <v>67</v>
      </c>
      <c r="Y328">
        <f t="shared" si="57"/>
        <v>388.98</v>
      </c>
      <c r="Z328">
        <f t="shared" si="58"/>
        <v>388.98</v>
      </c>
      <c r="AA328" s="129">
        <f t="shared" si="59"/>
        <v>388.98</v>
      </c>
      <c r="AB328" s="129">
        <f t="shared" si="60"/>
        <v>-388.98</v>
      </c>
    </row>
    <row r="329" spans="1:28" x14ac:d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<v>4730</v>
      </c>
      <c r="F329" s="5" t="s">
        <v>14</v>
      </c>
      <c r="J329" s="14">
        <v>0</v>
      </c>
      <c r="K329" s="138">
        <v>4730</v>
      </c>
      <c r="L329" s="129">
        <v>0</v>
      </c>
      <c r="M329" s="129">
        <v>0</v>
      </c>
      <c r="N329" s="129">
        <v>0</v>
      </c>
      <c r="R329" s="5">
        <v>0</v>
      </c>
      <c r="S329" s="17" t="s">
        <v>450</v>
      </c>
      <c r="T329" s="5" t="s">
        <v>13</v>
      </c>
      <c r="U329" s="7">
        <v>0</v>
      </c>
      <c r="V329" s="7">
        <v>0</v>
      </c>
      <c r="W329" s="7">
        <f t="shared" si="61"/>
        <v>0</v>
      </c>
      <c r="X329" s="7">
        <f>53+7+293</f>
        <v>353</v>
      </c>
    </row>
    <row r="330" spans="1:28" x14ac:dyDescent="0.3">
      <c r="A330" s="121" t="s">
        <v>311</v>
      </c>
      <c r="B330" s="5">
        <v>1</v>
      </c>
      <c r="C330" s="5">
        <v>18</v>
      </c>
      <c r="D330" s="5" t="s">
        <v>424</v>
      </c>
      <c r="E330" s="7">
        <v>2534</v>
      </c>
      <c r="F330" s="5" t="s">
        <v>14</v>
      </c>
      <c r="J330" s="14">
        <v>0</v>
      </c>
      <c r="K330" s="138">
        <v>2534</v>
      </c>
      <c r="L330" s="129">
        <v>0</v>
      </c>
      <c r="M330" s="129">
        <v>0</v>
      </c>
      <c r="N330" s="129">
        <v>0</v>
      </c>
      <c r="R330" s="5">
        <v>0</v>
      </c>
      <c r="S330" s="17" t="s">
        <v>450</v>
      </c>
      <c r="T330" s="5" t="s">
        <v>13</v>
      </c>
      <c r="U330" s="7">
        <v>0</v>
      </c>
      <c r="V330" s="7">
        <v>0</v>
      </c>
      <c r="W330" s="7">
        <f t="shared" si="61"/>
        <v>0</v>
      </c>
      <c r="X330" s="7">
        <f>5+10+15+37</f>
        <v>67</v>
      </c>
    </row>
    <row r="331" spans="1:28" x14ac:dyDescent="0.3">
      <c r="A331" s="121" t="s">
        <v>311</v>
      </c>
      <c r="B331" s="5">
        <v>1</v>
      </c>
      <c r="C331" s="5">
        <v>19</v>
      </c>
      <c r="D331" s="5" t="s">
        <v>433</v>
      </c>
      <c r="E331" s="7">
        <v>2792</v>
      </c>
      <c r="F331" s="5" t="s">
        <v>14</v>
      </c>
      <c r="J331" s="14">
        <v>0</v>
      </c>
      <c r="K331" s="138">
        <v>2792</v>
      </c>
      <c r="L331" s="129">
        <v>0</v>
      </c>
      <c r="M331" s="129">
        <v>0</v>
      </c>
      <c r="N331" s="129">
        <v>0</v>
      </c>
      <c r="R331" s="5">
        <v>0</v>
      </c>
      <c r="S331" s="17" t="s">
        <v>450</v>
      </c>
      <c r="T331" s="5" t="s">
        <v>13</v>
      </c>
      <c r="U331" s="7">
        <v>0</v>
      </c>
      <c r="V331" s="7">
        <v>0</v>
      </c>
      <c r="W331" s="7">
        <f t="shared" si="61"/>
        <v>0</v>
      </c>
      <c r="X331" s="7">
        <f>5+15+37</f>
        <v>57</v>
      </c>
    </row>
    <row r="332" spans="1:28" ht="15" thickBot="1" x14ac:dyDescent="0.35">
      <c r="A332" s="258" t="s">
        <v>391</v>
      </c>
      <c r="B332" s="258">
        <v>0</v>
      </c>
      <c r="C332" s="258">
        <v>20170811</v>
      </c>
      <c r="D332" s="258" t="s">
        <v>390</v>
      </c>
      <c r="E332" s="259">
        <v>54397.39</v>
      </c>
      <c r="F332" s="258" t="s">
        <v>441</v>
      </c>
      <c r="G332" s="118" t="s">
        <v>11</v>
      </c>
      <c r="H332" s="118" t="s">
        <v>12</v>
      </c>
      <c r="I332" s="118"/>
      <c r="J332" s="259">
        <v>12</v>
      </c>
      <c r="K332" s="277">
        <v>63322</v>
      </c>
      <c r="L332" s="141">
        <v>7598.64</v>
      </c>
      <c r="M332" s="141">
        <v>0</v>
      </c>
      <c r="N332" s="141">
        <v>0</v>
      </c>
      <c r="O332" s="118"/>
      <c r="P332" s="118" t="s">
        <v>350</v>
      </c>
      <c r="Q332" s="118" t="s">
        <v>342</v>
      </c>
      <c r="R332" s="258">
        <v>0</v>
      </c>
      <c r="S332" s="261" t="s">
        <v>451</v>
      </c>
      <c r="T332" s="258" t="s">
        <v>224</v>
      </c>
      <c r="U332" s="259">
        <v>0</v>
      </c>
      <c r="V332" s="259">
        <v>0</v>
      </c>
      <c r="W332" s="259">
        <f t="shared" si="61"/>
        <v>0</v>
      </c>
      <c r="X332" s="259">
        <v>500</v>
      </c>
    </row>
    <row r="333" spans="1:28" ht="15" thickBot="1" x14ac:dyDescent="0.35">
      <c r="A333" s="3"/>
      <c r="B333" s="3"/>
      <c r="C333" s="3"/>
      <c r="D333" s="3"/>
      <c r="E333" s="128">
        <f>+SUM(E7:E332)</f>
        <v>9898712.2400000058</v>
      </c>
      <c r="F333" s="128">
        <f>SUM(F8:F328)</f>
        <v>0</v>
      </c>
      <c r="J333" s="128">
        <v>0</v>
      </c>
      <c r="K333" s="128">
        <f>+SUM(K7:K332)</f>
        <v>7739874.9799999967</v>
      </c>
      <c r="L333" s="128">
        <f t="shared" ref="L333:N333" si="62">+SUM(L7:L332)</f>
        <v>53874.373199999995</v>
      </c>
      <c r="M333" s="128">
        <f t="shared" si="62"/>
        <v>956427.88040000002</v>
      </c>
      <c r="N333" s="128">
        <f t="shared" si="62"/>
        <v>956427.88040000002</v>
      </c>
      <c r="R333" s="128">
        <v>0</v>
      </c>
      <c r="S333" s="128">
        <f>SUM(S8:S328)</f>
        <v>0</v>
      </c>
      <c r="T333" s="128">
        <f>SUM(T8:T328)</f>
        <v>0</v>
      </c>
      <c r="U333" s="128">
        <f>SUM(U8:U328)</f>
        <v>0</v>
      </c>
      <c r="V333" s="128">
        <f t="shared" ref="V333" si="63">+SUM(V7:V332)</f>
        <v>0</v>
      </c>
      <c r="W333" s="128">
        <f t="shared" ref="W333" si="64">+SUM(W7:W332)</f>
        <v>0</v>
      </c>
      <c r="X333" s="128">
        <f t="shared" ref="X333" si="65">+SUM(X7:X332)</f>
        <v>288205.07999999996</v>
      </c>
    </row>
    <row r="334" spans="1:28" ht="15" thickBot="1" x14ac:dyDescent="0.35">
      <c r="D334" s="260" t="s">
        <v>348</v>
      </c>
      <c r="E334" s="128">
        <v>30491</v>
      </c>
    </row>
    <row r="335" spans="1:28" ht="15" thickBot="1" x14ac:dyDescent="0.35">
      <c r="C335" t="s">
        <v>47</v>
      </c>
      <c r="D335" s="260"/>
      <c r="E335" s="128">
        <f>+E333-E334</f>
        <v>9868221.2400000058</v>
      </c>
    </row>
    <row r="336" spans="1:28" x14ac:dyDescent="0.3">
      <c r="C336" t="s">
        <v>439</v>
      </c>
      <c r="E336" s="251">
        <v>9868222.1300000008</v>
      </c>
    </row>
    <row r="337" spans="4:28" x14ac:dyDescent="0.3">
      <c r="D337" t="s">
        <v>440</v>
      </c>
      <c r="E337" s="200">
        <f>+E336-E335</f>
        <v>0.889999995008111</v>
      </c>
    </row>
    <row r="338" spans="4:28" x14ac:dyDescent="0.3">
      <c r="Y338">
        <v>8539</v>
      </c>
      <c r="Z338">
        <f>24+10</f>
        <v>34</v>
      </c>
      <c r="AA338" s="129">
        <f t="shared" ref="AA338:AA401" si="66">+Y338-M338</f>
        <v>8539</v>
      </c>
      <c r="AB338" s="129">
        <f t="shared" ref="AB338:AB401" si="67">+N338-Z338</f>
        <v>-34</v>
      </c>
    </row>
    <row r="339" spans="4:28" x14ac:dyDescent="0.3">
      <c r="Y339">
        <f t="shared" ref="Y339:Y401" si="68">+K339/100*9</f>
        <v>0</v>
      </c>
      <c r="Z339">
        <f t="shared" ref="Z339:Z401" si="69">+K339/100*9</f>
        <v>0</v>
      </c>
      <c r="AA339" s="129">
        <f t="shared" si="66"/>
        <v>0</v>
      </c>
      <c r="AB339" s="129">
        <f t="shared" si="67"/>
        <v>0</v>
      </c>
    </row>
    <row r="340" spans="4:28" x14ac:dyDescent="0.3">
      <c r="Y340">
        <f t="shared" si="68"/>
        <v>0</v>
      </c>
      <c r="Z340">
        <f t="shared" si="69"/>
        <v>0</v>
      </c>
      <c r="AA340" s="129">
        <f t="shared" si="66"/>
        <v>0</v>
      </c>
      <c r="AB340" s="129">
        <f t="shared" si="67"/>
        <v>0</v>
      </c>
    </row>
    <row r="341" spans="4:28" x14ac:dyDescent="0.3">
      <c r="Y341">
        <f t="shared" si="68"/>
        <v>0</v>
      </c>
      <c r="Z341">
        <f t="shared" si="69"/>
        <v>0</v>
      </c>
      <c r="AA341" s="129">
        <f t="shared" si="66"/>
        <v>0</v>
      </c>
      <c r="AB341" s="129">
        <f t="shared" si="67"/>
        <v>0</v>
      </c>
    </row>
    <row r="342" spans="4:28" x14ac:dyDescent="0.3">
      <c r="Y342">
        <f t="shared" si="68"/>
        <v>0</v>
      </c>
      <c r="Z342">
        <f t="shared" si="69"/>
        <v>0</v>
      </c>
      <c r="AA342" s="129">
        <f t="shared" si="66"/>
        <v>0</v>
      </c>
      <c r="AB342" s="129">
        <f t="shared" si="67"/>
        <v>0</v>
      </c>
    </row>
    <row r="343" spans="4:28" x14ac:dyDescent="0.3">
      <c r="Y343">
        <f t="shared" si="68"/>
        <v>0</v>
      </c>
      <c r="Z343">
        <f t="shared" si="69"/>
        <v>0</v>
      </c>
      <c r="AA343" s="129">
        <f t="shared" si="66"/>
        <v>0</v>
      </c>
      <c r="AB343" s="129">
        <f t="shared" si="67"/>
        <v>0</v>
      </c>
    </row>
    <row r="344" spans="4:28" x14ac:dyDescent="0.3">
      <c r="Y344">
        <f t="shared" si="68"/>
        <v>0</v>
      </c>
      <c r="Z344">
        <f t="shared" si="69"/>
        <v>0</v>
      </c>
      <c r="AA344" s="129">
        <f t="shared" si="66"/>
        <v>0</v>
      </c>
      <c r="AB344" s="129">
        <f t="shared" si="67"/>
        <v>0</v>
      </c>
    </row>
    <row r="345" spans="4:28" x14ac:dyDescent="0.3">
      <c r="Y345">
        <f t="shared" si="68"/>
        <v>0</v>
      </c>
      <c r="Z345">
        <f t="shared" si="69"/>
        <v>0</v>
      </c>
      <c r="AA345" s="129">
        <f t="shared" si="66"/>
        <v>0</v>
      </c>
      <c r="AB345" s="129">
        <f t="shared" si="67"/>
        <v>0</v>
      </c>
    </row>
    <row r="346" spans="4:28" x14ac:dyDescent="0.3">
      <c r="Y346">
        <f t="shared" si="68"/>
        <v>0</v>
      </c>
      <c r="Z346">
        <f t="shared" si="69"/>
        <v>0</v>
      </c>
      <c r="AA346" s="129">
        <f t="shared" si="66"/>
        <v>0</v>
      </c>
      <c r="AB346" s="129">
        <f t="shared" si="67"/>
        <v>0</v>
      </c>
    </row>
    <row r="347" spans="4:28" x14ac:dyDescent="0.3">
      <c r="Y347">
        <f t="shared" si="68"/>
        <v>0</v>
      </c>
      <c r="Z347">
        <f t="shared" si="69"/>
        <v>0</v>
      </c>
      <c r="AA347" s="129">
        <f t="shared" si="66"/>
        <v>0</v>
      </c>
      <c r="AB347" s="129">
        <f t="shared" si="67"/>
        <v>0</v>
      </c>
    </row>
    <row r="348" spans="4:28" x14ac:dyDescent="0.3">
      <c r="Y348">
        <f t="shared" si="68"/>
        <v>0</v>
      </c>
      <c r="Z348">
        <f t="shared" si="69"/>
        <v>0</v>
      </c>
      <c r="AA348" s="129">
        <f t="shared" si="66"/>
        <v>0</v>
      </c>
      <c r="AB348" s="129">
        <f t="shared" si="67"/>
        <v>0</v>
      </c>
    </row>
    <row r="349" spans="4:28" x14ac:dyDescent="0.3">
      <c r="Y349">
        <f t="shared" si="68"/>
        <v>0</v>
      </c>
      <c r="Z349">
        <f t="shared" si="69"/>
        <v>0</v>
      </c>
      <c r="AA349" s="129">
        <f t="shared" si="66"/>
        <v>0</v>
      </c>
      <c r="AB349" s="129">
        <f t="shared" si="67"/>
        <v>0</v>
      </c>
    </row>
    <row r="350" spans="4:28" x14ac:dyDescent="0.3">
      <c r="Y350">
        <f t="shared" si="68"/>
        <v>0</v>
      </c>
      <c r="Z350">
        <f t="shared" si="69"/>
        <v>0</v>
      </c>
      <c r="AA350" s="129">
        <f t="shared" si="66"/>
        <v>0</v>
      </c>
      <c r="AB350" s="129">
        <f t="shared" si="67"/>
        <v>0</v>
      </c>
    </row>
    <row r="351" spans="4:28" x14ac:dyDescent="0.3">
      <c r="Y351">
        <f t="shared" si="68"/>
        <v>0</v>
      </c>
      <c r="Z351">
        <f t="shared" si="69"/>
        <v>0</v>
      </c>
      <c r="AA351" s="129">
        <f t="shared" si="66"/>
        <v>0</v>
      </c>
      <c r="AB351" s="129">
        <f t="shared" si="67"/>
        <v>0</v>
      </c>
    </row>
    <row r="352" spans="4:28" x14ac:dyDescent="0.3">
      <c r="Y352">
        <f t="shared" si="68"/>
        <v>0</v>
      </c>
      <c r="Z352">
        <f t="shared" si="69"/>
        <v>0</v>
      </c>
      <c r="AA352" s="129">
        <f t="shared" si="66"/>
        <v>0</v>
      </c>
      <c r="AB352" s="129">
        <f t="shared" si="67"/>
        <v>0</v>
      </c>
    </row>
    <row r="353" spans="25:28" x14ac:dyDescent="0.3">
      <c r="Y353">
        <f t="shared" si="68"/>
        <v>0</v>
      </c>
      <c r="Z353">
        <f t="shared" si="69"/>
        <v>0</v>
      </c>
      <c r="AA353" s="129">
        <f t="shared" si="66"/>
        <v>0</v>
      </c>
      <c r="AB353" s="129">
        <f t="shared" si="67"/>
        <v>0</v>
      </c>
    </row>
    <row r="354" spans="25:28" x14ac:dyDescent="0.3">
      <c r="Y354">
        <f t="shared" si="68"/>
        <v>0</v>
      </c>
      <c r="Z354">
        <f t="shared" si="69"/>
        <v>0</v>
      </c>
      <c r="AA354" s="129">
        <f t="shared" si="66"/>
        <v>0</v>
      </c>
      <c r="AB354" s="129">
        <f t="shared" si="67"/>
        <v>0</v>
      </c>
    </row>
    <row r="355" spans="25:28" x14ac:dyDescent="0.3">
      <c r="Y355">
        <f t="shared" si="68"/>
        <v>0</v>
      </c>
      <c r="Z355">
        <f t="shared" si="69"/>
        <v>0</v>
      </c>
      <c r="AA355" s="129">
        <f t="shared" si="66"/>
        <v>0</v>
      </c>
      <c r="AB355" s="129">
        <f t="shared" si="67"/>
        <v>0</v>
      </c>
    </row>
    <row r="356" spans="25:28" x14ac:dyDescent="0.3">
      <c r="Y356">
        <f t="shared" si="68"/>
        <v>0</v>
      </c>
      <c r="Z356">
        <f t="shared" si="69"/>
        <v>0</v>
      </c>
      <c r="AA356" s="129">
        <f t="shared" si="66"/>
        <v>0</v>
      </c>
      <c r="AB356" s="129">
        <f t="shared" si="67"/>
        <v>0</v>
      </c>
    </row>
    <row r="357" spans="25:28" x14ac:dyDescent="0.3">
      <c r="Y357">
        <f t="shared" si="68"/>
        <v>0</v>
      </c>
      <c r="Z357">
        <f t="shared" si="69"/>
        <v>0</v>
      </c>
      <c r="AA357" s="129">
        <f t="shared" si="66"/>
        <v>0</v>
      </c>
      <c r="AB357" s="129">
        <f t="shared" si="67"/>
        <v>0</v>
      </c>
    </row>
    <row r="358" spans="25:28" x14ac:dyDescent="0.3">
      <c r="Y358">
        <f t="shared" si="68"/>
        <v>0</v>
      </c>
      <c r="Z358">
        <f t="shared" si="69"/>
        <v>0</v>
      </c>
      <c r="AA358" s="129">
        <f t="shared" si="66"/>
        <v>0</v>
      </c>
      <c r="AB358" s="129">
        <f t="shared" si="67"/>
        <v>0</v>
      </c>
    </row>
    <row r="359" spans="25:28" x14ac:dyDescent="0.3">
      <c r="Y359">
        <f t="shared" si="68"/>
        <v>0</v>
      </c>
      <c r="Z359">
        <f t="shared" si="69"/>
        <v>0</v>
      </c>
      <c r="AA359" s="129">
        <f t="shared" si="66"/>
        <v>0</v>
      </c>
      <c r="AB359" s="129">
        <f t="shared" si="67"/>
        <v>0</v>
      </c>
    </row>
    <row r="360" spans="25:28" x14ac:dyDescent="0.3">
      <c r="Y360">
        <f t="shared" si="68"/>
        <v>0</v>
      </c>
      <c r="Z360">
        <f t="shared" si="69"/>
        <v>0</v>
      </c>
      <c r="AA360" s="129">
        <f t="shared" si="66"/>
        <v>0</v>
      </c>
      <c r="AB360" s="129">
        <f t="shared" si="67"/>
        <v>0</v>
      </c>
    </row>
    <row r="361" spans="25:28" x14ac:dyDescent="0.3">
      <c r="Y361">
        <f t="shared" si="68"/>
        <v>0</v>
      </c>
      <c r="Z361">
        <f t="shared" si="69"/>
        <v>0</v>
      </c>
      <c r="AA361" s="129">
        <f t="shared" si="66"/>
        <v>0</v>
      </c>
      <c r="AB361" s="129">
        <f t="shared" si="67"/>
        <v>0</v>
      </c>
    </row>
    <row r="362" spans="25:28" x14ac:dyDescent="0.3">
      <c r="Y362">
        <f t="shared" si="68"/>
        <v>0</v>
      </c>
      <c r="Z362">
        <f t="shared" si="69"/>
        <v>0</v>
      </c>
      <c r="AA362" s="129">
        <f t="shared" si="66"/>
        <v>0</v>
      </c>
      <c r="AB362" s="129">
        <f t="shared" si="67"/>
        <v>0</v>
      </c>
    </row>
    <row r="363" spans="25:28" x14ac:dyDescent="0.3">
      <c r="Y363">
        <f t="shared" si="68"/>
        <v>0</v>
      </c>
      <c r="Z363">
        <f t="shared" si="69"/>
        <v>0</v>
      </c>
      <c r="AA363" s="129">
        <f t="shared" si="66"/>
        <v>0</v>
      </c>
      <c r="AB363" s="129">
        <f t="shared" si="67"/>
        <v>0</v>
      </c>
    </row>
    <row r="364" spans="25:28" x14ac:dyDescent="0.3">
      <c r="Y364">
        <f t="shared" si="68"/>
        <v>0</v>
      </c>
      <c r="Z364">
        <f t="shared" si="69"/>
        <v>0</v>
      </c>
      <c r="AA364" s="129">
        <f t="shared" si="66"/>
        <v>0</v>
      </c>
      <c r="AB364" s="129">
        <f t="shared" si="67"/>
        <v>0</v>
      </c>
    </row>
    <row r="365" spans="25:28" x14ac:dyDescent="0.3">
      <c r="Y365">
        <f t="shared" si="68"/>
        <v>0</v>
      </c>
      <c r="Z365">
        <f t="shared" si="69"/>
        <v>0</v>
      </c>
      <c r="AA365" s="129">
        <f t="shared" si="66"/>
        <v>0</v>
      </c>
      <c r="AB365" s="129">
        <f t="shared" si="67"/>
        <v>0</v>
      </c>
    </row>
    <row r="366" spans="25:28" x14ac:dyDescent="0.3">
      <c r="Y366">
        <f t="shared" si="68"/>
        <v>0</v>
      </c>
      <c r="Z366">
        <f t="shared" si="69"/>
        <v>0</v>
      </c>
      <c r="AA366" s="129">
        <f t="shared" si="66"/>
        <v>0</v>
      </c>
      <c r="AB366" s="129">
        <f t="shared" si="67"/>
        <v>0</v>
      </c>
    </row>
    <row r="367" spans="25:28" x14ac:dyDescent="0.3">
      <c r="Y367">
        <f t="shared" si="68"/>
        <v>0</v>
      </c>
      <c r="Z367">
        <f t="shared" si="69"/>
        <v>0</v>
      </c>
      <c r="AA367" s="129">
        <f t="shared" si="66"/>
        <v>0</v>
      </c>
      <c r="AB367" s="129">
        <f t="shared" si="67"/>
        <v>0</v>
      </c>
    </row>
    <row r="368" spans="25:28" x14ac:dyDescent="0.3">
      <c r="Y368">
        <f t="shared" si="68"/>
        <v>0</v>
      </c>
      <c r="Z368">
        <f t="shared" si="69"/>
        <v>0</v>
      </c>
      <c r="AA368" s="129">
        <f t="shared" si="66"/>
        <v>0</v>
      </c>
      <c r="AB368" s="129">
        <f t="shared" si="67"/>
        <v>0</v>
      </c>
    </row>
    <row r="369" spans="25:28" x14ac:dyDescent="0.3">
      <c r="Y369">
        <f t="shared" si="68"/>
        <v>0</v>
      </c>
      <c r="Z369">
        <f t="shared" si="69"/>
        <v>0</v>
      </c>
      <c r="AA369" s="129">
        <f t="shared" si="66"/>
        <v>0</v>
      </c>
      <c r="AB369" s="129">
        <f t="shared" si="67"/>
        <v>0</v>
      </c>
    </row>
    <row r="370" spans="25:28" x14ac:dyDescent="0.3">
      <c r="Y370">
        <f t="shared" si="68"/>
        <v>0</v>
      </c>
      <c r="Z370">
        <f t="shared" si="69"/>
        <v>0</v>
      </c>
      <c r="AA370" s="129">
        <f t="shared" si="66"/>
        <v>0</v>
      </c>
      <c r="AB370" s="129">
        <f t="shared" si="67"/>
        <v>0</v>
      </c>
    </row>
    <row r="371" spans="25:28" x14ac:dyDescent="0.3">
      <c r="Y371">
        <f t="shared" si="68"/>
        <v>0</v>
      </c>
      <c r="Z371">
        <f t="shared" si="69"/>
        <v>0</v>
      </c>
      <c r="AA371" s="129">
        <f t="shared" si="66"/>
        <v>0</v>
      </c>
      <c r="AB371" s="129">
        <f t="shared" si="67"/>
        <v>0</v>
      </c>
    </row>
    <row r="372" spans="25:28" x14ac:dyDescent="0.3">
      <c r="Y372">
        <f t="shared" si="68"/>
        <v>0</v>
      </c>
      <c r="Z372">
        <f t="shared" si="69"/>
        <v>0</v>
      </c>
      <c r="AA372" s="129">
        <f t="shared" si="66"/>
        <v>0</v>
      </c>
      <c r="AB372" s="129">
        <f t="shared" si="67"/>
        <v>0</v>
      </c>
    </row>
    <row r="373" spans="25:28" x14ac:dyDescent="0.3">
      <c r="Y373">
        <f t="shared" si="68"/>
        <v>0</v>
      </c>
      <c r="Z373">
        <f t="shared" si="69"/>
        <v>0</v>
      </c>
      <c r="AA373" s="129">
        <f t="shared" si="66"/>
        <v>0</v>
      </c>
      <c r="AB373" s="129">
        <f t="shared" si="67"/>
        <v>0</v>
      </c>
    </row>
    <row r="374" spans="25:28" x14ac:dyDescent="0.3">
      <c r="Y374">
        <f t="shared" si="68"/>
        <v>0</v>
      </c>
      <c r="Z374">
        <f t="shared" si="69"/>
        <v>0</v>
      </c>
      <c r="AA374" s="129">
        <f t="shared" si="66"/>
        <v>0</v>
      </c>
      <c r="AB374" s="129">
        <f t="shared" si="67"/>
        <v>0</v>
      </c>
    </row>
    <row r="375" spans="25:28" x14ac:dyDescent="0.3">
      <c r="Y375">
        <f t="shared" si="68"/>
        <v>0</v>
      </c>
      <c r="Z375">
        <f t="shared" si="69"/>
        <v>0</v>
      </c>
      <c r="AA375" s="129">
        <f t="shared" si="66"/>
        <v>0</v>
      </c>
      <c r="AB375" s="129">
        <f t="shared" si="67"/>
        <v>0</v>
      </c>
    </row>
    <row r="376" spans="25:28" x14ac:dyDescent="0.3">
      <c r="Y376">
        <f t="shared" si="68"/>
        <v>0</v>
      </c>
      <c r="Z376">
        <f t="shared" si="69"/>
        <v>0</v>
      </c>
      <c r="AA376" s="129">
        <f t="shared" si="66"/>
        <v>0</v>
      </c>
      <c r="AB376" s="129">
        <f t="shared" si="67"/>
        <v>0</v>
      </c>
    </row>
    <row r="377" spans="25:28" x14ac:dyDescent="0.3">
      <c r="Y377">
        <f t="shared" si="68"/>
        <v>0</v>
      </c>
      <c r="Z377">
        <f t="shared" si="69"/>
        <v>0</v>
      </c>
      <c r="AA377" s="129">
        <f t="shared" si="66"/>
        <v>0</v>
      </c>
      <c r="AB377" s="129">
        <f t="shared" si="67"/>
        <v>0</v>
      </c>
    </row>
    <row r="378" spans="25:28" x14ac:dyDescent="0.3">
      <c r="Y378">
        <f t="shared" si="68"/>
        <v>0</v>
      </c>
      <c r="Z378">
        <f t="shared" si="69"/>
        <v>0</v>
      </c>
      <c r="AA378" s="129">
        <f t="shared" si="66"/>
        <v>0</v>
      </c>
      <c r="AB378" s="129">
        <f t="shared" si="67"/>
        <v>0</v>
      </c>
    </row>
    <row r="379" spans="25:28" x14ac:dyDescent="0.3">
      <c r="Y379">
        <f t="shared" si="68"/>
        <v>0</v>
      </c>
      <c r="Z379">
        <f t="shared" si="69"/>
        <v>0</v>
      </c>
      <c r="AA379" s="129">
        <f t="shared" si="66"/>
        <v>0</v>
      </c>
      <c r="AB379" s="129">
        <f t="shared" si="67"/>
        <v>0</v>
      </c>
    </row>
    <row r="380" spans="25:28" x14ac:dyDescent="0.3">
      <c r="Y380">
        <f t="shared" si="68"/>
        <v>0</v>
      </c>
      <c r="Z380">
        <f t="shared" si="69"/>
        <v>0</v>
      </c>
      <c r="AA380" s="129">
        <f t="shared" si="66"/>
        <v>0</v>
      </c>
      <c r="AB380" s="129">
        <f t="shared" si="67"/>
        <v>0</v>
      </c>
    </row>
    <row r="381" spans="25:28" x14ac:dyDescent="0.3">
      <c r="Y381">
        <f t="shared" si="68"/>
        <v>0</v>
      </c>
      <c r="Z381">
        <f t="shared" si="69"/>
        <v>0</v>
      </c>
      <c r="AA381" s="129">
        <f t="shared" si="66"/>
        <v>0</v>
      </c>
      <c r="AB381" s="129">
        <f t="shared" si="67"/>
        <v>0</v>
      </c>
    </row>
    <row r="382" spans="25:28" x14ac:dyDescent="0.3">
      <c r="Y382">
        <f t="shared" si="68"/>
        <v>0</v>
      </c>
      <c r="Z382">
        <f t="shared" si="69"/>
        <v>0</v>
      </c>
      <c r="AA382" s="129">
        <f t="shared" si="66"/>
        <v>0</v>
      </c>
      <c r="AB382" s="129">
        <f t="shared" si="67"/>
        <v>0</v>
      </c>
    </row>
    <row r="383" spans="25:28" x14ac:dyDescent="0.3">
      <c r="Y383">
        <f t="shared" si="68"/>
        <v>0</v>
      </c>
      <c r="Z383">
        <f t="shared" si="69"/>
        <v>0</v>
      </c>
      <c r="AA383" s="129">
        <f t="shared" si="66"/>
        <v>0</v>
      </c>
      <c r="AB383" s="129">
        <f t="shared" si="67"/>
        <v>0</v>
      </c>
    </row>
    <row r="384" spans="25:28" x14ac:dyDescent="0.3">
      <c r="Y384">
        <f t="shared" si="68"/>
        <v>0</v>
      </c>
      <c r="Z384">
        <f t="shared" si="69"/>
        <v>0</v>
      </c>
      <c r="AA384" s="129">
        <f t="shared" si="66"/>
        <v>0</v>
      </c>
      <c r="AB384" s="129">
        <f t="shared" si="67"/>
        <v>0</v>
      </c>
    </row>
    <row r="385" spans="25:28" x14ac:dyDescent="0.3">
      <c r="Y385">
        <f t="shared" si="68"/>
        <v>0</v>
      </c>
      <c r="Z385">
        <f t="shared" si="69"/>
        <v>0</v>
      </c>
      <c r="AA385" s="129">
        <f t="shared" si="66"/>
        <v>0</v>
      </c>
      <c r="AB385" s="129">
        <f t="shared" si="67"/>
        <v>0</v>
      </c>
    </row>
    <row r="386" spans="25:28" x14ac:dyDescent="0.3">
      <c r="Y386">
        <f t="shared" si="68"/>
        <v>0</v>
      </c>
      <c r="Z386">
        <f t="shared" si="69"/>
        <v>0</v>
      </c>
      <c r="AA386" s="129">
        <f t="shared" si="66"/>
        <v>0</v>
      </c>
      <c r="AB386" s="129">
        <f t="shared" si="67"/>
        <v>0</v>
      </c>
    </row>
    <row r="387" spans="25:28" x14ac:dyDescent="0.3">
      <c r="Y387">
        <f t="shared" si="68"/>
        <v>0</v>
      </c>
      <c r="Z387">
        <f t="shared" si="69"/>
        <v>0</v>
      </c>
      <c r="AA387" s="129">
        <f t="shared" si="66"/>
        <v>0</v>
      </c>
      <c r="AB387" s="129">
        <f t="shared" si="67"/>
        <v>0</v>
      </c>
    </row>
    <row r="388" spans="25:28" x14ac:dyDescent="0.3">
      <c r="Y388">
        <f t="shared" si="68"/>
        <v>0</v>
      </c>
      <c r="Z388">
        <f t="shared" si="69"/>
        <v>0</v>
      </c>
      <c r="AA388" s="129">
        <f t="shared" si="66"/>
        <v>0</v>
      </c>
      <c r="AB388" s="129">
        <f t="shared" si="67"/>
        <v>0</v>
      </c>
    </row>
    <row r="389" spans="25:28" x14ac:dyDescent="0.3">
      <c r="Y389">
        <f t="shared" si="68"/>
        <v>0</v>
      </c>
      <c r="Z389">
        <f t="shared" si="69"/>
        <v>0</v>
      </c>
      <c r="AA389" s="129">
        <f t="shared" si="66"/>
        <v>0</v>
      </c>
      <c r="AB389" s="129">
        <f t="shared" si="67"/>
        <v>0</v>
      </c>
    </row>
    <row r="390" spans="25:28" x14ac:dyDescent="0.3">
      <c r="Y390">
        <f t="shared" si="68"/>
        <v>0</v>
      </c>
      <c r="Z390">
        <f t="shared" si="69"/>
        <v>0</v>
      </c>
      <c r="AA390" s="129">
        <f t="shared" si="66"/>
        <v>0</v>
      </c>
      <c r="AB390" s="129">
        <f t="shared" si="67"/>
        <v>0</v>
      </c>
    </row>
    <row r="391" spans="25:28" x14ac:dyDescent="0.3">
      <c r="Y391">
        <f t="shared" si="68"/>
        <v>0</v>
      </c>
      <c r="Z391">
        <f t="shared" si="69"/>
        <v>0</v>
      </c>
      <c r="AA391" s="129">
        <f t="shared" si="66"/>
        <v>0</v>
      </c>
      <c r="AB391" s="129">
        <f t="shared" si="67"/>
        <v>0</v>
      </c>
    </row>
    <row r="392" spans="25:28" x14ac:dyDescent="0.3">
      <c r="Y392">
        <f t="shared" si="68"/>
        <v>0</v>
      </c>
      <c r="Z392">
        <f t="shared" si="69"/>
        <v>0</v>
      </c>
      <c r="AA392" s="129">
        <f t="shared" si="66"/>
        <v>0</v>
      </c>
      <c r="AB392" s="129">
        <f t="shared" si="67"/>
        <v>0</v>
      </c>
    </row>
    <row r="393" spans="25:28" x14ac:dyDescent="0.3">
      <c r="Y393">
        <f t="shared" si="68"/>
        <v>0</v>
      </c>
      <c r="Z393">
        <f t="shared" si="69"/>
        <v>0</v>
      </c>
      <c r="AA393" s="129">
        <f t="shared" si="66"/>
        <v>0</v>
      </c>
      <c r="AB393" s="129">
        <f t="shared" si="67"/>
        <v>0</v>
      </c>
    </row>
    <row r="394" spans="25:28" x14ac:dyDescent="0.3">
      <c r="Y394">
        <f t="shared" si="68"/>
        <v>0</v>
      </c>
      <c r="Z394">
        <f t="shared" si="69"/>
        <v>0</v>
      </c>
      <c r="AA394" s="129">
        <f t="shared" si="66"/>
        <v>0</v>
      </c>
      <c r="AB394" s="129">
        <f t="shared" si="67"/>
        <v>0</v>
      </c>
    </row>
    <row r="395" spans="25:28" x14ac:dyDescent="0.3">
      <c r="Y395">
        <f t="shared" si="68"/>
        <v>0</v>
      </c>
      <c r="Z395">
        <f t="shared" si="69"/>
        <v>0</v>
      </c>
      <c r="AA395" s="129">
        <f t="shared" si="66"/>
        <v>0</v>
      </c>
      <c r="AB395" s="129">
        <f t="shared" si="67"/>
        <v>0</v>
      </c>
    </row>
    <row r="396" spans="25:28" x14ac:dyDescent="0.3">
      <c r="Y396">
        <f t="shared" si="68"/>
        <v>0</v>
      </c>
      <c r="Z396">
        <f t="shared" si="69"/>
        <v>0</v>
      </c>
      <c r="AA396" s="129">
        <f t="shared" si="66"/>
        <v>0</v>
      </c>
      <c r="AB396" s="129">
        <f t="shared" si="67"/>
        <v>0</v>
      </c>
    </row>
    <row r="397" spans="25:28" x14ac:dyDescent="0.3">
      <c r="Y397">
        <f t="shared" si="68"/>
        <v>0</v>
      </c>
      <c r="Z397">
        <f t="shared" si="69"/>
        <v>0</v>
      </c>
      <c r="AA397" s="129">
        <f t="shared" si="66"/>
        <v>0</v>
      </c>
      <c r="AB397" s="129">
        <f t="shared" si="67"/>
        <v>0</v>
      </c>
    </row>
    <row r="398" spans="25:28" x14ac:dyDescent="0.3">
      <c r="Y398">
        <f t="shared" si="68"/>
        <v>0</v>
      </c>
      <c r="Z398">
        <f t="shared" si="69"/>
        <v>0</v>
      </c>
      <c r="AA398" s="129">
        <f t="shared" si="66"/>
        <v>0</v>
      </c>
      <c r="AB398" s="129">
        <f t="shared" si="67"/>
        <v>0</v>
      </c>
    </row>
    <row r="399" spans="25:28" x14ac:dyDescent="0.3">
      <c r="Y399">
        <f t="shared" si="68"/>
        <v>0</v>
      </c>
      <c r="Z399">
        <f t="shared" si="69"/>
        <v>0</v>
      </c>
      <c r="AA399" s="129">
        <f t="shared" si="66"/>
        <v>0</v>
      </c>
      <c r="AB399" s="129">
        <f t="shared" si="67"/>
        <v>0</v>
      </c>
    </row>
    <row r="400" spans="25:28" x14ac:dyDescent="0.3">
      <c r="Y400">
        <f t="shared" si="68"/>
        <v>0</v>
      </c>
      <c r="Z400">
        <f t="shared" si="69"/>
        <v>0</v>
      </c>
      <c r="AA400" s="129">
        <f t="shared" si="66"/>
        <v>0</v>
      </c>
      <c r="AB400" s="129">
        <f t="shared" si="67"/>
        <v>0</v>
      </c>
    </row>
    <row r="401" spans="25:28" x14ac:dyDescent="0.3">
      <c r="Y401">
        <f t="shared" si="68"/>
        <v>0</v>
      </c>
      <c r="Z401">
        <f t="shared" si="69"/>
        <v>0</v>
      </c>
      <c r="AA401" s="129">
        <f t="shared" si="66"/>
        <v>0</v>
      </c>
      <c r="AB401" s="129">
        <f t="shared" si="67"/>
        <v>0</v>
      </c>
    </row>
    <row r="402" spans="25:28" x14ac:dyDescent="0.3">
      <c r="Y402">
        <f t="shared" ref="Y402:Y421" si="70">+K402/100*9</f>
        <v>0</v>
      </c>
      <c r="Z402">
        <f t="shared" ref="Z402:Z421" si="71">+K402/100*9</f>
        <v>0</v>
      </c>
      <c r="AA402" s="129">
        <f t="shared" ref="AA402:AA421" si="72">+Y402-M402</f>
        <v>0</v>
      </c>
      <c r="AB402" s="129">
        <f t="shared" ref="AB402:AB421" si="73">+N402-Z402</f>
        <v>0</v>
      </c>
    </row>
    <row r="403" spans="25:28" x14ac:dyDescent="0.3">
      <c r="Y403">
        <f t="shared" si="70"/>
        <v>0</v>
      </c>
      <c r="Z403">
        <f t="shared" si="71"/>
        <v>0</v>
      </c>
      <c r="AA403" s="129">
        <f t="shared" si="72"/>
        <v>0</v>
      </c>
      <c r="AB403" s="129">
        <f t="shared" si="73"/>
        <v>0</v>
      </c>
    </row>
    <row r="404" spans="25:28" x14ac:dyDescent="0.3">
      <c r="Y404">
        <f t="shared" si="70"/>
        <v>0</v>
      </c>
      <c r="Z404">
        <f t="shared" si="71"/>
        <v>0</v>
      </c>
      <c r="AA404" s="129">
        <f t="shared" si="72"/>
        <v>0</v>
      </c>
      <c r="AB404" s="129">
        <f t="shared" si="73"/>
        <v>0</v>
      </c>
    </row>
    <row r="405" spans="25:28" x14ac:dyDescent="0.3">
      <c r="Y405">
        <f t="shared" si="70"/>
        <v>0</v>
      </c>
      <c r="Z405">
        <f t="shared" si="71"/>
        <v>0</v>
      </c>
      <c r="AA405" s="129">
        <f t="shared" si="72"/>
        <v>0</v>
      </c>
      <c r="AB405" s="129">
        <f t="shared" si="73"/>
        <v>0</v>
      </c>
    </row>
    <row r="406" spans="25:28" x14ac:dyDescent="0.3">
      <c r="Y406">
        <f t="shared" si="70"/>
        <v>0</v>
      </c>
      <c r="Z406">
        <f t="shared" si="71"/>
        <v>0</v>
      </c>
      <c r="AA406" s="129">
        <f t="shared" si="72"/>
        <v>0</v>
      </c>
      <c r="AB406" s="129">
        <f t="shared" si="73"/>
        <v>0</v>
      </c>
    </row>
    <row r="407" spans="25:28" x14ac:dyDescent="0.3">
      <c r="Y407">
        <f t="shared" si="70"/>
        <v>0</v>
      </c>
      <c r="Z407">
        <f t="shared" si="71"/>
        <v>0</v>
      </c>
      <c r="AA407" s="129">
        <f t="shared" si="72"/>
        <v>0</v>
      </c>
      <c r="AB407" s="129">
        <f t="shared" si="73"/>
        <v>0</v>
      </c>
    </row>
    <row r="408" spans="25:28" x14ac:dyDescent="0.3">
      <c r="Y408">
        <f t="shared" si="70"/>
        <v>0</v>
      </c>
      <c r="Z408">
        <f t="shared" si="71"/>
        <v>0</v>
      </c>
      <c r="AA408" s="129">
        <f t="shared" si="72"/>
        <v>0</v>
      </c>
      <c r="AB408" s="129">
        <f t="shared" si="73"/>
        <v>0</v>
      </c>
    </row>
    <row r="409" spans="25:28" x14ac:dyDescent="0.3">
      <c r="Y409">
        <f t="shared" si="70"/>
        <v>0</v>
      </c>
      <c r="Z409">
        <f t="shared" si="71"/>
        <v>0</v>
      </c>
      <c r="AA409" s="129">
        <f t="shared" si="72"/>
        <v>0</v>
      </c>
      <c r="AB409" s="129">
        <f t="shared" si="73"/>
        <v>0</v>
      </c>
    </row>
    <row r="410" spans="25:28" x14ac:dyDescent="0.3">
      <c r="Y410">
        <f t="shared" si="70"/>
        <v>0</v>
      </c>
      <c r="Z410">
        <f t="shared" si="71"/>
        <v>0</v>
      </c>
      <c r="AA410" s="129">
        <f t="shared" si="72"/>
        <v>0</v>
      </c>
      <c r="AB410" s="129">
        <f t="shared" si="73"/>
        <v>0</v>
      </c>
    </row>
    <row r="411" spans="25:28" x14ac:dyDescent="0.3">
      <c r="Y411">
        <f t="shared" si="70"/>
        <v>0</v>
      </c>
      <c r="Z411">
        <f t="shared" si="71"/>
        <v>0</v>
      </c>
      <c r="AA411" s="129">
        <f t="shared" si="72"/>
        <v>0</v>
      </c>
      <c r="AB411" s="129">
        <f t="shared" si="73"/>
        <v>0</v>
      </c>
    </row>
    <row r="412" spans="25:28" x14ac:dyDescent="0.3">
      <c r="Y412">
        <f t="shared" si="70"/>
        <v>0</v>
      </c>
      <c r="Z412">
        <f t="shared" si="71"/>
        <v>0</v>
      </c>
      <c r="AA412" s="129">
        <f t="shared" si="72"/>
        <v>0</v>
      </c>
      <c r="AB412" s="129">
        <f t="shared" si="73"/>
        <v>0</v>
      </c>
    </row>
    <row r="413" spans="25:28" x14ac:dyDescent="0.3">
      <c r="Y413">
        <f t="shared" si="70"/>
        <v>0</v>
      </c>
      <c r="Z413">
        <f t="shared" si="71"/>
        <v>0</v>
      </c>
      <c r="AA413" s="129">
        <f t="shared" si="72"/>
        <v>0</v>
      </c>
      <c r="AB413" s="129">
        <f t="shared" si="73"/>
        <v>0</v>
      </c>
    </row>
    <row r="414" spans="25:28" x14ac:dyDescent="0.3">
      <c r="Y414">
        <f t="shared" si="70"/>
        <v>0</v>
      </c>
      <c r="Z414">
        <f t="shared" si="71"/>
        <v>0</v>
      </c>
      <c r="AA414" s="129">
        <f t="shared" si="72"/>
        <v>0</v>
      </c>
      <c r="AB414" s="129">
        <f t="shared" si="73"/>
        <v>0</v>
      </c>
    </row>
    <row r="415" spans="25:28" x14ac:dyDescent="0.3">
      <c r="Y415">
        <f t="shared" si="70"/>
        <v>0</v>
      </c>
      <c r="Z415">
        <f t="shared" si="71"/>
        <v>0</v>
      </c>
      <c r="AA415" s="129">
        <f t="shared" si="72"/>
        <v>0</v>
      </c>
      <c r="AB415" s="129">
        <f t="shared" si="73"/>
        <v>0</v>
      </c>
    </row>
    <row r="416" spans="25:28" x14ac:dyDescent="0.3">
      <c r="Y416">
        <f t="shared" si="70"/>
        <v>0</v>
      </c>
      <c r="Z416">
        <f t="shared" si="71"/>
        <v>0</v>
      </c>
      <c r="AA416" s="129">
        <f t="shared" si="72"/>
        <v>0</v>
      </c>
      <c r="AB416" s="129">
        <f t="shared" si="73"/>
        <v>0</v>
      </c>
    </row>
    <row r="417" spans="25:28" x14ac:dyDescent="0.3">
      <c r="Y417">
        <f t="shared" si="70"/>
        <v>0</v>
      </c>
      <c r="Z417">
        <f t="shared" si="71"/>
        <v>0</v>
      </c>
      <c r="AA417" s="129">
        <f t="shared" si="72"/>
        <v>0</v>
      </c>
      <c r="AB417" s="129">
        <f t="shared" si="73"/>
        <v>0</v>
      </c>
    </row>
    <row r="418" spans="25:28" x14ac:dyDescent="0.3">
      <c r="Y418">
        <f t="shared" si="70"/>
        <v>0</v>
      </c>
      <c r="Z418">
        <f t="shared" si="71"/>
        <v>0</v>
      </c>
      <c r="AA418" s="129">
        <f t="shared" si="72"/>
        <v>0</v>
      </c>
      <c r="AB418" s="129">
        <f t="shared" si="73"/>
        <v>0</v>
      </c>
    </row>
    <row r="419" spans="25:28" x14ac:dyDescent="0.3">
      <c r="Y419">
        <f t="shared" si="70"/>
        <v>0</v>
      </c>
      <c r="Z419">
        <f t="shared" si="71"/>
        <v>0</v>
      </c>
      <c r="AA419" s="129">
        <f t="shared" si="72"/>
        <v>0</v>
      </c>
      <c r="AB419" s="129">
        <f t="shared" si="73"/>
        <v>0</v>
      </c>
    </row>
    <row r="420" spans="25:28" x14ac:dyDescent="0.3">
      <c r="Y420">
        <f t="shared" si="70"/>
        <v>0</v>
      </c>
      <c r="Z420">
        <f t="shared" si="71"/>
        <v>0</v>
      </c>
      <c r="AA420" s="129">
        <f t="shared" si="72"/>
        <v>0</v>
      </c>
      <c r="AB420" s="129">
        <f t="shared" si="73"/>
        <v>0</v>
      </c>
    </row>
    <row r="421" spans="25:28" x14ac:dyDescent="0.3">
      <c r="Y421">
        <f t="shared" si="70"/>
        <v>0</v>
      </c>
      <c r="Z421">
        <f t="shared" si="71"/>
        <v>0</v>
      </c>
      <c r="AA421" s="129">
        <f t="shared" si="72"/>
        <v>0</v>
      </c>
      <c r="AB421" s="129">
        <f t="shared" si="73"/>
        <v>0</v>
      </c>
    </row>
  </sheetData>
  <autoFilter ref="A6:X337">
    <sortState ref="A6:X337">
      <sortCondition descending="1" ref="B5:B337"/>
    </sortState>
  </autoFilter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opLeftCell="A31" workbookViewId="0">
      <selection activeCell="G54" sqref="G54"/>
    </sheetView>
  </sheetViews>
  <sheetFormatPr defaultRowHeight="14.4" x14ac:dyDescent="0.3"/>
  <cols>
    <col min="1" max="1" width="5" bestFit="1" customWidth="1"/>
    <col min="2" max="2" width="33.44140625" customWidth="1"/>
    <col min="3" max="3" width="18.88671875" customWidth="1"/>
    <col min="4" max="4" width="13" customWidth="1"/>
    <col min="5" max="5" width="10.21875" customWidth="1"/>
    <col min="6" max="6" width="10.44140625" customWidth="1"/>
    <col min="7" max="7" width="8.5546875" bestFit="1" customWidth="1"/>
    <col min="8" max="8" width="9.6640625" customWidth="1"/>
    <col min="9" max="9" width="10.109375" customWidth="1"/>
    <col min="10" max="10" width="7.44140625" bestFit="1" customWidth="1"/>
  </cols>
  <sheetData>
    <row r="1" spans="1:11" ht="15.6" thickTop="1" thickBot="1" x14ac:dyDescent="0.35">
      <c r="A1" s="144"/>
      <c r="B1" s="144"/>
      <c r="C1" s="145" t="s">
        <v>287</v>
      </c>
      <c r="D1" s="145"/>
      <c r="E1" s="145"/>
      <c r="F1" s="145"/>
      <c r="G1" s="145"/>
      <c r="H1" s="151" t="s">
        <v>288</v>
      </c>
      <c r="I1" s="153" t="s">
        <v>289</v>
      </c>
      <c r="J1" s="152">
        <v>2017</v>
      </c>
    </row>
    <row r="2" spans="1:11" ht="15" thickBot="1" x14ac:dyDescent="0.35">
      <c r="A2" s="146" t="s">
        <v>299</v>
      </c>
      <c r="B2" s="146" t="s">
        <v>15</v>
      </c>
      <c r="C2" s="147" t="s">
        <v>0</v>
      </c>
      <c r="D2" s="147" t="s">
        <v>19</v>
      </c>
      <c r="E2" s="147" t="s">
        <v>31</v>
      </c>
      <c r="F2" s="148" t="s">
        <v>25</v>
      </c>
      <c r="G2" s="149" t="s">
        <v>1</v>
      </c>
      <c r="H2" s="149" t="s">
        <v>2</v>
      </c>
      <c r="I2" s="149" t="s">
        <v>3</v>
      </c>
      <c r="J2" s="150" t="s">
        <v>4</v>
      </c>
    </row>
    <row r="3" spans="1:11" ht="15.6" thickTop="1" thickBot="1" x14ac:dyDescent="0.35">
      <c r="A3" s="155"/>
      <c r="B3" s="155"/>
      <c r="C3" s="2"/>
      <c r="D3" s="2" t="s">
        <v>18</v>
      </c>
      <c r="E3" s="2" t="s">
        <v>32</v>
      </c>
      <c r="F3" s="10" t="s">
        <v>18</v>
      </c>
      <c r="G3" s="2" t="s">
        <v>18</v>
      </c>
      <c r="H3" s="2" t="s">
        <v>18</v>
      </c>
      <c r="I3" s="2" t="s">
        <v>18</v>
      </c>
      <c r="J3" s="156" t="s">
        <v>18</v>
      </c>
    </row>
    <row r="4" spans="1:11" x14ac:dyDescent="0.3">
      <c r="A4" s="165">
        <v>2</v>
      </c>
      <c r="B4" s="260" t="s">
        <v>186</v>
      </c>
      <c r="C4" s="260" t="s">
        <v>187</v>
      </c>
      <c r="D4" s="124">
        <f>SUMIF(PURCHASE!$B$8:$B$509,$C$4:$C$213,PURCHASE!$E$8:$E$509)</f>
        <v>515718.07999999996</v>
      </c>
      <c r="E4" s="124">
        <f>SUMIF(PURCHASE!$B$8:$B$509,$C$4:$C$213,PURCHASE!$X$8:$X$509)</f>
        <v>36429</v>
      </c>
      <c r="F4" s="124">
        <f>SUMIF(PURCHASE!$B$8:$B$509,$C$4:$C$213,PURCHASE!$K$8:$K$509)</f>
        <v>402904.74</v>
      </c>
      <c r="G4" s="126">
        <f>SUMIF(PURCHASE!$B$8:$B$509,$C$4:$C$213,PURCHASE!$L$8:$L$509)</f>
        <v>0</v>
      </c>
      <c r="H4" s="126">
        <f>SUMIF(PURCHASE!$B$8:$B$509,$C$4:$C$213,PURCHASE!$M$8:$M$509)</f>
        <v>56406.673600000002</v>
      </c>
      <c r="I4" s="126">
        <f>SUMIF(PURCHASE!$B$8:$B$509,$C$4:$C$213,PURCHASE!$N$8:$N$509)</f>
        <v>56406.673600000002</v>
      </c>
      <c r="J4" s="190">
        <f>SUMIF(PURCHASE!$B$8:$B$509,$C$4:$C$213,PURCHASE!$O$8:$O$509)</f>
        <v>0</v>
      </c>
    </row>
    <row r="5" spans="1:11" x14ac:dyDescent="0.3">
      <c r="A5" s="165">
        <v>3</v>
      </c>
      <c r="B5" s="260" t="s">
        <v>201</v>
      </c>
      <c r="C5" s="260" t="s">
        <v>200</v>
      </c>
      <c r="D5" s="124">
        <f>SUMIF(PURCHASE!$B$8:$B$509,$C$4:$C$213,PURCHASE!$E$8:$E$509)</f>
        <v>696819</v>
      </c>
      <c r="E5" s="124">
        <f>SUMIF(PURCHASE!$B$8:$B$509,$C$4:$C$213,PURCHASE!$X$8:$X$509)</f>
        <v>42526</v>
      </c>
      <c r="F5" s="124">
        <f>SUMIF(PURCHASE!$B$8:$B$509,$C$4:$C$213,PURCHASE!$K$8:$K$509)</f>
        <v>544387.96</v>
      </c>
      <c r="G5" s="126">
        <f>SUMIF(PURCHASE!$B$8:$B$509,$C$4:$C$213,PURCHASE!$L$8:$L$509)</f>
        <v>0</v>
      </c>
      <c r="H5" s="126">
        <f>SUMIF(PURCHASE!$B$8:$B$509,$C$4:$C$213,PURCHASE!$M$8:$M$509)</f>
        <v>76214.314400000003</v>
      </c>
      <c r="I5" s="126">
        <f>SUMIF(PURCHASE!$B$8:$B$509,$C$4:$C$213,PURCHASE!$N$8:$N$509)</f>
        <v>76214.314400000003</v>
      </c>
      <c r="J5" s="190">
        <f>SUMIF(PURCHASE!$B$8:$B$509,$C$4:$C$213,PURCHASE!$O$8:$O$509)</f>
        <v>0</v>
      </c>
    </row>
    <row r="6" spans="1:11" x14ac:dyDescent="0.3">
      <c r="A6" s="165">
        <v>4</v>
      </c>
      <c r="B6" s="260" t="s">
        <v>204</v>
      </c>
      <c r="C6" s="260" t="s">
        <v>203</v>
      </c>
      <c r="D6" s="124">
        <f>SUMIF(PURCHASE!$B$8:$B$509,$C$4:$C$213,PURCHASE!$E$8:$E$509)</f>
        <v>79074.36</v>
      </c>
      <c r="E6" s="124">
        <f>SUMIF(PURCHASE!$B$8:$B$509,$C$4:$C$213,PURCHASE!$X$8:$X$509)</f>
        <v>103</v>
      </c>
      <c r="F6" s="124">
        <f>SUMIF(PURCHASE!$B$8:$B$509,$C$4:$C$213,PURCHASE!$K$8:$K$509)</f>
        <v>61777.36</v>
      </c>
      <c r="G6" s="126">
        <f>SUMIF(PURCHASE!$B$8:$B$509,$C$4:$C$213,PURCHASE!$L$8:$L$509)</f>
        <v>17295.9908</v>
      </c>
      <c r="H6" s="126">
        <f>SUMIF(PURCHASE!$B$8:$B$509,$C$4:$C$213,PURCHASE!$M$8:$M$509)</f>
        <v>0</v>
      </c>
      <c r="I6" s="126">
        <f>SUMIF(PURCHASE!$B$8:$B$509,$C$4:$C$213,PURCHASE!$N$8:$N$509)</f>
        <v>0</v>
      </c>
      <c r="J6" s="190">
        <f>SUMIF(PURCHASE!$B$8:$B$509,$C$4:$C$213,PURCHASE!$O$8:$O$509)</f>
        <v>0</v>
      </c>
    </row>
    <row r="7" spans="1:11" x14ac:dyDescent="0.3">
      <c r="A7" s="165">
        <v>5</v>
      </c>
      <c r="B7" s="260" t="s">
        <v>206</v>
      </c>
      <c r="C7" s="260" t="s">
        <v>205</v>
      </c>
      <c r="D7" s="124">
        <f>SUMIF(PURCHASE!$B$8:$B$509,$C$4:$C$213,PURCHASE!$E$8:$E$509)</f>
        <v>72640</v>
      </c>
      <c r="E7" s="124">
        <f>SUMIF(PURCHASE!$B$8:$B$509,$C$4:$C$213,PURCHASE!$X$8:$X$509)</f>
        <v>325</v>
      </c>
      <c r="F7" s="124">
        <f>SUMIF(PURCHASE!$B$8:$B$509,$C$4:$C$213,PURCHASE!$K$8:$K$509)</f>
        <v>56750</v>
      </c>
      <c r="G7" s="126">
        <f>SUMIF(PURCHASE!$B$8:$B$509,$C$4:$C$213,PURCHASE!$L$8:$L$509)</f>
        <v>0</v>
      </c>
      <c r="H7" s="126">
        <f>SUMIF(PURCHASE!$B$8:$B$509,$C$4:$C$213,PURCHASE!$M$8:$M$509)</f>
        <v>7945</v>
      </c>
      <c r="I7" s="126">
        <f>SUMIF(PURCHASE!$B$8:$B$509,$C$4:$C$213,PURCHASE!$N$8:$N$509)</f>
        <v>7945</v>
      </c>
      <c r="J7" s="190">
        <f>SUMIF(PURCHASE!$B$8:$B$509,$C$4:$C$213,PURCHASE!$O$8:$O$509)</f>
        <v>0</v>
      </c>
    </row>
    <row r="8" spans="1:11" x14ac:dyDescent="0.3">
      <c r="A8" s="165">
        <v>6</v>
      </c>
      <c r="B8" s="260" t="s">
        <v>209</v>
      </c>
      <c r="C8" s="260" t="s">
        <v>208</v>
      </c>
      <c r="D8" s="124">
        <f>SUMIF(PURCHASE!$B$8:$B$509,$C$4:$C$213,PURCHASE!$E$8:$E$509)</f>
        <v>2600291.4300000002</v>
      </c>
      <c r="E8" s="124">
        <f>SUMIF(PURCHASE!$B$8:$B$509,$C$4:$C$213,PURCHASE!$X$8:$X$509)</f>
        <v>38416</v>
      </c>
      <c r="F8" s="124">
        <f>SUMIF(PURCHASE!$B$8:$B$509,$C$4:$C$213,PURCHASE!$K$8:$K$509)</f>
        <v>2034629.6600000001</v>
      </c>
      <c r="G8" s="126">
        <f>SUMIF(PURCHASE!$B$8:$B$509,$C$4:$C$213,PURCHASE!$L$8:$L$509)</f>
        <v>0</v>
      </c>
      <c r="H8" s="126">
        <f>SUMIF(PURCHASE!$B$8:$B$509,$C$4:$C$213,PURCHASE!$M$8:$M$509)</f>
        <v>284850.00239999994</v>
      </c>
      <c r="I8" s="126">
        <f>SUMIF(PURCHASE!$B$8:$B$509,$C$4:$C$213,PURCHASE!$N$8:$N$509)</f>
        <v>284850.00239999994</v>
      </c>
      <c r="J8" s="190">
        <f>SUMIF(PURCHASE!$B$8:$B$509,$C$4:$C$213,PURCHASE!$O$8:$O$509)</f>
        <v>0</v>
      </c>
    </row>
    <row r="9" spans="1:11" x14ac:dyDescent="0.3">
      <c r="A9" s="165">
        <v>7</v>
      </c>
      <c r="B9" s="5" t="s">
        <v>210</v>
      </c>
      <c r="C9" s="5" t="s">
        <v>393</v>
      </c>
      <c r="D9" s="124">
        <f>SUMIF(PURCHASE!$B$8:$B$509,$C$4:$C$213,PURCHASE!$E$8:$E$509)</f>
        <v>27435</v>
      </c>
      <c r="E9" s="124">
        <f>SUMIF(PURCHASE!$B$8:$B$509,$C$4:$C$213,PURCHASE!$X$8:$X$509)</f>
        <v>2000</v>
      </c>
      <c r="F9" s="124">
        <f>SUMIF(PURCHASE!$B$8:$B$509,$C$4:$C$213,PURCHASE!$K$8:$K$509)</f>
        <v>23250</v>
      </c>
      <c r="G9" s="126">
        <f>SUMIF(PURCHASE!$B$8:$B$509,$C$4:$C$213,PURCHASE!$L$8:$L$509)</f>
        <v>0</v>
      </c>
      <c r="H9" s="126">
        <f>SUMIF(PURCHASE!$B$8:$B$509,$C$4:$C$213,PURCHASE!$M$8:$M$509)</f>
        <v>2092.5</v>
      </c>
      <c r="I9" s="126">
        <f>SUMIF(PURCHASE!$B$8:$B$509,$C$4:$C$213,PURCHASE!$N$8:$N$509)</f>
        <v>2092.5</v>
      </c>
      <c r="J9" s="190">
        <f>SUMIF(PURCHASE!$B$8:$B$509,$C$4:$C$213,PURCHASE!$O$8:$O$509)</f>
        <v>0</v>
      </c>
    </row>
    <row r="10" spans="1:11" x14ac:dyDescent="0.3">
      <c r="A10" s="165">
        <v>8</v>
      </c>
      <c r="B10" s="260" t="s">
        <v>191</v>
      </c>
      <c r="C10" s="260" t="s">
        <v>190</v>
      </c>
      <c r="D10" s="124">
        <f>SUMIF(PURCHASE!$B$8:$B$509,$C$4:$C$213,PURCHASE!$E$8:$E$509)</f>
        <v>173670</v>
      </c>
      <c r="E10" s="124">
        <f>SUMIF(PURCHASE!$B$8:$B$509,$C$4:$C$213,PURCHASE!$X$8:$X$509)</f>
        <v>113520</v>
      </c>
      <c r="F10" s="124">
        <f>SUMIF(PURCHASE!$B$8:$B$509,$C$4:$C$213,PURCHASE!$K$8:$K$509)</f>
        <v>135680.79999999999</v>
      </c>
      <c r="G10" s="126">
        <f>SUMIF(PURCHASE!$B$8:$B$509,$C$4:$C$213,PURCHASE!$L$8:$L$509)</f>
        <v>0</v>
      </c>
      <c r="H10" s="126">
        <f>SUMIF(PURCHASE!$B$8:$B$509,$C$4:$C$213,PURCHASE!$M$8:$M$509)</f>
        <v>18995.311999999998</v>
      </c>
      <c r="I10" s="126">
        <f>SUMIF(PURCHASE!$B$8:$B$509,$C$4:$C$213,PURCHASE!$N$8:$N$509)</f>
        <v>18995.311999999998</v>
      </c>
      <c r="J10" s="190">
        <f>SUMIF(PURCHASE!$B$8:$B$509,$C$4:$C$213,PURCHASE!$O$8:$O$509)</f>
        <v>0</v>
      </c>
    </row>
    <row r="11" spans="1:11" x14ac:dyDescent="0.3">
      <c r="A11" s="165">
        <v>9</v>
      </c>
      <c r="B11" s="260" t="s">
        <v>193</v>
      </c>
      <c r="C11" s="260" t="s">
        <v>192</v>
      </c>
      <c r="D11" s="124">
        <f>SUMIF(PURCHASE!$B$8:$B$509,$C$4:$C$213,PURCHASE!$E$8:$E$509)</f>
        <v>20130.8</v>
      </c>
      <c r="E11" s="124">
        <f>SUMIF(PURCHASE!$B$8:$B$509,$C$4:$C$213,PURCHASE!$X$8:$X$509)</f>
        <v>1500</v>
      </c>
      <c r="F11" s="124">
        <f>SUMIF(PURCHASE!$B$8:$B$509,$C$4:$C$213,PURCHASE!$K$8:$K$509)</f>
        <v>17060</v>
      </c>
      <c r="G11" s="126">
        <f>SUMIF(PURCHASE!$B$8:$B$509,$C$4:$C$213,PURCHASE!$L$8:$L$509)</f>
        <v>0</v>
      </c>
      <c r="H11" s="126">
        <f>SUMIF(PURCHASE!$B$8:$B$509,$C$4:$C$213,PURCHASE!$M$8:$M$509)</f>
        <v>1535.3999999999999</v>
      </c>
      <c r="I11" s="126">
        <f>SUMIF(PURCHASE!$B$8:$B$509,$C$4:$C$213,PURCHASE!$N$8:$N$509)</f>
        <v>1535.3999999999999</v>
      </c>
      <c r="J11" s="190">
        <f>SUMIF(PURCHASE!$B$8:$B$509,$C$4:$C$213,PURCHASE!$O$8:$O$509)</f>
        <v>0</v>
      </c>
    </row>
    <row r="12" spans="1:11" x14ac:dyDescent="0.3">
      <c r="A12" s="165">
        <v>10</v>
      </c>
      <c r="B12" s="260" t="s">
        <v>196</v>
      </c>
      <c r="C12" s="260" t="s">
        <v>195</v>
      </c>
      <c r="D12" s="124">
        <f>SUMIF(PURCHASE!$B$8:$B$509,$C$4:$C$213,PURCHASE!$E$8:$E$509)</f>
        <v>485523.22</v>
      </c>
      <c r="E12" s="124">
        <f>SUMIF(PURCHASE!$B$8:$B$509,$C$4:$C$213,PURCHASE!$X$8:$X$509)</f>
        <v>753</v>
      </c>
      <c r="F12" s="124">
        <f>SUMIF(PURCHASE!$B$8:$B$509,$C$4:$C$213,PURCHASE!$K$8:$K$509)</f>
        <v>388129</v>
      </c>
      <c r="G12" s="126">
        <f>SUMIF(PURCHASE!$B$8:$B$509,$C$4:$C$213,PURCHASE!$L$8:$L$509)</f>
        <v>0</v>
      </c>
      <c r="H12" s="126">
        <f>SUMIF(PURCHASE!$B$8:$B$509,$C$4:$C$213,PURCHASE!$M$8:$M$509)</f>
        <v>48697.109999999986</v>
      </c>
      <c r="I12" s="126">
        <f>SUMIF(PURCHASE!$B$8:$B$509,$C$4:$C$213,PURCHASE!$N$8:$N$509)</f>
        <v>48697.109999999986</v>
      </c>
      <c r="J12" s="190">
        <f>SUMIF(PURCHASE!$B$8:$B$509,$C$4:$C$213,PURCHASE!$O$8:$O$509)</f>
        <v>0</v>
      </c>
    </row>
    <row r="13" spans="1:11" x14ac:dyDescent="0.3">
      <c r="A13" s="165">
        <v>11</v>
      </c>
      <c r="B13" s="284" t="s">
        <v>213</v>
      </c>
      <c r="C13" s="284" t="s">
        <v>212</v>
      </c>
      <c r="D13" s="285">
        <f>SUMIF(PURCHASE!$B$8:$B$509,$C$4:$C$213,PURCHASE!$E$8:$E$509)</f>
        <v>5056</v>
      </c>
      <c r="E13" s="285">
        <f>SUMIF(PURCHASE!$B$8:$B$509,$C$4:$C$213,PURCHASE!$X$8:$X$509)</f>
        <v>15</v>
      </c>
      <c r="F13" s="285">
        <f>SUMIF(PURCHASE!$B$8:$B$509,$C$4:$C$213,PURCHASE!$K$8:$K$509)</f>
        <v>3950</v>
      </c>
      <c r="G13" s="285">
        <f>SUMIF(PURCHASE!$B$8:$B$509,$C$4:$C$213,PURCHASE!$L$8:$L$509)</f>
        <v>0</v>
      </c>
      <c r="H13" s="285">
        <f>SUMIF(PURCHASE!$B$8:$B$509,$C$4:$C$213,PURCHASE!$M$8:$M$509)</f>
        <v>553</v>
      </c>
      <c r="I13" s="285">
        <f>SUMIF(PURCHASE!$B$8:$B$509,$C$4:$C$213,PURCHASE!$N$8:$N$509)</f>
        <v>553</v>
      </c>
      <c r="J13" s="286">
        <f>SUMIF(PURCHASE!$B$8:$B$509,$C$4:$C$213,PURCHASE!$O$8:$O$509)</f>
        <v>0</v>
      </c>
      <c r="K13" s="254">
        <v>5.0000000000000001E-3</v>
      </c>
    </row>
    <row r="14" spans="1:11" x14ac:dyDescent="0.3">
      <c r="A14" s="165">
        <v>12</v>
      </c>
      <c r="B14" s="260" t="s">
        <v>216</v>
      </c>
      <c r="C14" s="260" t="s">
        <v>215</v>
      </c>
      <c r="D14" s="124">
        <f>SUMIF(PURCHASE!$B$8:$B$509,$C$4:$C$213,PURCHASE!$E$8:$E$509)</f>
        <v>27750</v>
      </c>
      <c r="E14" s="124">
        <f>SUMIF(PURCHASE!$B$8:$B$509,$C$4:$C$213,PURCHASE!$X$8:$X$509)</f>
        <v>90</v>
      </c>
      <c r="F14" s="124">
        <f>SUMIF(PURCHASE!$B$8:$B$509,$C$4:$C$213,PURCHASE!$K$8:$K$509)</f>
        <v>21680</v>
      </c>
      <c r="G14" s="126">
        <f>SUMIF(PURCHASE!$B$8:$B$509,$C$4:$C$213,PURCHASE!$L$8:$L$509)</f>
        <v>0</v>
      </c>
      <c r="H14" s="126">
        <f>SUMIF(PURCHASE!$B$8:$B$509,$C$4:$C$213,PURCHASE!$M$8:$M$509)</f>
        <v>3035.2</v>
      </c>
      <c r="I14" s="126">
        <f>SUMIF(PURCHASE!$B$8:$B$509,$C$4:$C$213,PURCHASE!$N$8:$N$509)</f>
        <v>3035.2</v>
      </c>
      <c r="J14" s="190">
        <f>SUMIF(PURCHASE!$B$8:$B$509,$C$4:$C$213,PURCHASE!$O$8:$O$509)</f>
        <v>0</v>
      </c>
    </row>
    <row r="15" spans="1:11" x14ac:dyDescent="0.3">
      <c r="A15" s="165">
        <v>13</v>
      </c>
      <c r="B15" s="260" t="s">
        <v>180</v>
      </c>
      <c r="C15" s="260" t="s">
        <v>360</v>
      </c>
      <c r="D15" s="124">
        <f>SUMIF(PURCHASE!$B$8:$B$509,$C$4:$C$213,PURCHASE!$E$8:$E$509)</f>
        <v>406328.37</v>
      </c>
      <c r="E15" s="124">
        <f>SUMIF(PURCHASE!$B$8:$B$509,$C$4:$C$213,PURCHASE!$X$8:$X$509)</f>
        <v>2875</v>
      </c>
      <c r="F15" s="124">
        <f>SUMIF(PURCHASE!$B$8:$B$509,$C$4:$C$213,PURCHASE!$K$8:$K$509)</f>
        <v>317446.37000000005</v>
      </c>
      <c r="G15" s="126">
        <f>SUMIF(PURCHASE!$B$8:$B$509,$C$4:$C$213,PURCHASE!$L$8:$L$509)</f>
        <v>0</v>
      </c>
      <c r="H15" s="126">
        <f>SUMIF(PURCHASE!$B$8:$B$509,$C$4:$C$213,PURCHASE!$M$8:$M$509)</f>
        <v>44441.001800000013</v>
      </c>
      <c r="I15" s="126">
        <f>SUMIF(PURCHASE!$B$8:$B$509,$C$4:$C$213,PURCHASE!$N$8:$N$509)</f>
        <v>44441.001800000013</v>
      </c>
      <c r="J15" s="190">
        <f>SUMIF(PURCHASE!$B$8:$B$509,$C$4:$C$213,PURCHASE!$O$8:$O$509)</f>
        <v>0</v>
      </c>
    </row>
    <row r="16" spans="1:11" x14ac:dyDescent="0.3">
      <c r="A16" s="165">
        <v>14</v>
      </c>
      <c r="B16" s="260" t="s">
        <v>240</v>
      </c>
      <c r="C16" s="260" t="s">
        <v>239</v>
      </c>
      <c r="D16" s="124">
        <f>SUMIF(PURCHASE!$B$8:$B$509,$C$4:$C$213,PURCHASE!$E$8:$E$509)</f>
        <v>84304</v>
      </c>
      <c r="E16" s="124">
        <f>SUMIF(PURCHASE!$B$8:$B$509,$C$4:$C$213,PURCHASE!$X$8:$X$509)</f>
        <v>340</v>
      </c>
      <c r="F16" s="124">
        <f>SUMIF(PURCHASE!$B$8:$B$509,$C$4:$C$213,PURCHASE!$K$8:$K$509)</f>
        <v>65862.399999999994</v>
      </c>
      <c r="G16" s="126">
        <f>SUMIF(PURCHASE!$B$8:$B$509,$C$4:$C$213,PURCHASE!$L$8:$L$509)</f>
        <v>0</v>
      </c>
      <c r="H16" s="126">
        <f>SUMIF(PURCHASE!$B$8:$B$509,$C$4:$C$213,PURCHASE!$M$8:$M$509)</f>
        <v>9220.7360000000008</v>
      </c>
      <c r="I16" s="126">
        <f>SUMIF(PURCHASE!$B$8:$B$509,$C$4:$C$213,PURCHASE!$N$8:$N$509)</f>
        <v>9220.7360000000008</v>
      </c>
      <c r="J16" s="190">
        <f>SUMIF(PURCHASE!$B$8:$B$509,$C$4:$C$213,PURCHASE!$O$8:$O$509)</f>
        <v>0</v>
      </c>
    </row>
    <row r="17" spans="1:10" x14ac:dyDescent="0.3">
      <c r="A17" s="165">
        <v>15</v>
      </c>
      <c r="B17" s="260" t="s">
        <v>242</v>
      </c>
      <c r="C17" s="260" t="s">
        <v>241</v>
      </c>
      <c r="D17" s="124">
        <f>SUMIF(PURCHASE!$B$8:$B$509,$C$4:$C$213,PURCHASE!$E$8:$E$509)</f>
        <v>145636.06</v>
      </c>
      <c r="E17" s="124">
        <f>SUMIF(PURCHASE!$B$8:$B$509,$C$4:$C$213,PURCHASE!$X$8:$X$509)</f>
        <v>1980</v>
      </c>
      <c r="F17" s="124">
        <f>SUMIF(PURCHASE!$B$8:$B$509,$C$4:$C$213,PURCHASE!$K$8:$K$509)</f>
        <v>123420</v>
      </c>
      <c r="G17" s="126">
        <f>SUMIF(PURCHASE!$B$8:$B$509,$C$4:$C$213,PURCHASE!$L$8:$L$509)</f>
        <v>0</v>
      </c>
      <c r="H17" s="126">
        <f>SUMIF(PURCHASE!$B$8:$B$509,$C$4:$C$213,PURCHASE!$M$8:$M$509)</f>
        <v>11108</v>
      </c>
      <c r="I17" s="126">
        <f>SUMIF(PURCHASE!$B$8:$B$509,$C$4:$C$213,PURCHASE!$N$8:$N$509)</f>
        <v>11108</v>
      </c>
      <c r="J17" s="190">
        <f>SUMIF(PURCHASE!$B$8:$B$509,$C$4:$C$213,PURCHASE!$O$8:$O$509)</f>
        <v>0</v>
      </c>
    </row>
    <row r="18" spans="1:10" x14ac:dyDescent="0.3">
      <c r="A18" s="165">
        <v>16</v>
      </c>
      <c r="B18" s="260" t="s">
        <v>235</v>
      </c>
      <c r="C18" s="260" t="s">
        <v>234</v>
      </c>
      <c r="D18" s="124">
        <f>SUMIF(PURCHASE!$B$8:$B$509,$C$4:$C$213,PURCHASE!$E$8:$E$509)</f>
        <v>19706</v>
      </c>
      <c r="E18" s="124">
        <f>SUMIF(PURCHASE!$B$8:$B$509,$C$4:$C$213,PURCHASE!$X$8:$X$509)</f>
        <v>1920</v>
      </c>
      <c r="F18" s="124">
        <f>SUMIF(PURCHASE!$B$8:$B$509,$C$4:$C$213,PURCHASE!$K$8:$K$509)</f>
        <v>16700</v>
      </c>
      <c r="G18" s="126">
        <f>SUMIF(PURCHASE!$B$8:$B$509,$C$4:$C$213,PURCHASE!$L$8:$L$509)</f>
        <v>0</v>
      </c>
      <c r="H18" s="126">
        <f>SUMIF(PURCHASE!$B$8:$B$509,$C$4:$C$213,PURCHASE!$M$8:$M$509)</f>
        <v>1503</v>
      </c>
      <c r="I18" s="126">
        <f>SUMIF(PURCHASE!$B$8:$B$509,$C$4:$C$213,PURCHASE!$N$8:$N$509)</f>
        <v>1503</v>
      </c>
      <c r="J18" s="190">
        <f>SUMIF(PURCHASE!$B$8:$B$509,$C$4:$C$213,PURCHASE!$O$8:$O$509)</f>
        <v>0</v>
      </c>
    </row>
    <row r="19" spans="1:10" x14ac:dyDescent="0.3">
      <c r="A19" s="165">
        <v>17</v>
      </c>
      <c r="B19" s="260" t="s">
        <v>217</v>
      </c>
      <c r="C19" s="260" t="s">
        <v>5</v>
      </c>
      <c r="D19" s="124">
        <f>SUMIF(PURCHASE!$B$8:$B$509,$C$4:$C$213,PURCHASE!$E$8:$E$509)</f>
        <v>792480.65000000014</v>
      </c>
      <c r="E19" s="124">
        <f>SUMIF(PURCHASE!$B$8:$B$509,$C$4:$C$213,PURCHASE!$X$8:$X$509)</f>
        <v>18029</v>
      </c>
      <c r="F19" s="124">
        <f>SUMIF(PURCHASE!$B$8:$B$509,$C$4:$C$213,PURCHASE!$K$8:$K$509)</f>
        <v>619125.21</v>
      </c>
      <c r="G19" s="126">
        <f>SUMIF(PURCHASE!$B$8:$B$509,$C$4:$C$213,PURCHASE!$L$8:$L$509)</f>
        <v>0</v>
      </c>
      <c r="H19" s="126">
        <f>SUMIF(PURCHASE!$B$8:$B$509,$C$4:$C$213,PURCHASE!$M$8:$M$509)</f>
        <v>86677.719399999987</v>
      </c>
      <c r="I19" s="126">
        <f>SUMIF(PURCHASE!$B$8:$B$509,$C$4:$C$213,PURCHASE!$N$8:$N$509)</f>
        <v>86677.719399999987</v>
      </c>
      <c r="J19" s="190">
        <f>SUMIF(PURCHASE!$B$8:$B$509,$C$4:$C$213,PURCHASE!$O$8:$O$509)</f>
        <v>0</v>
      </c>
    </row>
    <row r="20" spans="1:10" x14ac:dyDescent="0.3">
      <c r="A20" s="165">
        <v>18</v>
      </c>
      <c r="B20" s="260" t="s">
        <v>219</v>
      </c>
      <c r="C20" s="260" t="s">
        <v>218</v>
      </c>
      <c r="D20" s="124">
        <f>SUMIF(PURCHASE!$B$8:$B$509,$C$4:$C$213,PURCHASE!$E$8:$E$509)</f>
        <v>92498.86</v>
      </c>
      <c r="E20" s="124">
        <f>SUMIF(PURCHASE!$B$8:$B$509,$C$4:$C$213,PURCHASE!$X$8:$X$509)</f>
        <v>3536</v>
      </c>
      <c r="F20" s="124">
        <f>SUMIF(PURCHASE!$B$8:$B$509,$C$4:$C$213,PURCHASE!$K$8:$K$509)</f>
        <v>84914.5</v>
      </c>
      <c r="G20" s="126">
        <f>SUMIF(PURCHASE!$B$8:$B$509,$C$4:$C$213,PURCHASE!$L$8:$L$509)</f>
        <v>0</v>
      </c>
      <c r="H20" s="126">
        <f>SUMIF(PURCHASE!$B$8:$B$509,$C$4:$C$213,PURCHASE!$M$8:$M$509)</f>
        <v>3792.17</v>
      </c>
      <c r="I20" s="126">
        <f>SUMIF(PURCHASE!$B$8:$B$509,$C$4:$C$213,PURCHASE!$N$8:$N$509)</f>
        <v>3792.17</v>
      </c>
      <c r="J20" s="190">
        <f>SUMIF(PURCHASE!$B$8:$B$509,$C$4:$C$213,PURCHASE!$O$8:$O$509)</f>
        <v>0</v>
      </c>
    </row>
    <row r="21" spans="1:10" x14ac:dyDescent="0.3">
      <c r="A21" s="165">
        <v>19</v>
      </c>
      <c r="B21" s="260" t="s">
        <v>265</v>
      </c>
      <c r="C21" s="260" t="s">
        <v>264</v>
      </c>
      <c r="D21" s="124">
        <f>SUMIF(PURCHASE!$B$8:$B$509,$C$4:$C$213,PURCHASE!$E$8:$E$509)</f>
        <v>34646.259999999995</v>
      </c>
      <c r="E21" s="124">
        <f>SUMIF(PURCHASE!$B$8:$B$509,$C$4:$C$213,PURCHASE!$X$8:$X$509)</f>
        <v>3741</v>
      </c>
      <c r="F21" s="124">
        <f>SUMIF(PURCHASE!$B$8:$B$509,$C$4:$C$213,PURCHASE!$K$8:$K$509)</f>
        <v>29360.7</v>
      </c>
      <c r="G21" s="126">
        <f>SUMIF(PURCHASE!$B$8:$B$509,$C$4:$C$213,PURCHASE!$L$8:$L$509)</f>
        <v>0</v>
      </c>
      <c r="H21" s="126">
        <f>SUMIF(PURCHASE!$B$8:$B$509,$C$4:$C$213,PURCHASE!$M$8:$M$509)</f>
        <v>2642.5030000000002</v>
      </c>
      <c r="I21" s="126">
        <f>SUMIF(PURCHASE!$B$8:$B$509,$C$4:$C$213,PURCHASE!$N$8:$N$509)</f>
        <v>2642.5030000000002</v>
      </c>
      <c r="J21" s="190">
        <f>SUMIF(PURCHASE!$B$8:$B$509,$C$4:$C$213,PURCHASE!$O$8:$O$509)</f>
        <v>0</v>
      </c>
    </row>
    <row r="22" spans="1:10" x14ac:dyDescent="0.3">
      <c r="A22" s="165">
        <v>20</v>
      </c>
      <c r="B22" s="260" t="s">
        <v>271</v>
      </c>
      <c r="C22" s="260" t="s">
        <v>270</v>
      </c>
      <c r="D22" s="124">
        <f>SUMIF(PURCHASE!$B$8:$B$509,$C$4:$C$213,PURCHASE!$E$8:$E$509)</f>
        <v>0</v>
      </c>
      <c r="E22" s="124">
        <f>SUMIF(PURCHASE!$B$8:$B$509,$C$4:$C$213,PURCHASE!$X$8:$X$509)</f>
        <v>0</v>
      </c>
      <c r="F22" s="124">
        <f>SUMIF(PURCHASE!$B$8:$B$509,$C$4:$C$213,PURCHASE!$K$8:$K$509)</f>
        <v>0</v>
      </c>
      <c r="G22" s="126">
        <f>SUMIF(PURCHASE!$B$8:$B$509,$C$4:$C$213,PURCHASE!$L$8:$L$509)</f>
        <v>0</v>
      </c>
      <c r="H22" s="126">
        <f>SUMIF(PURCHASE!$B$8:$B$509,$C$4:$C$213,PURCHASE!$M$8:$M$509)</f>
        <v>0</v>
      </c>
      <c r="I22" s="126">
        <f>SUMIF(PURCHASE!$B$8:$B$509,$C$4:$C$213,PURCHASE!$N$8:$N$509)</f>
        <v>0</v>
      </c>
      <c r="J22" s="190">
        <f>SUMIF(PURCHASE!$B$8:$B$509,$C$4:$C$213,PURCHASE!$O$8:$O$509)</f>
        <v>0</v>
      </c>
    </row>
    <row r="23" spans="1:10" x14ac:dyDescent="0.3">
      <c r="A23" s="165">
        <v>21</v>
      </c>
      <c r="B23" s="260" t="s">
        <v>300</v>
      </c>
      <c r="C23" s="260" t="s">
        <v>301</v>
      </c>
      <c r="D23" s="124">
        <f>SUMIF(PURCHASE!$B$8:$B$509,$C$4:$C$213,PURCHASE!$E$8:$E$509)</f>
        <v>54088.35</v>
      </c>
      <c r="E23" s="124">
        <f>SUMIF(PURCHASE!$B$8:$B$509,$C$4:$C$213,PURCHASE!$X$8:$X$509)</f>
        <v>43</v>
      </c>
      <c r="F23" s="124">
        <f>SUMIF(PURCHASE!$B$8:$B$509,$C$4:$C$213,PURCHASE!$K$8:$K$509)</f>
        <v>45837.59</v>
      </c>
      <c r="G23" s="126">
        <f>SUMIF(PURCHASE!$B$8:$B$509,$C$4:$C$213,PURCHASE!$L$8:$L$509)</f>
        <v>0</v>
      </c>
      <c r="H23" s="126">
        <f>SUMIF(PURCHASE!$B$8:$B$509,$C$4:$C$213,PURCHASE!$M$8:$M$509)</f>
        <v>4125.3730999999998</v>
      </c>
      <c r="I23" s="126">
        <f>SUMIF(PURCHASE!$B$8:$B$509,$C$4:$C$213,PURCHASE!$N$8:$N$509)</f>
        <v>4125.3730999999998</v>
      </c>
      <c r="J23" s="190">
        <f>SUMIF(PURCHASE!$B$8:$B$509,$C$4:$C$213,PURCHASE!$O$8:$O$509)</f>
        <v>0</v>
      </c>
    </row>
    <row r="24" spans="1:10" x14ac:dyDescent="0.3">
      <c r="A24" s="165">
        <v>22</v>
      </c>
      <c r="B24" s="260" t="s">
        <v>280</v>
      </c>
      <c r="C24" s="260" t="s">
        <v>279</v>
      </c>
      <c r="D24" s="124">
        <f>SUMIF(PURCHASE!$B$8:$B$509,$C$4:$C$213,PURCHASE!$E$8:$E$509)</f>
        <v>0</v>
      </c>
      <c r="E24" s="124">
        <f>SUMIF(PURCHASE!$B$8:$B$509,$C$4:$C$213,PURCHASE!$X$8:$X$509)</f>
        <v>0</v>
      </c>
      <c r="F24" s="124">
        <f>SUMIF(PURCHASE!$B$8:$B$509,$C$4:$C$213,PURCHASE!$K$8:$K$509)</f>
        <v>0</v>
      </c>
      <c r="G24" s="126">
        <f>SUMIF(PURCHASE!$B$8:$B$509,$C$4:$C$213,PURCHASE!$L$8:$L$509)</f>
        <v>0</v>
      </c>
      <c r="H24" s="126">
        <f>SUMIF(PURCHASE!$B$8:$B$509,$C$4:$C$213,PURCHASE!$M$8:$M$509)</f>
        <v>0</v>
      </c>
      <c r="I24" s="126">
        <f>SUMIF(PURCHASE!$B$8:$B$509,$C$4:$C$213,PURCHASE!$N$8:$N$509)</f>
        <v>0</v>
      </c>
      <c r="J24" s="190">
        <f>SUMIF(PURCHASE!$B$8:$B$509,$C$4:$C$213,PURCHASE!$O$8:$O$509)</f>
        <v>0</v>
      </c>
    </row>
    <row r="25" spans="1:10" x14ac:dyDescent="0.3">
      <c r="A25" s="165">
        <v>23</v>
      </c>
      <c r="B25" s="260" t="s">
        <v>263</v>
      </c>
      <c r="C25" s="260" t="s">
        <v>262</v>
      </c>
      <c r="D25" s="124">
        <f>SUMIF(PURCHASE!$B$8:$B$509,$C$4:$C$213,PURCHASE!$E$8:$E$509)</f>
        <v>389055.74</v>
      </c>
      <c r="E25" s="124">
        <f>SUMIF(PURCHASE!$B$8:$B$509,$C$4:$C$213,PURCHASE!$X$8:$X$509)</f>
        <v>7140</v>
      </c>
      <c r="F25" s="124">
        <f>SUMIF(PURCHASE!$B$8:$B$509,$C$4:$C$213,PURCHASE!$K$8:$K$509)</f>
        <v>303949.8</v>
      </c>
      <c r="G25" s="126">
        <f>SUMIF(PURCHASE!$B$8:$B$509,$C$4:$C$213,PURCHASE!$L$8:$L$509)</f>
        <v>0</v>
      </c>
      <c r="H25" s="126">
        <f>SUMIF(PURCHASE!$B$8:$B$509,$C$4:$C$213,PURCHASE!$M$8:$M$509)</f>
        <v>42552.972000000002</v>
      </c>
      <c r="I25" s="126">
        <f>SUMIF(PURCHASE!$B$8:$B$509,$C$4:$C$213,PURCHASE!$N$8:$N$509)</f>
        <v>42552.972000000002</v>
      </c>
      <c r="J25" s="190">
        <f>SUMIF(PURCHASE!$B$8:$B$509,$C$4:$C$213,PURCHASE!$O$8:$O$509)</f>
        <v>0</v>
      </c>
    </row>
    <row r="26" spans="1:10" x14ac:dyDescent="0.3">
      <c r="A26" s="165">
        <v>24</v>
      </c>
      <c r="B26" s="260" t="s">
        <v>285</v>
      </c>
      <c r="C26" s="260" t="s">
        <v>284</v>
      </c>
      <c r="D26" s="124">
        <f>SUMIF(PURCHASE!$B$8:$B$509,$C$4:$C$213,PURCHASE!$E$8:$E$509)</f>
        <v>53424.66</v>
      </c>
      <c r="E26" s="124">
        <f>SUMIF(PURCHASE!$B$8:$B$509,$C$4:$C$213,PURCHASE!$X$8:$X$509)</f>
        <v>1742</v>
      </c>
      <c r="F26" s="124">
        <f>SUMIF(PURCHASE!$B$8:$B$509,$C$4:$C$213,PURCHASE!$K$8:$K$509)</f>
        <v>41738.32</v>
      </c>
      <c r="G26" s="126">
        <f>SUMIF(PURCHASE!$B$8:$B$509,$C$4:$C$213,PURCHASE!$L$8:$L$509)</f>
        <v>0</v>
      </c>
      <c r="H26" s="126">
        <f>SUMIF(PURCHASE!$B$8:$B$509,$C$4:$C$213,PURCHASE!$M$8:$M$509)</f>
        <v>5843.3647999999994</v>
      </c>
      <c r="I26" s="126">
        <f>SUMIF(PURCHASE!$B$8:$B$509,$C$4:$C$213,PURCHASE!$N$8:$N$509)</f>
        <v>5843.3647999999994</v>
      </c>
      <c r="J26" s="190">
        <f>SUMIF(PURCHASE!$B$8:$B$509,$C$4:$C$213,PURCHASE!$O$8:$O$509)</f>
        <v>0</v>
      </c>
    </row>
    <row r="27" spans="1:10" x14ac:dyDescent="0.3">
      <c r="A27" s="165">
        <v>25</v>
      </c>
      <c r="B27" s="260" t="s">
        <v>275</v>
      </c>
      <c r="C27" s="260" t="s">
        <v>274</v>
      </c>
      <c r="D27" s="124">
        <f>SUMIF(PURCHASE!$B$8:$B$509,$C$4:$C$213,PURCHASE!$E$8:$E$509)</f>
        <v>0</v>
      </c>
      <c r="E27" s="124">
        <f>SUMIF(PURCHASE!$B$8:$B$509,$C$4:$C$213,PURCHASE!$X$8:$X$509)</f>
        <v>0</v>
      </c>
      <c r="F27" s="124">
        <f>SUMIF(PURCHASE!$B$8:$B$509,$C$4:$C$213,PURCHASE!$K$8:$K$509)</f>
        <v>0</v>
      </c>
      <c r="G27" s="126">
        <f>SUMIF(PURCHASE!$B$8:$B$509,$C$4:$C$213,PURCHASE!$L$8:$L$509)</f>
        <v>0</v>
      </c>
      <c r="H27" s="126">
        <f>SUMIF(PURCHASE!$B$8:$B$509,$C$4:$C$213,PURCHASE!$M$8:$M$509)</f>
        <v>0</v>
      </c>
      <c r="I27" s="126">
        <f>SUMIF(PURCHASE!$B$8:$B$509,$C$4:$C$213,PURCHASE!$N$8:$N$509)</f>
        <v>0</v>
      </c>
      <c r="J27" s="190">
        <f>SUMIF(PURCHASE!$B$8:$B$509,$C$4:$C$213,PURCHASE!$O$8:$O$509)</f>
        <v>0</v>
      </c>
    </row>
    <row r="28" spans="1:10" x14ac:dyDescent="0.3">
      <c r="A28" s="165">
        <v>26</v>
      </c>
      <c r="B28" s="260" t="s">
        <v>259</v>
      </c>
      <c r="C28" s="260" t="s">
        <v>258</v>
      </c>
      <c r="D28" s="124">
        <f>SUMIF(PURCHASE!$B$8:$B$509,$C$4:$C$213,PURCHASE!$E$8:$E$509)</f>
        <v>24422</v>
      </c>
      <c r="E28" s="124">
        <f>SUMIF(PURCHASE!$B$8:$B$509,$C$4:$C$213,PURCHASE!$X$8:$X$509)</f>
        <v>4</v>
      </c>
      <c r="F28" s="124">
        <f>SUMIF(PURCHASE!$B$8:$B$509,$C$4:$C$213,PURCHASE!$K$8:$K$509)</f>
        <v>20650</v>
      </c>
      <c r="G28" s="126">
        <f>SUMIF(PURCHASE!$B$8:$B$509,$C$4:$C$213,PURCHASE!$L$8:$L$509)</f>
        <v>0</v>
      </c>
      <c r="H28" s="126">
        <f>SUMIF(PURCHASE!$B$8:$B$509,$C$4:$C$213,PURCHASE!$M$8:$M$509)</f>
        <v>1886</v>
      </c>
      <c r="I28" s="126">
        <f>SUMIF(PURCHASE!$B$8:$B$509,$C$4:$C$213,PURCHASE!$N$8:$N$509)</f>
        <v>1886</v>
      </c>
      <c r="J28" s="190">
        <f>SUMIF(PURCHASE!$B$8:$B$509,$C$4:$C$213,PURCHASE!$O$8:$O$509)</f>
        <v>0</v>
      </c>
    </row>
    <row r="29" spans="1:10" x14ac:dyDescent="0.3">
      <c r="A29" s="165">
        <v>27</v>
      </c>
      <c r="B29" s="260" t="s">
        <v>267</v>
      </c>
      <c r="C29" s="260" t="s">
        <v>266</v>
      </c>
      <c r="D29" s="124">
        <f>SUMIF(PURCHASE!$B$8:$B$509,$C$4:$C$213,PURCHASE!$E$8:$E$509)</f>
        <v>581169</v>
      </c>
      <c r="E29" s="124">
        <f>SUMIF(PURCHASE!$B$8:$B$509,$C$4:$C$213,PURCHASE!$X$8:$X$509)</f>
        <v>1890</v>
      </c>
      <c r="F29" s="124">
        <f>SUMIF(PURCHASE!$B$8:$B$509,$C$4:$C$213,PURCHASE!$K$8:$K$509)</f>
        <v>454038.3</v>
      </c>
      <c r="G29" s="126">
        <f>SUMIF(PURCHASE!$B$8:$B$509,$C$4:$C$213,PURCHASE!$L$8:$L$509)</f>
        <v>0</v>
      </c>
      <c r="H29" s="126">
        <f>SUMIF(PURCHASE!$B$8:$B$509,$C$4:$C$213,PURCHASE!$M$8:$M$509)</f>
        <v>63565.362000000001</v>
      </c>
      <c r="I29" s="126">
        <f>SUMIF(PURCHASE!$B$8:$B$509,$C$4:$C$213,PURCHASE!$N$8:$N$509)</f>
        <v>63565.362000000001</v>
      </c>
      <c r="J29" s="190">
        <f>SUMIF(PURCHASE!$B$8:$B$509,$C$4:$C$213,PURCHASE!$O$8:$O$509)</f>
        <v>0</v>
      </c>
    </row>
    <row r="30" spans="1:10" x14ac:dyDescent="0.3">
      <c r="A30" s="165">
        <v>28</v>
      </c>
      <c r="B30" s="260" t="s">
        <v>189</v>
      </c>
      <c r="C30" s="260" t="s">
        <v>188</v>
      </c>
      <c r="D30" s="124">
        <f>SUMIF(PURCHASE!$B$8:$B$509,$C$4:$C$213,PURCHASE!$E$8:$E$509)</f>
        <v>0</v>
      </c>
      <c r="E30" s="124">
        <f>SUMIF(PURCHASE!$B$8:$B$509,$C$4:$C$213,PURCHASE!$X$8:$X$509)</f>
        <v>0</v>
      </c>
      <c r="F30" s="124">
        <f>SUMIF(PURCHASE!$B$8:$B$509,$C$4:$C$213,PURCHASE!$K$8:$K$509)</f>
        <v>0</v>
      </c>
      <c r="G30" s="126">
        <f>SUMIF(PURCHASE!$B$8:$B$509,$C$4:$C$213,PURCHASE!$L$8:$L$509)</f>
        <v>0</v>
      </c>
      <c r="H30" s="126">
        <f>SUMIF(PURCHASE!$B$8:$B$509,$C$4:$C$213,PURCHASE!$M$8:$M$509)</f>
        <v>0</v>
      </c>
      <c r="I30" s="126">
        <f>SUMIF(PURCHASE!$B$8:$B$509,$C$4:$C$213,PURCHASE!$N$8:$N$509)</f>
        <v>0</v>
      </c>
      <c r="J30" s="190">
        <f>SUMIF(PURCHASE!$B$8:$B$509,$C$4:$C$213,PURCHASE!$O$8:$O$509)</f>
        <v>0</v>
      </c>
    </row>
    <row r="31" spans="1:10" x14ac:dyDescent="0.3">
      <c r="A31" s="165">
        <v>29</v>
      </c>
      <c r="B31" s="260" t="s">
        <v>257</v>
      </c>
      <c r="C31" s="264" t="s">
        <v>256</v>
      </c>
      <c r="D31" s="124">
        <f>SUMIF(PURCHASE!$B$8:$B$509,$C$4:$C$213,PURCHASE!$E$8:$E$509)</f>
        <v>0</v>
      </c>
      <c r="E31" s="124">
        <f>SUMIF(PURCHASE!$B$8:$B$509,$C$4:$C$213,PURCHASE!$X$8:$X$509)</f>
        <v>0</v>
      </c>
      <c r="F31" s="124">
        <f>SUMIF(PURCHASE!$B$8:$B$509,$C$4:$C$213,PURCHASE!$K$8:$K$509)</f>
        <v>0</v>
      </c>
      <c r="G31" s="126">
        <f>SUMIF(PURCHASE!$B$8:$B$509,$C$4:$C$213,PURCHASE!$L$8:$L$509)</f>
        <v>0</v>
      </c>
      <c r="H31" s="126">
        <f>SUMIF(PURCHASE!$B$8:$B$509,$C$4:$C$213,PURCHASE!$M$8:$M$509)</f>
        <v>0</v>
      </c>
      <c r="I31" s="126">
        <f>SUMIF(PURCHASE!$B$8:$B$509,$C$4:$C$213,PURCHASE!$N$8:$N$509)</f>
        <v>0</v>
      </c>
      <c r="J31" s="190">
        <f>SUMIF(PURCHASE!$B$8:$B$509,$C$4:$C$213,PURCHASE!$O$8:$O$509)</f>
        <v>0</v>
      </c>
    </row>
    <row r="32" spans="1:10" x14ac:dyDescent="0.3">
      <c r="A32" s="165">
        <v>30</v>
      </c>
      <c r="B32" s="260" t="s">
        <v>282</v>
      </c>
      <c r="C32" s="260" t="s">
        <v>281</v>
      </c>
      <c r="D32" s="124">
        <f>SUMIF(PURCHASE!$B$8:$B$509,$C$4:$C$213,PURCHASE!$E$8:$E$509)</f>
        <v>482489.59999999998</v>
      </c>
      <c r="E32" s="124">
        <f>SUMIF(PURCHASE!$B$8:$B$509,$C$4:$C$213,PURCHASE!$X$8:$X$509)</f>
        <v>0</v>
      </c>
      <c r="F32" s="124">
        <f>SUMIF(PURCHASE!$B$8:$B$509,$C$4:$C$213,PURCHASE!$K$8:$K$509)</f>
        <v>376945</v>
      </c>
      <c r="G32" s="126">
        <f>SUMIF(PURCHASE!$B$8:$B$509,$C$4:$C$213,PURCHASE!$L$8:$L$509)</f>
        <v>0</v>
      </c>
      <c r="H32" s="126">
        <f>SUMIF(PURCHASE!$B$8:$B$509,$C$4:$C$213,PURCHASE!$M$8:$M$509)</f>
        <v>52772.299999999996</v>
      </c>
      <c r="I32" s="126">
        <f>SUMIF(PURCHASE!$B$8:$B$509,$C$4:$C$213,PURCHASE!$N$8:$N$509)</f>
        <v>52772.299999999996</v>
      </c>
      <c r="J32" s="190">
        <f>SUMIF(PURCHASE!$B$8:$B$509,$C$4:$C$213,PURCHASE!$O$8:$O$509)</f>
        <v>0</v>
      </c>
    </row>
    <row r="33" spans="1:12" x14ac:dyDescent="0.3">
      <c r="A33" s="165">
        <v>31</v>
      </c>
      <c r="B33" s="260" t="s">
        <v>273</v>
      </c>
      <c r="C33" s="260" t="s">
        <v>272</v>
      </c>
      <c r="D33" s="124">
        <f>SUMIF(PURCHASE!$B$8:$B$509,$C$4:$C$213,PURCHASE!$E$8:$E$509)</f>
        <v>3835</v>
      </c>
      <c r="E33" s="124">
        <f>SUMIF(PURCHASE!$B$8:$B$509,$C$4:$C$213,PURCHASE!$X$8:$X$509)</f>
        <v>5000</v>
      </c>
      <c r="F33" s="124">
        <f>SUMIF(PURCHASE!$B$8:$B$509,$C$4:$C$213,PURCHASE!$K$8:$K$509)</f>
        <v>3250</v>
      </c>
      <c r="G33" s="126">
        <f>SUMIF(PURCHASE!$B$8:$B$509,$C$4:$C$213,PURCHASE!$L$8:$L$509)</f>
        <v>0</v>
      </c>
      <c r="H33" s="126">
        <f>SUMIF(PURCHASE!$B$8:$B$509,$C$4:$C$213,PURCHASE!$M$8:$M$509)</f>
        <v>292.5</v>
      </c>
      <c r="I33" s="126">
        <f>SUMIF(PURCHASE!$B$8:$B$509,$C$4:$C$213,PURCHASE!$N$8:$N$509)</f>
        <v>292.5</v>
      </c>
      <c r="J33" s="190">
        <f>SUMIF(PURCHASE!$B$8:$B$509,$C$4:$C$213,PURCHASE!$O$8:$O$509)</f>
        <v>0</v>
      </c>
    </row>
    <row r="34" spans="1:12" x14ac:dyDescent="0.3">
      <c r="A34" s="165">
        <v>32</v>
      </c>
      <c r="B34" s="260" t="s">
        <v>303</v>
      </c>
      <c r="C34" s="260" t="s">
        <v>304</v>
      </c>
      <c r="D34" s="124">
        <f>SUMIF(PURCHASE!$B$8:$B$509,$C$4:$C$213,PURCHASE!$E$8:$E$509)</f>
        <v>5266.7099999999991</v>
      </c>
      <c r="E34" s="124">
        <f>SUMIF(PURCHASE!$B$8:$B$509,$C$4:$C$213,PURCHASE!$X$8:$X$509)</f>
        <v>88</v>
      </c>
      <c r="F34" s="124">
        <f>SUMIF(PURCHASE!$B$8:$B$509,$C$4:$C$213,PURCHASE!$K$8:$K$509)</f>
        <v>4194.17</v>
      </c>
      <c r="G34" s="126">
        <f>SUMIF(PURCHASE!$B$8:$B$509,$C$4:$C$213,PURCHASE!$L$8:$L$509)</f>
        <v>0</v>
      </c>
      <c r="H34" s="126">
        <f>SUMIF(PURCHASE!$B$8:$B$509,$C$4:$C$213,PURCHASE!$M$8:$M$509)</f>
        <v>527.41609999999991</v>
      </c>
      <c r="I34" s="126">
        <f>SUMIF(PURCHASE!$B$8:$B$509,$C$4:$C$213,PURCHASE!$N$8:$N$509)</f>
        <v>527.41609999999991</v>
      </c>
      <c r="J34" s="190">
        <f>SUMIF(PURCHASE!$B$8:$B$509,$C$4:$C$213,PURCHASE!$O$8:$O$509)</f>
        <v>0</v>
      </c>
    </row>
    <row r="35" spans="1:12" x14ac:dyDescent="0.3">
      <c r="A35" s="165">
        <v>33</v>
      </c>
      <c r="B35" s="260" t="s">
        <v>305</v>
      </c>
      <c r="C35" s="260" t="s">
        <v>306</v>
      </c>
      <c r="D35" s="124">
        <f>SUMIF(PURCHASE!$B$8:$B$509,$C$4:$C$213,PURCHASE!$E$8:$E$509)</f>
        <v>1217162</v>
      </c>
      <c r="E35" s="124">
        <f>SUMIF(PURCHASE!$B$8:$B$509,$C$4:$C$213,PURCHASE!$X$8:$X$509)</f>
        <v>0</v>
      </c>
      <c r="F35" s="124">
        <f>SUMIF(PURCHASE!$B$8:$B$509,$C$4:$C$213,PURCHASE!$K$8:$K$509)</f>
        <v>1031494</v>
      </c>
      <c r="G35" s="126">
        <f>SUMIF(PURCHASE!$B$8:$B$509,$C$4:$C$213,PURCHASE!$L$8:$L$509)</f>
        <v>0</v>
      </c>
      <c r="H35" s="126">
        <f>SUMIF(PURCHASE!$B$8:$B$509,$C$4:$C$213,PURCHASE!$M$8:$M$509)</f>
        <v>92834</v>
      </c>
      <c r="I35" s="126">
        <f>SUMIF(PURCHASE!$B$8:$B$509,$C$4:$C$213,PURCHASE!$N$8:$N$509)</f>
        <v>92834</v>
      </c>
      <c r="J35" s="190">
        <f>SUMIF(PURCHASE!$B$8:$B$509,$C$4:$C$213,PURCHASE!$O$8:$O$509)</f>
        <v>0</v>
      </c>
    </row>
    <row r="36" spans="1:12" x14ac:dyDescent="0.3">
      <c r="A36" s="165">
        <v>34</v>
      </c>
      <c r="B36" s="288" t="s">
        <v>307</v>
      </c>
      <c r="C36" s="288" t="s">
        <v>308</v>
      </c>
      <c r="D36" s="289">
        <f>SUMIF(PURCHASE!$B$8:$B$509,$C$4:$C$213,PURCHASE!$E$8:$E$509)</f>
        <v>4130</v>
      </c>
      <c r="E36" s="289">
        <f>SUMIF(PURCHASE!$B$8:$B$509,$C$4:$C$213,PURCHASE!$X$8:$X$509)</f>
        <v>0</v>
      </c>
      <c r="F36" s="289">
        <f>SUMIF(PURCHASE!$B$8:$B$509,$C$4:$C$213,PURCHASE!$K$8:$K$509)</f>
        <v>3500</v>
      </c>
      <c r="G36" s="289">
        <f>SUMIF(PURCHASE!$B$8:$B$509,$C$4:$C$213,PURCHASE!$L$8:$L$509)</f>
        <v>0</v>
      </c>
      <c r="H36" s="289">
        <f>SUMIF(PURCHASE!$B$8:$B$509,$C$4:$C$213,PURCHASE!$M$8:$M$509)</f>
        <v>315</v>
      </c>
      <c r="I36" s="289">
        <f>SUMIF(PURCHASE!$B$8:$B$509,$C$4:$C$213,PURCHASE!$N$8:$N$509)</f>
        <v>315</v>
      </c>
      <c r="J36" s="290">
        <f>SUMIF(PURCHASE!$B$8:$B$509,$C$4:$C$213,PURCHASE!$O$8:$O$509)</f>
        <v>0</v>
      </c>
      <c r="K36">
        <f>+I36*0.05</f>
        <v>15.75</v>
      </c>
      <c r="L36">
        <f>+J36*0.05</f>
        <v>0</v>
      </c>
    </row>
    <row r="37" spans="1:12" x14ac:dyDescent="0.3">
      <c r="A37" s="165">
        <v>35</v>
      </c>
      <c r="B37" s="260" t="s">
        <v>309</v>
      </c>
      <c r="C37" s="260" t="s">
        <v>310</v>
      </c>
      <c r="D37" s="124">
        <f>SUMIF(PURCHASE!$B$8:$B$509,$C$4:$C$213,PURCHASE!$E$8:$E$509)</f>
        <v>0</v>
      </c>
      <c r="E37" s="124">
        <f>SUMIF(PURCHASE!$B$8:$B$509,$C$4:$C$213,PURCHASE!$X$8:$X$509)</f>
        <v>0</v>
      </c>
      <c r="F37" s="124">
        <f>SUMIF(PURCHASE!$B$8:$B$509,$C$4:$C$213,PURCHASE!$K$8:$K$509)</f>
        <v>0</v>
      </c>
      <c r="G37" s="126">
        <f>SUMIF(PURCHASE!$B$8:$B$509,$C$4:$C$213,PURCHASE!$L$8:$L$509)</f>
        <v>0</v>
      </c>
      <c r="H37" s="126">
        <f>SUMIF(PURCHASE!$B$8:$B$509,$C$4:$C$213,PURCHASE!$M$8:$M$509)</f>
        <v>0</v>
      </c>
      <c r="I37" s="126">
        <f>SUMIF(PURCHASE!$B$8:$B$509,$C$4:$C$213,PURCHASE!$N$8:$N$509)</f>
        <v>0</v>
      </c>
      <c r="J37" s="190">
        <f>SUMIF(PURCHASE!$B$8:$B$509,$C$4:$C$213,PURCHASE!$O$8:$O$509)</f>
        <v>0</v>
      </c>
      <c r="K37">
        <f>+H36/F36</f>
        <v>0.09</v>
      </c>
    </row>
    <row r="38" spans="1:12" x14ac:dyDescent="0.3">
      <c r="A38" s="165">
        <v>36</v>
      </c>
      <c r="B38" s="266" t="s">
        <v>340</v>
      </c>
      <c r="C38" s="266" t="s">
        <v>341</v>
      </c>
      <c r="D38" s="267">
        <f>SUMIF(PURCHASE!$B$8:$B$509,$C$4:$C$213,PURCHASE!$E$8:$E$509)</f>
        <v>0</v>
      </c>
      <c r="E38" s="267">
        <f>SUMIF(PURCHASE!$B$8:$B$509,$C$4:$C$213,PURCHASE!$X$8:$X$509)</f>
        <v>0</v>
      </c>
      <c r="F38" s="267">
        <f>SUMIF(PURCHASE!$B$8:$B$509,$C$4:$C$213,PURCHASE!$K$8:$K$509)</f>
        <v>0</v>
      </c>
      <c r="G38" s="126">
        <f>SUMIF(PURCHASE!$B$8:$B$509,$C$4:$C$213,PURCHASE!$L$8:$L$509)</f>
        <v>0</v>
      </c>
      <c r="H38" s="126">
        <f>SUMIF(PURCHASE!$B$8:$B$509,$C$4:$C$213,PURCHASE!$M$8:$M$509)</f>
        <v>0</v>
      </c>
      <c r="I38" s="126">
        <f>SUMIF(PURCHASE!$B$8:$B$509,$C$4:$C$213,PURCHASE!$N$8:$N$509)</f>
        <v>0</v>
      </c>
      <c r="J38" s="190">
        <f>SUMIF(PURCHASE!$B$8:$B$509,$C$4:$C$213,PURCHASE!$O$8:$O$509)</f>
        <v>0</v>
      </c>
    </row>
    <row r="39" spans="1:12" x14ac:dyDescent="0.3">
      <c r="A39" s="165"/>
      <c r="B39" s="260" t="s">
        <v>346</v>
      </c>
      <c r="C39" s="260" t="s">
        <v>345</v>
      </c>
      <c r="D39" s="124">
        <f>SUMIF(PURCHASE!$B$8:$B$509,$C$4:$C$213,PURCHASE!$E$8:$E$509)</f>
        <v>0</v>
      </c>
      <c r="E39" s="124">
        <f>SUMIF(PURCHASE!$B$8:$B$509,$C$4:$C$213,PURCHASE!$X$8:$X$509)</f>
        <v>0</v>
      </c>
      <c r="F39" s="124">
        <f>SUMIF(PURCHASE!$B$8:$B$509,$C$4:$C$213,PURCHASE!$K$8:$K$509)</f>
        <v>0</v>
      </c>
      <c r="G39" s="126">
        <f>SUMIF(PURCHASE!$B$8:$B$509,$C$4:$C$213,PURCHASE!$L$8:$L$509)</f>
        <v>0</v>
      </c>
      <c r="H39" s="126">
        <f>SUMIF(PURCHASE!$B$8:$B$509,$C$4:$C$213,PURCHASE!$M$8:$M$509)</f>
        <v>0</v>
      </c>
      <c r="I39" s="126">
        <f>SUMIF(PURCHASE!$B$8:$B$509,$C$4:$C$213,PURCHASE!$N$8:$N$509)</f>
        <v>0</v>
      </c>
      <c r="J39" s="190">
        <f>SUMIF(PURCHASE!$B$8:$B$509,$C$4:$C$213,PURCHASE!$O$8:$O$509)</f>
        <v>0</v>
      </c>
    </row>
    <row r="40" spans="1:12" x14ac:dyDescent="0.3">
      <c r="B40" s="265" t="s">
        <v>184</v>
      </c>
      <c r="C40" s="260" t="s">
        <v>183</v>
      </c>
      <c r="D40" s="124">
        <f>SUMIF(PURCHASE!$B$8:$B$509,$C$4:$C$213,PURCHASE!$E$8:$E$509)</f>
        <v>12742.53</v>
      </c>
      <c r="E40" s="124">
        <f>SUMIF(PURCHASE!$B$8:$B$509,$C$4:$C$213,PURCHASE!$X$8:$X$509)</f>
        <v>24</v>
      </c>
      <c r="F40" s="124">
        <f>SUMIF(PURCHASE!$B$8:$B$509,$C$4:$C$213,PURCHASE!$K$8:$K$509)</f>
        <v>9955.08</v>
      </c>
      <c r="G40" s="126">
        <f>SUMIF(PURCHASE!$B$8:$B$509,$C$4:$C$213,PURCHASE!$L$8:$L$509)</f>
        <v>2787.4223999999995</v>
      </c>
      <c r="H40" s="126">
        <f>SUMIF(PURCHASE!$B$8:$B$509,$C$4:$C$213,PURCHASE!$M$8:$M$509)</f>
        <v>0</v>
      </c>
      <c r="I40" s="126">
        <f>SUMIF(PURCHASE!$B$8:$B$509,$C$4:$C$213,PURCHASE!$N$8:$N$509)</f>
        <v>0</v>
      </c>
      <c r="J40" s="190">
        <f>SUMIF(PURCHASE!$B$8:$B$509,$C$4:$C$213,PURCHASE!$O$8:$O$509)</f>
        <v>0</v>
      </c>
    </row>
    <row r="41" spans="1:12" x14ac:dyDescent="0.3">
      <c r="B41" s="5" t="s">
        <v>402</v>
      </c>
      <c r="C41" s="5" t="s">
        <v>403</v>
      </c>
      <c r="D41" s="124">
        <f>SUMIF(PURCHASE!$B$8:$B$509,$C$4:$C$213,PURCHASE!$E$8:$E$509)</f>
        <v>2714</v>
      </c>
      <c r="E41" s="124">
        <f>SUMIF(PURCHASE!$B$8:$B$509,$C$4:$C$213,PURCHASE!$X$8:$X$509)</f>
        <v>2</v>
      </c>
      <c r="F41" s="124">
        <f>SUMIF(PURCHASE!$B$8:$B$509,$C$4:$C$213,PURCHASE!$K$8:$K$509)</f>
        <v>2300</v>
      </c>
      <c r="G41" s="126">
        <f>SUMIF(PURCHASE!$B$8:$B$509,$C$4:$C$213,PURCHASE!$L$8:$L$509)</f>
        <v>0</v>
      </c>
      <c r="H41" s="126">
        <f>SUMIF(PURCHASE!$B$8:$B$509,$C$4:$C$213,PURCHASE!$M$8:$M$509)</f>
        <v>207</v>
      </c>
      <c r="I41" s="126">
        <f>SUMIF(PURCHASE!$B$8:$B$509,$C$4:$C$213,PURCHASE!$N$8:$N$509)</f>
        <v>207</v>
      </c>
      <c r="J41" s="190">
        <f>SUMIF(PURCHASE!$B$8:$B$509,$C$4:$C$213,PURCHASE!$O$8:$O$509)</f>
        <v>0</v>
      </c>
    </row>
    <row r="42" spans="1:12" x14ac:dyDescent="0.3">
      <c r="A42" s="287"/>
      <c r="B42" s="121" t="s">
        <v>311</v>
      </c>
      <c r="C42" s="121">
        <v>1</v>
      </c>
      <c r="D42" s="285">
        <f>SUMIF(PURCHASE!$B$8:$B$509,$C$4:$C$213,PURCHASE!$E$8:$E$509)</f>
        <v>32315</v>
      </c>
      <c r="E42" s="285">
        <f>SUMIF(PURCHASE!$B$8:$B$509,$C$4:$C$213,PURCHASE!$X$8:$X$509)</f>
        <v>812</v>
      </c>
      <c r="F42" s="285">
        <f>SUMIF(PURCHASE!$B$8:$B$509,$C$4:$C$213,PURCHASE!$K$8:$K$509)</f>
        <v>28613</v>
      </c>
      <c r="G42" s="285">
        <f>SUMIF(PURCHASE!$B$8:$B$509,$C$4:$C$213,PURCHASE!$L$8:$L$509)</f>
        <v>0</v>
      </c>
      <c r="H42" s="285">
        <f>SUMIF(PURCHASE!$B$8:$B$509,$C$4:$C$213,PURCHASE!$M$8:$M$509)</f>
        <v>0</v>
      </c>
      <c r="I42" s="285">
        <f>SUMIF(PURCHASE!$B$8:$B$509,$C$4:$C$213,PURCHASE!$N$8:$N$509)</f>
        <v>0</v>
      </c>
      <c r="J42" s="286">
        <f>SUMIF(PURCHASE!$B$8:$B$509,$C$4:$C$213,PURCHASE!$O$8:$O$509)</f>
        <v>0</v>
      </c>
    </row>
    <row r="43" spans="1:12" x14ac:dyDescent="0.3">
      <c r="B43" s="5" t="s">
        <v>381</v>
      </c>
      <c r="C43" s="5" t="s">
        <v>382</v>
      </c>
      <c r="D43" s="124">
        <f>SUMIF(PURCHASE!$B$8:$B$509,$C$4:$C$213,PURCHASE!$E$8:$E$509)</f>
        <v>216755</v>
      </c>
      <c r="E43" s="124">
        <f>SUMIF(PURCHASE!$B$8:$B$509,$C$4:$C$213,PURCHASE!$X$8:$X$509)</f>
        <v>508</v>
      </c>
      <c r="F43" s="124">
        <f>SUMIF(PURCHASE!$B$8:$B$509,$C$4:$C$213,PURCHASE!$K$8:$K$509)</f>
        <v>169340</v>
      </c>
      <c r="G43" s="126">
        <f>SUMIF(PURCHASE!$B$8:$B$509,$C$4:$C$213,PURCHASE!$L$8:$L$509)</f>
        <v>0</v>
      </c>
      <c r="H43" s="126">
        <f>SUMIF(PURCHASE!$B$8:$B$509,$C$4:$C$213,PURCHASE!$M$8:$M$509)</f>
        <v>23707.599999999999</v>
      </c>
      <c r="I43" s="126">
        <f>SUMIF(PURCHASE!$B$8:$B$509,$C$4:$C$213,PURCHASE!$N$8:$N$509)</f>
        <v>23707.599999999999</v>
      </c>
      <c r="J43" s="190">
        <f>SUMIF(PURCHASE!$B$8:$B$509,$C$4:$C$213,PURCHASE!$O$8:$O$509)</f>
        <v>0</v>
      </c>
    </row>
    <row r="44" spans="1:12" x14ac:dyDescent="0.3">
      <c r="B44" s="5" t="s">
        <v>373</v>
      </c>
      <c r="C44" s="5" t="s">
        <v>374</v>
      </c>
      <c r="D44" s="124">
        <f>SUMIF(PURCHASE!$B$8:$B$509,$C$4:$C$213,PURCHASE!$E$8:$E$509)</f>
        <v>11163</v>
      </c>
      <c r="E44" s="124">
        <f>SUMIF(PURCHASE!$B$8:$B$509,$C$4:$C$213,PURCHASE!$X$8:$X$509)</f>
        <v>380</v>
      </c>
      <c r="F44" s="124">
        <f>SUMIF(PURCHASE!$B$8:$B$509,$C$4:$C$213,PURCHASE!$K$8:$K$509)</f>
        <v>8721</v>
      </c>
      <c r="G44" s="126">
        <f>SUMIF(PURCHASE!$B$8:$B$509,$C$4:$C$213,PURCHASE!$L$8:$L$509)</f>
        <v>0</v>
      </c>
      <c r="H44" s="126">
        <f>SUMIF(PURCHASE!$B$8:$B$509,$C$4:$C$213,PURCHASE!$M$8:$M$509)</f>
        <v>1220.9999999999998</v>
      </c>
      <c r="I44" s="126">
        <f>SUMIF(PURCHASE!$B$8:$B$509,$C$4:$C$213,PURCHASE!$N$8:$N$509)</f>
        <v>1220.9999999999998</v>
      </c>
      <c r="J44" s="190">
        <f>SUMIF(PURCHASE!$B$8:$B$509,$C$4:$C$213,PURCHASE!$O$8:$O$509)</f>
        <v>0</v>
      </c>
    </row>
    <row r="45" spans="1:12" x14ac:dyDescent="0.3">
      <c r="A45" s="165"/>
      <c r="B45" s="5" t="s">
        <v>412</v>
      </c>
      <c r="C45" s="5" t="s">
        <v>178</v>
      </c>
      <c r="D45" s="124">
        <f>SUMIF(PURCHASE!$B$8:$B$509,$C$4:$C$213,PURCHASE!$E$8:$E$509)</f>
        <v>2687.1</v>
      </c>
      <c r="E45" s="124">
        <f>SUMIF(PURCHASE!$B$8:$B$509,$C$4:$C$213,PURCHASE!$X$8:$X$509)</f>
        <v>35</v>
      </c>
      <c r="F45" s="124">
        <f>SUMIF(PURCHASE!$B$8:$B$509,$C$4:$C$213,PURCHASE!$K$8:$K$509)</f>
        <v>2099.3000000000002</v>
      </c>
      <c r="G45" s="126">
        <f>SUMIF(PURCHASE!$B$8:$B$509,$C$4:$C$213,PURCHASE!$L$8:$L$509)</f>
        <v>0</v>
      </c>
      <c r="H45" s="126">
        <f>SUMIF(PURCHASE!$B$8:$B$509,$C$4:$C$213,PURCHASE!$M$8:$M$509)</f>
        <v>293.90200000000004</v>
      </c>
      <c r="I45" s="126">
        <f>SUMIF(PURCHASE!$B$8:$B$509,$C$4:$C$213,PURCHASE!$N$8:$N$509)</f>
        <v>293.90200000000004</v>
      </c>
      <c r="J45" s="190">
        <f>SUMIF(PURCHASE!$B$8:$B$509,$C$4:$C$213,PURCHASE!$O$8:$O$509)</f>
        <v>0</v>
      </c>
    </row>
    <row r="46" spans="1:12" x14ac:dyDescent="0.3">
      <c r="A46" s="165"/>
      <c r="B46" s="159" t="s">
        <v>246</v>
      </c>
      <c r="C46" s="5" t="s">
        <v>245</v>
      </c>
      <c r="D46" s="124">
        <f>SUMIF(PURCHASE!$B$8:$B$509,$C$4:$C$213,PURCHASE!$E$8:$E$509)</f>
        <v>12348.62</v>
      </c>
      <c r="E46" s="124">
        <f>SUMIF(PURCHASE!$B$8:$B$509,$C$4:$C$213,PURCHASE!$X$8:$X$509)</f>
        <v>128</v>
      </c>
      <c r="F46" s="124">
        <f>SUMIF(PURCHASE!$B$8:$B$509,$C$4:$C$213,PURCHASE!$K$8:$K$509)</f>
        <v>9647.36</v>
      </c>
      <c r="G46" s="126">
        <f>SUMIF(PURCHASE!$B$8:$B$509,$C$4:$C$213,PURCHASE!$L$8:$L$509)</f>
        <v>0</v>
      </c>
      <c r="H46" s="126">
        <f>SUMIF(PURCHASE!$B$8:$B$509,$C$4:$C$213,PURCHASE!$M$8:$M$509)</f>
        <v>1350.6304</v>
      </c>
      <c r="I46" s="126">
        <f>SUMIF(PURCHASE!$B$8:$B$509,$C$4:$C$213,PURCHASE!$N$8:$N$509)</f>
        <v>1350.6304</v>
      </c>
      <c r="J46" s="190">
        <f>SUMIF(PURCHASE!$B$8:$B$509,$C$4:$C$213,PURCHASE!$O$8:$O$509)</f>
        <v>0</v>
      </c>
    </row>
    <row r="47" spans="1:12" x14ac:dyDescent="0.3">
      <c r="A47" s="165"/>
      <c r="B47" s="5" t="s">
        <v>376</v>
      </c>
      <c r="C47" s="5" t="s">
        <v>377</v>
      </c>
      <c r="D47" s="124">
        <f>SUMIF(PURCHASE!$B$8:$B$509,$C$4:$C$213,PURCHASE!$E$8:$E$509)</f>
        <v>8320</v>
      </c>
      <c r="E47" s="124">
        <f>SUMIF(PURCHASE!$B$8:$B$509,$C$4:$C$213,PURCHASE!$X$8:$X$509)</f>
        <v>100</v>
      </c>
      <c r="F47" s="124">
        <f>SUMIF(PURCHASE!$B$8:$B$509,$C$4:$C$213,PURCHASE!$K$8:$K$509)</f>
        <v>6500</v>
      </c>
      <c r="G47" s="126">
        <f>SUMIF(PURCHASE!$B$8:$B$509,$C$4:$C$213,PURCHASE!$L$8:$L$509)</f>
        <v>0</v>
      </c>
      <c r="H47" s="126">
        <f>SUMIF(PURCHASE!$B$8:$B$509,$C$4:$C$213,PURCHASE!$M$8:$M$509)</f>
        <v>910</v>
      </c>
      <c r="I47" s="126">
        <f>SUMIF(PURCHASE!$B$8:$B$509,$C$4:$C$213,PURCHASE!$N$8:$N$509)</f>
        <v>910</v>
      </c>
      <c r="J47" s="190">
        <f>SUMIF(PURCHASE!$B$8:$B$509,$C$4:$C$213,PURCHASE!$O$8:$O$509)</f>
        <v>0</v>
      </c>
    </row>
    <row r="48" spans="1:12" x14ac:dyDescent="0.3">
      <c r="A48" s="165"/>
      <c r="B48" s="260" t="s">
        <v>407</v>
      </c>
      <c r="C48" s="260" t="s">
        <v>408</v>
      </c>
      <c r="D48" s="124">
        <f>SUMIF(PURCHASE!$B$8:$B$509,$C$4:$C$213,PURCHASE!$E$8:$E$509)</f>
        <v>5849.49</v>
      </c>
      <c r="E48" s="124">
        <f>SUMIF(PURCHASE!$B$8:$B$509,$C$4:$C$213,PURCHASE!$X$8:$X$509)</f>
        <v>1</v>
      </c>
      <c r="F48" s="124">
        <f>SUMIF(PURCHASE!$B$8:$B$509,$C$4:$C$213,PURCHASE!$K$8:$K$509)</f>
        <v>4956.29</v>
      </c>
      <c r="G48" s="126">
        <f>SUMIF(PURCHASE!$B$8:$B$509,$C$4:$C$213,PURCHASE!$L$8:$L$509)</f>
        <v>0</v>
      </c>
      <c r="H48" s="126">
        <f>SUMIF(PURCHASE!$B$8:$B$509,$C$4:$C$213,PURCHASE!$M$8:$M$509)</f>
        <v>446.09609999999998</v>
      </c>
      <c r="I48" s="126">
        <f>SUMIF(PURCHASE!$B$8:$B$509,$C$4:$C$213,PURCHASE!$N$8:$N$509)</f>
        <v>446.09609999999998</v>
      </c>
      <c r="J48" s="190">
        <f>SUMIF(PURCHASE!$B$8:$B$509,$C$4:$C$213,PURCHASE!$O$8:$O$509)</f>
        <v>0</v>
      </c>
    </row>
    <row r="49" spans="1:10" x14ac:dyDescent="0.3">
      <c r="A49" s="165"/>
      <c r="B49" s="260" t="s">
        <v>416</v>
      </c>
      <c r="C49" s="260" t="s">
        <v>417</v>
      </c>
      <c r="D49" s="124">
        <f>SUMIF(PURCHASE!$B$8:$B$509,$C$4:$C$213,PURCHASE!$E$8:$E$509)</f>
        <v>14561</v>
      </c>
      <c r="E49" s="124">
        <f>SUMIF(PURCHASE!$B$8:$B$509,$C$4:$C$213,PURCHASE!$X$8:$X$509)</f>
        <v>2</v>
      </c>
      <c r="F49" s="124">
        <f>SUMIF(PURCHASE!$B$8:$B$509,$C$4:$C$213,PURCHASE!$K$8:$K$509)</f>
        <v>353.57</v>
      </c>
      <c r="G49" s="126">
        <f>SUMIF(PURCHASE!$B$8:$B$509,$C$4:$C$213,PURCHASE!$L$8:$L$509)</f>
        <v>0</v>
      </c>
      <c r="H49" s="126">
        <f>SUMIF(PURCHASE!$B$8:$B$509,$C$4:$C$213,PURCHASE!$M$8:$M$509)</f>
        <v>32.001300000000001</v>
      </c>
      <c r="I49" s="126">
        <f>SUMIF(PURCHASE!$B$8:$B$509,$C$4:$C$213,PURCHASE!$N$8:$N$509)</f>
        <v>32.001300000000001</v>
      </c>
      <c r="J49" s="190">
        <f>SUMIF(PURCHASE!$B$8:$B$509,$C$4:$C$213,PURCHASE!$O$8:$O$509)</f>
        <v>0</v>
      </c>
    </row>
    <row r="50" spans="1:10" x14ac:dyDescent="0.3">
      <c r="A50" s="165"/>
      <c r="B50" s="260" t="s">
        <v>425</v>
      </c>
      <c r="C50" s="260" t="s">
        <v>426</v>
      </c>
      <c r="D50" s="124">
        <f>SUMIF(PURCHASE!$B$8:$B$509,$C$4:$C$213,PURCHASE!$E$8:$E$509)</f>
        <v>17719.439999999999</v>
      </c>
      <c r="E50" s="124">
        <f>SUMIF(PURCHASE!$B$8:$B$509,$C$4:$C$213,PURCHASE!$X$8:$X$509)</f>
        <v>78</v>
      </c>
      <c r="F50" s="124">
        <f>SUMIF(PURCHASE!$B$8:$B$509,$C$4:$C$213,PURCHASE!$K$8:$K$509)</f>
        <v>13848</v>
      </c>
      <c r="G50" s="126">
        <f>SUMIF(PURCHASE!$B$8:$B$509,$C$4:$C$213,PURCHASE!$L$8:$L$509)</f>
        <v>0</v>
      </c>
      <c r="H50" s="126">
        <f>SUMIF(PURCHASE!$B$8:$B$509,$C$4:$C$213,PURCHASE!$M$8:$M$509)</f>
        <v>1935.72</v>
      </c>
      <c r="I50" s="126">
        <f>SUMIF(PURCHASE!$B$8:$B$509,$C$4:$C$213,PURCHASE!$N$8:$N$509)</f>
        <v>1935.72</v>
      </c>
      <c r="J50" s="190">
        <f>SUMIF(PURCHASE!$B$8:$B$509,$C$4:$C$213,PURCHASE!$O$8:$O$509)</f>
        <v>0</v>
      </c>
    </row>
    <row r="51" spans="1:10" x14ac:dyDescent="0.3">
      <c r="A51" s="165"/>
      <c r="B51" s="260" t="s">
        <v>428</v>
      </c>
      <c r="C51" s="260" t="s">
        <v>429</v>
      </c>
      <c r="D51" s="124">
        <f>SUMIF(PURCHASE!$B$8:$B$509,$C$4:$C$213,PURCHASE!$E$8:$E$509)</f>
        <v>24780</v>
      </c>
      <c r="E51" s="124">
        <f>SUMIF(PURCHASE!$B$8:$B$509,$C$4:$C$213,PURCHASE!$X$8:$X$509)</f>
        <v>1</v>
      </c>
      <c r="F51" s="124">
        <f>SUMIF(PURCHASE!$B$8:$B$509,$C$4:$C$213,PURCHASE!$K$8:$K$509)</f>
        <v>21000</v>
      </c>
      <c r="G51" s="126">
        <f>SUMIF(PURCHASE!$B$8:$B$509,$C$4:$C$213,PURCHASE!$L$8:$L$509)</f>
        <v>0</v>
      </c>
      <c r="H51" s="126">
        <f>SUMIF(PURCHASE!$B$8:$B$509,$C$4:$C$213,PURCHASE!$M$8:$M$509)</f>
        <v>1890</v>
      </c>
      <c r="I51" s="126">
        <f>SUMIF(PURCHASE!$B$8:$B$509,$C$4:$C$213,PURCHASE!$N$8:$N$509)</f>
        <v>1890</v>
      </c>
      <c r="J51" s="190">
        <f>SUMIF(PURCHASE!$B$8:$B$509,$C$4:$C$213,PURCHASE!$O$8:$O$509)</f>
        <v>0</v>
      </c>
    </row>
    <row r="52" spans="1:10" x14ac:dyDescent="0.3">
      <c r="A52" s="165"/>
      <c r="B52" s="260" t="s">
        <v>431</v>
      </c>
      <c r="C52" s="260" t="s">
        <v>432</v>
      </c>
      <c r="D52" s="124">
        <f>SUMIF(PURCHASE!$B$8:$B$509,$C$4:$C$213,PURCHASE!$E$8:$E$509)</f>
        <v>90</v>
      </c>
      <c r="E52" s="124">
        <f>SUMIF(PURCHASE!$B$8:$B$509,$C$4:$C$213,PURCHASE!$X$8:$X$509)</f>
        <v>1</v>
      </c>
      <c r="F52" s="124">
        <f>SUMIF(PURCHASE!$B$8:$B$509,$C$4:$C$213,PURCHASE!$K$8:$K$509)</f>
        <v>70</v>
      </c>
      <c r="G52" s="126">
        <f>SUMIF(PURCHASE!$B$8:$B$509,$C$4:$C$213,PURCHASE!$L$8:$L$509)</f>
        <v>0</v>
      </c>
      <c r="H52" s="126">
        <f>SUMIF(PURCHASE!$B$8:$B$509,$C$4:$C$213,PURCHASE!$M$8:$M$509)</f>
        <v>9.9999999999999982</v>
      </c>
      <c r="I52" s="126">
        <f>SUMIF(PURCHASE!$B$8:$B$509,$C$4:$C$213,PURCHASE!$N$8:$N$509)</f>
        <v>9.9999999999999982</v>
      </c>
      <c r="J52" s="190">
        <f>SUMIF(PURCHASE!$B$8:$B$509,$C$4:$C$213,PURCHASE!$O$8:$O$509)</f>
        <v>0</v>
      </c>
    </row>
    <row r="53" spans="1:10" x14ac:dyDescent="0.3">
      <c r="A53" s="165"/>
      <c r="B53" s="260" t="s">
        <v>437</v>
      </c>
      <c r="C53" s="260" t="s">
        <v>438</v>
      </c>
      <c r="D53" s="124">
        <f>SUMIF(PURCHASE!$B$8:$B$509,$C$4:$C$213,PURCHASE!$E$8:$E$509)</f>
        <v>17254</v>
      </c>
      <c r="E53" s="124">
        <f>SUMIF(PURCHASE!$B$8:$B$509,$C$4:$C$213,PURCHASE!$X$8:$X$509)</f>
        <v>40</v>
      </c>
      <c r="F53" s="124">
        <f>SUMIF(PURCHASE!$B$8:$B$509,$C$4:$C$213,PURCHASE!$K$8:$K$509)</f>
        <v>13480</v>
      </c>
      <c r="G53" s="126">
        <f>SUMIF(PURCHASE!$B$8:$B$509,$C$4:$C$213,PURCHASE!$L$8:$L$509)</f>
        <v>3774.4</v>
      </c>
      <c r="H53" s="126">
        <f>SUMIF(PURCHASE!$B$8:$B$509,$C$4:$C$213,PURCHASE!$M$8:$M$509)</f>
        <v>0</v>
      </c>
      <c r="I53" s="126">
        <f>SUMIF(PURCHASE!$B$8:$B$509,$C$4:$C$213,PURCHASE!$N$8:$N$509)</f>
        <v>0</v>
      </c>
      <c r="J53" s="190">
        <f>SUMIF(PURCHASE!$B$8:$B$509,$C$4:$C$213,PURCHASE!$O$8:$O$509)</f>
        <v>0</v>
      </c>
    </row>
    <row r="54" spans="1:10" x14ac:dyDescent="0.3">
      <c r="A54" s="165"/>
      <c r="B54" s="260" t="s">
        <v>391</v>
      </c>
      <c r="C54" s="260"/>
      <c r="D54" s="124">
        <v>54397.39</v>
      </c>
      <c r="E54" s="124">
        <f>SUMIF(PURCHASE!$B$8:$B$509,$C$4:$C$213,PURCHASE!$X$8:$X$509)</f>
        <v>500</v>
      </c>
      <c r="F54" s="124">
        <f>SUMIF(PURCHASE!$B$8:$B$509,$C$4:$C$213,PURCHASE!$K$8:$K$509)</f>
        <v>63322</v>
      </c>
      <c r="G54" s="126">
        <f>SUMIF(PURCHASE!$B$8:$B$509,$C$4:$C$213,PURCHASE!$L$8:$L$509)</f>
        <v>7598.64</v>
      </c>
      <c r="H54" s="126">
        <f>SUMIF(PURCHASE!$B$8:$B$509,$C$4:$C$213,PURCHASE!$M$8:$M$509)</f>
        <v>0</v>
      </c>
      <c r="I54" s="126">
        <f>SUMIF(PURCHASE!$B$8:$B$509,$C$4:$C$213,PURCHASE!$N$8:$N$509)</f>
        <v>0</v>
      </c>
      <c r="J54" s="190">
        <f>SUMIF(PURCHASE!$B$8:$B$509,$C$4:$C$213,PURCHASE!$O$8:$O$509)</f>
        <v>0</v>
      </c>
    </row>
    <row r="55" spans="1:10" x14ac:dyDescent="0.3">
      <c r="A55" s="165"/>
      <c r="B55" s="260" t="s">
        <v>397</v>
      </c>
      <c r="C55" s="260">
        <v>3</v>
      </c>
      <c r="D55" s="124">
        <f>SUMIF(PURCHASE!$B$8:$B$509,$C$4:$C$213,PURCHASE!$E$8:$E$509)</f>
        <v>164730</v>
      </c>
      <c r="E55" s="124">
        <f>SUMIF(PURCHASE!$B$8:$B$509,$C$4:$C$213,PURCHASE!$X$8:$X$509)</f>
        <v>0</v>
      </c>
      <c r="F55" s="124">
        <f>SUMIF(PURCHASE!$B$8:$B$509,$C$4:$C$213,PURCHASE!$K$8:$K$509)</f>
        <v>0</v>
      </c>
      <c r="G55" s="126">
        <f>SUMIF(PURCHASE!$B$8:$B$509,$C$4:$C$213,PURCHASE!$L$8:$L$509)</f>
        <v>0</v>
      </c>
      <c r="H55" s="126">
        <f>SUMIF(PURCHASE!$B$8:$B$509,$C$4:$C$213,PURCHASE!$M$8:$M$509)</f>
        <v>0</v>
      </c>
      <c r="I55" s="126">
        <f>SUMIF(PURCHASE!$B$8:$B$509,$C$4:$C$213,PURCHASE!$N$8:$N$509)</f>
        <v>0</v>
      </c>
      <c r="J55" s="190">
        <f>SUMIF(PURCHASE!$B$8:$B$509,$C$4:$C$213,PURCHASE!$O$8:$O$509)</f>
        <v>0</v>
      </c>
    </row>
    <row r="56" spans="1:10" x14ac:dyDescent="0.3">
      <c r="A56" s="165"/>
      <c r="B56" s="5" t="s">
        <v>365</v>
      </c>
      <c r="C56" s="5">
        <v>2</v>
      </c>
      <c r="D56" s="124">
        <f>SUMIF(PURCHASE!$B$8:$B$509,$C$4:$C$213,PURCHASE!$E$8:$E$509)</f>
        <v>79452.600000000006</v>
      </c>
      <c r="E56" s="124">
        <f>SUMIF(PURCHASE!$B$8:$B$509,$C$4:$C$213,PURCHASE!$X$8:$X$509)</f>
        <v>1348.08</v>
      </c>
      <c r="F56" s="124">
        <f>SUMIF(PURCHASE!$B$8:$B$509,$C$4:$C$213,PURCHASE!$K$8:$K$509)</f>
        <v>49379.5</v>
      </c>
      <c r="G56" s="126">
        <f>SUMIF(PURCHASE!$B$8:$B$509,$C$4:$C$213,PURCHASE!$L$8:$L$509)</f>
        <v>0</v>
      </c>
      <c r="H56" s="126">
        <f>SUMIF(PURCHASE!$B$8:$B$509,$C$4:$C$213,PURCHASE!$M$8:$M$509)</f>
        <v>0</v>
      </c>
      <c r="I56" s="126">
        <f>SUMIF(PURCHASE!$B$8:$B$509,$C$4:$C$213,PURCHASE!$N$8:$N$509)</f>
        <v>0</v>
      </c>
      <c r="J56" s="190">
        <f>SUMIF(PURCHASE!$B$8:$B$509,$C$4:$C$213,PURCHASE!$O$8:$O$509)</f>
        <v>0</v>
      </c>
    </row>
    <row r="57" spans="1:10" x14ac:dyDescent="0.3">
      <c r="A57" s="165"/>
      <c r="B57" s="121" t="s">
        <v>379</v>
      </c>
      <c r="C57" s="121">
        <v>4</v>
      </c>
      <c r="D57" s="285">
        <f>SUMIF(PURCHASE!$B$8:$B$509,$C$4:$C$213,PURCHASE!$E$8:$E$509)</f>
        <v>20000</v>
      </c>
      <c r="E57" s="285">
        <f>SUMIF(PURCHASE!$B$8:$B$509,$C$4:$C$213,PURCHASE!$X$8:$X$509)</f>
        <v>0</v>
      </c>
      <c r="F57" s="285">
        <f>SUMIF(PURCHASE!$B$8:$B$509,$C$4:$C$213,PURCHASE!$K$8:$K$509)</f>
        <v>20000</v>
      </c>
      <c r="G57" s="285">
        <f>SUMIF(PURCHASE!$B$8:$B$509,$C$4:$C$213,PURCHASE!$L$8:$L$509)</f>
        <v>0</v>
      </c>
      <c r="H57" s="285">
        <f>SUMIF(PURCHASE!$B$8:$B$509,$C$4:$C$213,PURCHASE!$M$8:$M$509)</f>
        <v>0</v>
      </c>
      <c r="I57" s="285">
        <f>SUMIF(PURCHASE!$B$8:$B$509,$C$4:$C$213,PURCHASE!$N$8:$N$509)</f>
        <v>0</v>
      </c>
      <c r="J57" s="286">
        <f>SUMIF(PURCHASE!$B$8:$B$509,$C$4:$C$213,PURCHASE!$O$8:$O$509)</f>
        <v>0</v>
      </c>
    </row>
    <row r="58" spans="1:10" ht="15" thickBot="1" x14ac:dyDescent="0.35">
      <c r="A58" s="165"/>
      <c r="B58" s="121" t="s">
        <v>352</v>
      </c>
      <c r="C58" s="121">
        <v>5</v>
      </c>
      <c r="D58" s="285">
        <f>SUMIF(PURCHASE!$B$8:$B$509,$C$4:$C$213,PURCHASE!$E$8:$E$509)</f>
        <v>3600</v>
      </c>
      <c r="E58" s="285">
        <f>SUMIF(PURCHASE!$B$8:$B$509,$C$4:$C$213,PURCHASE!$X$8:$X$509)</f>
        <v>0</v>
      </c>
      <c r="F58" s="285">
        <f>SUMIF(PURCHASE!$B$8:$B$509,$C$4:$C$213,PURCHASE!$K$8:$K$509)</f>
        <v>3600</v>
      </c>
      <c r="G58" s="285">
        <f>SUMIF(PURCHASE!$B$8:$B$509,$C$4:$C$213,PURCHASE!$L$8:$L$509)</f>
        <v>0</v>
      </c>
      <c r="H58" s="285">
        <f>SUMIF(PURCHASE!$B$8:$B$509,$C$4:$C$213,PURCHASE!$M$8:$M$509)</f>
        <v>0</v>
      </c>
      <c r="I58" s="285">
        <f>SUMIF(PURCHASE!$B$8:$B$509,$C$4:$C$213,PURCHASE!$N$8:$N$509)</f>
        <v>0</v>
      </c>
      <c r="J58" s="286">
        <f>SUMIF(PURCHASE!$B$8:$B$509,$C$4:$C$213,PURCHASE!$O$8:$O$509)</f>
        <v>0</v>
      </c>
    </row>
    <row r="59" spans="1:10" ht="15" thickBot="1" x14ac:dyDescent="0.35">
      <c r="A59" s="183"/>
      <c r="B59" s="147" t="s">
        <v>31</v>
      </c>
      <c r="C59" s="147"/>
      <c r="D59" s="191">
        <f>SUM(D4:D58)</f>
        <v>9796230.3199999966</v>
      </c>
      <c r="E59" s="191">
        <f t="shared" ref="E59:J59" si="0">SUM(E4:E45)</f>
        <v>285766</v>
      </c>
      <c r="F59" s="191">
        <f t="shared" si="0"/>
        <v>7453654.2599999998</v>
      </c>
      <c r="G59" s="191">
        <f t="shared" si="0"/>
        <v>20083.413199999999</v>
      </c>
      <c r="H59" s="191">
        <f t="shared" si="0"/>
        <v>949853.43259999994</v>
      </c>
      <c r="I59" s="191">
        <f t="shared" si="0"/>
        <v>949853.43259999994</v>
      </c>
      <c r="J59" s="192">
        <f t="shared" si="0"/>
        <v>0</v>
      </c>
    </row>
    <row r="60" spans="1:10" ht="15" thickTop="1" x14ac:dyDescent="0.3">
      <c r="C60" t="s">
        <v>348</v>
      </c>
      <c r="D60">
        <v>30491</v>
      </c>
      <c r="H60">
        <v>579296.57999999996</v>
      </c>
    </row>
    <row r="61" spans="1:10" x14ac:dyDescent="0.3">
      <c r="B61" t="s">
        <v>358</v>
      </c>
      <c r="D61" s="129">
        <f>+D59-D60</f>
        <v>9765739.3199999966</v>
      </c>
      <c r="H61" s="129">
        <f>+H59-H60</f>
        <v>370556.85259999998</v>
      </c>
    </row>
    <row r="62" spans="1:10" x14ac:dyDescent="0.3">
      <c r="C62" t="s">
        <v>828</v>
      </c>
      <c r="D62">
        <v>9868222.1300000008</v>
      </c>
      <c r="E62" t="s">
        <v>359</v>
      </c>
      <c r="G62">
        <v>655233</v>
      </c>
    </row>
    <row r="63" spans="1:10" x14ac:dyDescent="0.3">
      <c r="D63" s="129">
        <f>+D62-D61</f>
        <v>102482.81000000425</v>
      </c>
      <c r="G63" s="129">
        <f>+G62-H59</f>
        <v>-294620.43259999994</v>
      </c>
    </row>
  </sheetData>
  <sortState ref="A4:J37">
    <sortCondition ref="A4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activeCell="E6" sqref="E6"/>
    </sheetView>
  </sheetViews>
  <sheetFormatPr defaultRowHeight="14.4" x14ac:dyDescent="0.3"/>
  <cols>
    <col min="2" max="2" width="35" bestFit="1" customWidth="1"/>
    <col min="3" max="3" width="5.6640625" bestFit="1" customWidth="1"/>
    <col min="4" max="4" width="9.88671875" customWidth="1"/>
    <col min="5" max="5" width="14.5546875" customWidth="1"/>
    <col min="6" max="6" width="11.5546875" customWidth="1"/>
    <col min="7" max="7" width="9.5546875" customWidth="1"/>
    <col min="8" max="8" width="11.88671875" customWidth="1"/>
    <col min="9" max="9" width="11.5546875" customWidth="1"/>
    <col min="10" max="10" width="7.109375" customWidth="1"/>
  </cols>
  <sheetData>
    <row r="1" spans="1:10" ht="15.6" thickTop="1" thickBot="1" x14ac:dyDescent="0.35">
      <c r="A1" s="144"/>
      <c r="B1" s="145" t="s">
        <v>297</v>
      </c>
      <c r="C1" s="145"/>
      <c r="D1" s="145"/>
      <c r="E1" s="145"/>
      <c r="F1" s="145"/>
      <c r="G1" s="151"/>
      <c r="H1" s="151" t="s">
        <v>288</v>
      </c>
      <c r="I1" s="153" t="s">
        <v>289</v>
      </c>
      <c r="J1" s="152">
        <v>2017</v>
      </c>
    </row>
    <row r="2" spans="1:10" ht="15" thickBot="1" x14ac:dyDescent="0.35">
      <c r="A2" s="1" t="s">
        <v>7</v>
      </c>
      <c r="B2" s="1" t="s">
        <v>20</v>
      </c>
      <c r="C2" s="1" t="s">
        <v>23</v>
      </c>
      <c r="D2" s="1" t="s">
        <v>31</v>
      </c>
      <c r="E2" s="1" t="s">
        <v>31</v>
      </c>
      <c r="F2" s="9" t="s">
        <v>25</v>
      </c>
      <c r="G2" s="189" t="s">
        <v>1</v>
      </c>
      <c r="H2" s="188" t="s">
        <v>2</v>
      </c>
      <c r="I2" s="188" t="s">
        <v>3</v>
      </c>
      <c r="J2" s="188" t="s">
        <v>4</v>
      </c>
    </row>
    <row r="3" spans="1:10" ht="15" thickBot="1" x14ac:dyDescent="0.35">
      <c r="A3" s="2" t="s">
        <v>33</v>
      </c>
      <c r="B3" s="2" t="s">
        <v>21</v>
      </c>
      <c r="C3" s="5"/>
      <c r="D3" s="5" t="s">
        <v>32</v>
      </c>
      <c r="E3" s="5" t="s">
        <v>286</v>
      </c>
      <c r="F3" s="19" t="s">
        <v>18</v>
      </c>
      <c r="G3" s="1" t="s">
        <v>18</v>
      </c>
      <c r="H3" s="1" t="s">
        <v>18</v>
      </c>
      <c r="I3" s="1" t="s">
        <v>18</v>
      </c>
      <c r="J3" s="1" t="s">
        <v>18</v>
      </c>
    </row>
    <row r="4" spans="1:10" x14ac:dyDescent="0.3">
      <c r="A4" s="271">
        <v>39269099</v>
      </c>
      <c r="B4" s="4" t="s">
        <v>22</v>
      </c>
      <c r="C4" s="125"/>
      <c r="D4" s="125">
        <f ca="1">SUMIF(PURCHASE!$R$8:$R$599,$A$4:$A$333,PURCHASE!$X$8:$X$509)</f>
        <v>113520</v>
      </c>
      <c r="E4" s="125">
        <f ca="1">SUMIF(PURCHASE!$R$8:$R$599,$A$4:$A$333,PURCHASE!$E$8:$E$509)</f>
        <v>173670</v>
      </c>
      <c r="F4" s="125">
        <f ca="1">SUMIF(PURCHASE!$R$8:$R$599,$A$4:$A$333,PURCHASE!$K$8:$K$509)</f>
        <v>135680.79999999999</v>
      </c>
      <c r="G4" s="125">
        <f ca="1">SUMIF(PURCHASE!$R$8:$R$599,$A$4:$A$333,PURCHASE!$L$8:$L$509)</f>
        <v>0</v>
      </c>
      <c r="H4" s="125">
        <f ca="1">SUMIF(PURCHASE!$R$8:$R$599,$A$4:$A$333,PURCHASE!$M$8:$M$509)</f>
        <v>18995.311999999998</v>
      </c>
      <c r="I4" s="125">
        <f ca="1">SUMIF(PURCHASE!$R$8:$R$599,$A$4:$A$333,PURCHASE!$N$8:$N$509)</f>
        <v>18995.311999999998</v>
      </c>
      <c r="J4" s="125">
        <f ca="1">SUMIF(PURCHASE!$R$8:$R$599,$A$4:$A$333,PURCHASE!$O$8:$O$509)</f>
        <v>0</v>
      </c>
    </row>
    <row r="5" spans="1:10" x14ac:dyDescent="0.3">
      <c r="A5" s="5">
        <v>87089900</v>
      </c>
      <c r="B5" s="17" t="s">
        <v>22</v>
      </c>
      <c r="C5" s="126"/>
      <c r="D5" s="126">
        <f ca="1">SUMIF(PURCHASE!$R$8:$R$599,$A$4:$A$333,PURCHASE!$X$8:$X$509)</f>
        <v>3301</v>
      </c>
      <c r="E5" s="126">
        <f ca="1">SUMIF(PURCHASE!$R$8:$R$599,$A$4:$A$333,PURCHASE!$E$8:$E$509)</f>
        <v>225969.35000000003</v>
      </c>
      <c r="F5" s="126">
        <f ca="1">SUMIF(PURCHASE!$R$8:$R$599,$A$4:$A$333,PURCHASE!$K$8:$K$509)</f>
        <v>176539.00999999998</v>
      </c>
      <c r="G5" s="126">
        <f ca="1">SUMIF(PURCHASE!$R$8:$R$599,$A$4:$A$333,PURCHASE!$L$8:$L$509)</f>
        <v>0</v>
      </c>
      <c r="H5" s="126">
        <f ca="1">SUMIF(PURCHASE!$R$8:$R$599,$A$4:$A$333,PURCHASE!$M$8:$M$509)</f>
        <v>24715.461400000004</v>
      </c>
      <c r="I5" s="126">
        <f ca="1">SUMIF(PURCHASE!$R$8:$R$599,$A$4:$A$333,PURCHASE!$N$8:$N$509)</f>
        <v>24715.461400000004</v>
      </c>
      <c r="J5" s="126">
        <f ca="1">SUMIF(PURCHASE!$R$8:$R$599,$A$4:$A$333,PURCHASE!$O$8:$O$509)</f>
        <v>0</v>
      </c>
    </row>
    <row r="6" spans="1:10" x14ac:dyDescent="0.3">
      <c r="A6" s="5">
        <v>32082090</v>
      </c>
      <c r="B6" s="17" t="s">
        <v>198</v>
      </c>
      <c r="C6" s="126"/>
      <c r="D6" s="126">
        <f ca="1">SUMIF(PURCHASE!$R$8:$R$599,$A$4:$A$333,PURCHASE!$X$8:$X$509)</f>
        <v>2391</v>
      </c>
      <c r="E6" s="126">
        <f ca="1">SUMIF(PURCHASE!$R$8:$R$599,$A$4:$A$333,PURCHASE!$E$8:$E$509)</f>
        <v>978751.6</v>
      </c>
      <c r="F6" s="126">
        <f ca="1">SUMIF(PURCHASE!$R$8:$R$599,$A$4:$A$333,PURCHASE!$K$8:$K$509)</f>
        <v>764649.3</v>
      </c>
      <c r="G6" s="126">
        <f ca="1">SUMIF(PURCHASE!$R$8:$R$599,$A$4:$A$333,PURCHASE!$L$8:$L$509)</f>
        <v>0</v>
      </c>
      <c r="H6" s="126">
        <f ca="1">SUMIF(PURCHASE!$R$8:$R$599,$A$4:$A$333,PURCHASE!$M$8:$M$509)</f>
        <v>107050.90199999999</v>
      </c>
      <c r="I6" s="126">
        <f ca="1">SUMIF(PURCHASE!$R$8:$R$599,$A$4:$A$333,PURCHASE!$N$8:$N$509)</f>
        <v>107050.90199999999</v>
      </c>
      <c r="J6" s="126">
        <f ca="1">SUMIF(PURCHASE!$R$8:$R$599,$A$4:$A$333,PURCHASE!$O$8:$O$509)</f>
        <v>0</v>
      </c>
    </row>
    <row r="7" spans="1:10" x14ac:dyDescent="0.3">
      <c r="A7" s="5">
        <v>38140010</v>
      </c>
      <c r="B7" s="17" t="s">
        <v>199</v>
      </c>
      <c r="C7" s="126"/>
      <c r="D7" s="126">
        <f ca="1">SUMIF(PURCHASE!$R$8:$R$599,$A$4:$A$333,PURCHASE!$X$8:$X$509)</f>
        <v>900</v>
      </c>
      <c r="E7" s="126">
        <f ca="1">SUMIF(PURCHASE!$R$8:$R$599,$A$4:$A$333,PURCHASE!$E$8:$E$509)</f>
        <v>164913</v>
      </c>
      <c r="F7" s="126">
        <f ca="1">SUMIF(PURCHASE!$R$8:$R$599,$A$4:$A$333,PURCHASE!$K$8:$K$509)</f>
        <v>128839</v>
      </c>
      <c r="G7" s="126">
        <f ca="1">SUMIF(PURCHASE!$R$8:$R$599,$A$4:$A$333,PURCHASE!$L$8:$L$509)</f>
        <v>3774.4</v>
      </c>
      <c r="H7" s="126">
        <f ca="1">SUMIF(PURCHASE!$R$8:$R$599,$A$4:$A$333,PURCHASE!$M$8:$M$509)</f>
        <v>16150.26</v>
      </c>
      <c r="I7" s="126">
        <f ca="1">SUMIF(PURCHASE!$R$8:$R$599,$A$4:$A$333,PURCHASE!$N$8:$N$509)</f>
        <v>16150.26</v>
      </c>
      <c r="J7" s="126">
        <f ca="1">SUMIF(PURCHASE!$R$8:$R$599,$A$4:$A$333,PURCHASE!$O$8:$O$509)</f>
        <v>0</v>
      </c>
    </row>
    <row r="8" spans="1:10" x14ac:dyDescent="0.3">
      <c r="A8" s="5">
        <v>32089090</v>
      </c>
      <c r="B8" s="17" t="s">
        <v>198</v>
      </c>
      <c r="C8" s="126"/>
      <c r="D8" s="126">
        <f ca="1">SUMIF(PURCHASE!$R$8:$R$599,$A$4:$A$333,PURCHASE!$X$8:$X$509)</f>
        <v>242</v>
      </c>
      <c r="E8" s="126">
        <f ca="1">SUMIF(PURCHASE!$R$8:$R$599,$A$4:$A$333,PURCHASE!$E$8:$E$509)</f>
        <v>106665.4</v>
      </c>
      <c r="F8" s="126">
        <f ca="1">SUMIF(PURCHASE!$R$8:$R$599,$A$4:$A$333,PURCHASE!$K$8:$K$509)</f>
        <v>83332.399999999994</v>
      </c>
      <c r="G8" s="126">
        <f ca="1">SUMIF(PURCHASE!$R$8:$R$599,$A$4:$A$333,PURCHASE!$L$8:$L$509)</f>
        <v>0</v>
      </c>
      <c r="H8" s="126">
        <f ca="1">SUMIF(PURCHASE!$R$8:$R$599,$A$4:$A$333,PURCHASE!$M$8:$M$509)</f>
        <v>11666.536000000002</v>
      </c>
      <c r="I8" s="126">
        <f ca="1">SUMIF(PURCHASE!$R$8:$R$599,$A$4:$A$333,PURCHASE!$N$8:$N$509)</f>
        <v>11666.536000000002</v>
      </c>
      <c r="J8" s="126">
        <f ca="1">SUMIF(PURCHASE!$R$8:$R$599,$A$4:$A$333,PURCHASE!$O$8:$O$509)</f>
        <v>0</v>
      </c>
    </row>
    <row r="9" spans="1:10" x14ac:dyDescent="0.3">
      <c r="A9" s="5">
        <v>85129000</v>
      </c>
      <c r="B9" s="5" t="s">
        <v>202</v>
      </c>
      <c r="C9" s="126"/>
      <c r="D9" s="126">
        <f ca="1">SUMIF(PURCHASE!$R$8:$R$599,$A$4:$A$333,PURCHASE!$X$8:$X$509)</f>
        <v>42561</v>
      </c>
      <c r="E9" s="126">
        <f ca="1">SUMIF(PURCHASE!$R$8:$R$599,$A$4:$A$333,PURCHASE!$E$8:$E$509)</f>
        <v>699506.1</v>
      </c>
      <c r="F9" s="126">
        <f ca="1">SUMIF(PURCHASE!$R$8:$R$599,$A$4:$A$333,PURCHASE!$K$8:$K$509)</f>
        <v>546487.26</v>
      </c>
      <c r="G9" s="126">
        <f ca="1">SUMIF(PURCHASE!$R$8:$R$599,$A$4:$A$333,PURCHASE!$L$8:$L$509)</f>
        <v>0</v>
      </c>
      <c r="H9" s="126">
        <f ca="1">SUMIF(PURCHASE!$R$8:$R$599,$A$4:$A$333,PURCHASE!$M$8:$M$509)</f>
        <v>76508.216400000005</v>
      </c>
      <c r="I9" s="126">
        <f ca="1">SUMIF(PURCHASE!$R$8:$R$599,$A$4:$A$333,PURCHASE!$N$8:$N$509)</f>
        <v>76508.216400000005</v>
      </c>
      <c r="J9" s="126">
        <f ca="1">SUMIF(PURCHASE!$R$8:$R$599,$A$4:$A$333,PURCHASE!$O$8:$O$509)</f>
        <v>0</v>
      </c>
    </row>
    <row r="10" spans="1:10" x14ac:dyDescent="0.3">
      <c r="A10" s="5">
        <v>87081090</v>
      </c>
      <c r="B10" s="17" t="s">
        <v>22</v>
      </c>
      <c r="C10" s="126"/>
      <c r="D10" s="126">
        <f ca="1">SUMIF(PURCHASE!$R$8:$R$599,$A$4:$A$333,PURCHASE!$X$8:$X$509)</f>
        <v>1013</v>
      </c>
      <c r="E10" s="126">
        <f ca="1">SUMIF(PURCHASE!$R$8:$R$599,$A$4:$A$333,PURCHASE!$E$8:$E$509)</f>
        <v>239564.97000000012</v>
      </c>
      <c r="F10" s="126">
        <f ca="1">SUMIF(PURCHASE!$R$8:$R$599,$A$4:$A$333,PURCHASE!$K$8:$K$509)</f>
        <v>187160.52</v>
      </c>
      <c r="G10" s="126">
        <f ca="1">SUMIF(PURCHASE!$R$8:$R$599,$A$4:$A$333,PURCHASE!$L$8:$L$509)</f>
        <v>20083.413200000003</v>
      </c>
      <c r="H10" s="126">
        <f ca="1">SUMIF(PURCHASE!$R$8:$R$599,$A$4:$A$333,PURCHASE!$M$8:$M$509)</f>
        <v>16159.501199999999</v>
      </c>
      <c r="I10" s="126">
        <f ca="1">SUMIF(PURCHASE!$R$8:$R$599,$A$4:$A$333,PURCHASE!$N$8:$N$509)</f>
        <v>16159.501199999999</v>
      </c>
      <c r="J10" s="126">
        <f ca="1">SUMIF(PURCHASE!$R$8:$R$599,$A$4:$A$333,PURCHASE!$O$8:$O$509)</f>
        <v>0</v>
      </c>
    </row>
    <row r="11" spans="1:10" x14ac:dyDescent="0.3">
      <c r="A11" s="5">
        <v>87082900</v>
      </c>
      <c r="B11" s="17" t="s">
        <v>22</v>
      </c>
      <c r="C11" s="126"/>
      <c r="D11" s="126">
        <f ca="1">SUMIF(PURCHASE!$R$8:$R$599,$A$4:$A$333,PURCHASE!$X$8:$X$509)</f>
        <v>7570</v>
      </c>
      <c r="E11" s="126">
        <f ca="1">SUMIF(PURCHASE!$R$8:$R$599,$A$4:$A$333,PURCHASE!$E$8:$E$509)</f>
        <v>475091.33999999997</v>
      </c>
      <c r="F11" s="126">
        <f ca="1">SUMIF(PURCHASE!$R$8:$R$599,$A$4:$A$333,PURCHASE!$K$8:$K$509)</f>
        <v>371167.39999999997</v>
      </c>
      <c r="G11" s="126">
        <f ca="1">SUMIF(PURCHASE!$R$8:$R$599,$A$4:$A$333,PURCHASE!$L$8:$L$509)</f>
        <v>0</v>
      </c>
      <c r="H11" s="126">
        <f ca="1">SUMIF(PURCHASE!$R$8:$R$599,$A$4:$A$333,PURCHASE!$M$8:$M$509)</f>
        <v>51962.376000000011</v>
      </c>
      <c r="I11" s="126">
        <f ca="1">SUMIF(PURCHASE!$R$8:$R$599,$A$4:$A$333,PURCHASE!$N$8:$N$509)</f>
        <v>51962.376000000011</v>
      </c>
      <c r="J11" s="126">
        <f ca="1">SUMIF(PURCHASE!$R$8:$R$599,$A$4:$A$333,PURCHASE!$O$8:$O$509)</f>
        <v>0</v>
      </c>
    </row>
    <row r="12" spans="1:10" x14ac:dyDescent="0.3">
      <c r="A12" s="5">
        <v>87142090</v>
      </c>
      <c r="B12" s="17" t="s">
        <v>22</v>
      </c>
      <c r="C12" s="126"/>
      <c r="D12" s="126">
        <f ca="1">SUMIF(PURCHASE!$R$8:$R$599,$A$4:$A$333,PURCHASE!$X$8:$X$509)</f>
        <v>36429</v>
      </c>
      <c r="E12" s="126">
        <f ca="1">SUMIF(PURCHASE!$R$8:$R$599,$A$4:$A$333,PURCHASE!$E$8:$E$509)</f>
        <v>515718.07999999996</v>
      </c>
      <c r="F12" s="126">
        <f ca="1">SUMIF(PURCHASE!$R$8:$R$599,$A$4:$A$333,PURCHASE!$K$8:$K$509)</f>
        <v>402904.74</v>
      </c>
      <c r="G12" s="126">
        <f ca="1">SUMIF(PURCHASE!$R$8:$R$599,$A$4:$A$333,PURCHASE!$L$8:$L$509)</f>
        <v>0</v>
      </c>
      <c r="H12" s="126">
        <f ca="1">SUMIF(PURCHASE!$R$8:$R$599,$A$4:$A$333,PURCHASE!$M$8:$M$509)</f>
        <v>56406.673600000002</v>
      </c>
      <c r="I12" s="126">
        <f ca="1">SUMIF(PURCHASE!$R$8:$R$599,$A$4:$A$333,PURCHASE!$N$8:$N$509)</f>
        <v>56406.673600000002</v>
      </c>
      <c r="J12" s="126">
        <f ca="1">SUMIF(PURCHASE!$R$8:$R$599,$A$4:$A$333,PURCHASE!$O$8:$O$509)</f>
        <v>0</v>
      </c>
    </row>
    <row r="13" spans="1:10" x14ac:dyDescent="0.3">
      <c r="A13" s="5">
        <v>39119090</v>
      </c>
      <c r="B13" s="17" t="s">
        <v>198</v>
      </c>
      <c r="C13" s="126"/>
      <c r="D13" s="126">
        <f ca="1">SUMIF(PURCHASE!$R$8:$R$599,$A$4:$A$333,PURCHASE!$X$8:$X$509)</f>
        <v>132</v>
      </c>
      <c r="E13" s="126">
        <f ca="1">SUMIF(PURCHASE!$R$8:$R$599,$A$4:$A$333,PURCHASE!$E$8:$E$509)</f>
        <v>91011.04</v>
      </c>
      <c r="F13" s="126">
        <f ca="1">SUMIF(PURCHASE!$R$8:$R$599,$A$4:$A$333,PURCHASE!$K$8:$K$509)</f>
        <v>77128</v>
      </c>
      <c r="G13" s="126">
        <f ca="1">SUMIF(PURCHASE!$R$8:$R$599,$A$4:$A$333,PURCHASE!$L$8:$L$509)</f>
        <v>0</v>
      </c>
      <c r="H13" s="126">
        <f ca="1">SUMIF(PURCHASE!$R$8:$R$599,$A$4:$A$333,PURCHASE!$M$8:$M$509)</f>
        <v>6941.5199999999995</v>
      </c>
      <c r="I13" s="126">
        <f ca="1">SUMIF(PURCHASE!$R$8:$R$599,$A$4:$A$333,PURCHASE!$N$8:$N$509)</f>
        <v>6941.5199999999995</v>
      </c>
      <c r="J13" s="126">
        <f ca="1">SUMIF(PURCHASE!$R$8:$R$599,$A$4:$A$333,PURCHASE!$O$8:$O$509)</f>
        <v>0</v>
      </c>
    </row>
    <row r="14" spans="1:10" x14ac:dyDescent="0.3">
      <c r="A14" s="5">
        <v>87141900</v>
      </c>
      <c r="B14" s="17" t="s">
        <v>22</v>
      </c>
      <c r="C14" s="126"/>
      <c r="D14" s="126">
        <f ca="1">SUMIF(PURCHASE!$R$8:$R$599,$A$4:$A$333,PURCHASE!$X$8:$X$509)</f>
        <v>38416</v>
      </c>
      <c r="E14" s="126">
        <f ca="1">SUMIF(PURCHASE!$R$8:$R$599,$A$4:$A$333,PURCHASE!$E$8:$E$509)</f>
        <v>2600291.4300000002</v>
      </c>
      <c r="F14" s="126">
        <f ca="1">SUMIF(PURCHASE!$R$8:$R$599,$A$4:$A$333,PURCHASE!$K$8:$K$509)</f>
        <v>2034629.6600000001</v>
      </c>
      <c r="G14" s="126">
        <f ca="1">SUMIF(PURCHASE!$R$8:$R$599,$A$4:$A$333,PURCHASE!$L$8:$L$509)</f>
        <v>0</v>
      </c>
      <c r="H14" s="126">
        <f ca="1">SUMIF(PURCHASE!$R$8:$R$599,$A$4:$A$333,PURCHASE!$M$8:$M$509)</f>
        <v>284850.00239999994</v>
      </c>
      <c r="I14" s="126">
        <f ca="1">SUMIF(PURCHASE!$R$8:$R$599,$A$4:$A$333,PURCHASE!$N$8:$N$509)</f>
        <v>284850.00239999994</v>
      </c>
      <c r="J14" s="126">
        <f ca="1">SUMIF(PURCHASE!$R$8:$R$599,$A$4:$A$333,PURCHASE!$O$8:$O$509)</f>
        <v>0</v>
      </c>
    </row>
    <row r="15" spans="1:10" x14ac:dyDescent="0.3">
      <c r="A15" s="5">
        <v>68052090</v>
      </c>
      <c r="B15" s="17" t="s">
        <v>211</v>
      </c>
      <c r="C15" s="126"/>
      <c r="D15" s="126">
        <f ca="1">SUMIF(PURCHASE!$R$8:$R$599,$A$4:$A$333,PURCHASE!$X$8:$X$509)</f>
        <v>2000</v>
      </c>
      <c r="E15" s="126">
        <f ca="1">SUMIF(PURCHASE!$R$8:$R$599,$A$4:$A$333,PURCHASE!$E$8:$E$509)</f>
        <v>27435</v>
      </c>
      <c r="F15" s="126">
        <f ca="1">SUMIF(PURCHASE!$R$8:$R$599,$A$4:$A$333,PURCHASE!$K$8:$K$509)</f>
        <v>23250</v>
      </c>
      <c r="G15" s="126">
        <f ca="1">SUMIF(PURCHASE!$R$8:$R$599,$A$4:$A$333,PURCHASE!$L$8:$L$509)</f>
        <v>0</v>
      </c>
      <c r="H15" s="126">
        <f ca="1">SUMIF(PURCHASE!$R$8:$R$599,$A$4:$A$333,PURCHASE!$M$8:$M$509)</f>
        <v>2092.5</v>
      </c>
      <c r="I15" s="126">
        <f ca="1">SUMIF(PURCHASE!$R$8:$R$599,$A$4:$A$333,PURCHASE!$N$8:$N$509)</f>
        <v>2092.5</v>
      </c>
      <c r="J15" s="126">
        <f ca="1">SUMIF(PURCHASE!$R$8:$R$599,$A$4:$A$333,PURCHASE!$O$8:$O$509)</f>
        <v>0</v>
      </c>
    </row>
    <row r="16" spans="1:10" x14ac:dyDescent="0.3">
      <c r="A16" s="5">
        <v>25202090</v>
      </c>
      <c r="B16" s="17" t="s">
        <v>214</v>
      </c>
      <c r="C16" s="126"/>
      <c r="D16" s="126">
        <f ca="1">SUMIF(PURCHASE!$R$8:$R$599,$A$4:$A$333,PURCHASE!$X$8:$X$509)</f>
        <v>0</v>
      </c>
      <c r="E16" s="126">
        <f ca="1">SUMIF(PURCHASE!$R$8:$R$599,$A$4:$A$333,PURCHASE!$E$8:$E$509)</f>
        <v>0</v>
      </c>
      <c r="F16" s="126">
        <f ca="1">SUMIF(PURCHASE!$R$8:$R$599,$A$4:$A$333,PURCHASE!$K$8:$K$509)</f>
        <v>0</v>
      </c>
      <c r="G16" s="126">
        <f ca="1">SUMIF(PURCHASE!$R$8:$R$599,$A$4:$A$333,PURCHASE!$L$8:$L$509)</f>
        <v>0</v>
      </c>
      <c r="H16" s="126">
        <f ca="1">SUMIF(PURCHASE!$R$8:$R$599,$A$4:$A$333,PURCHASE!$M$8:$M$509)</f>
        <v>0</v>
      </c>
      <c r="I16" s="126">
        <f ca="1">SUMIF(PURCHASE!$R$8:$R$599,$A$4:$A$333,PURCHASE!$N$8:$N$509)</f>
        <v>0</v>
      </c>
      <c r="J16" s="126">
        <f ca="1">SUMIF(PURCHASE!$R$8:$R$599,$A$4:$A$333,PURCHASE!$O$8:$O$509)</f>
        <v>0</v>
      </c>
    </row>
    <row r="17" spans="1:10" x14ac:dyDescent="0.3">
      <c r="A17" s="5">
        <v>3814</v>
      </c>
      <c r="B17" s="17" t="s">
        <v>199</v>
      </c>
      <c r="C17" s="126"/>
      <c r="D17" s="126">
        <f ca="1">SUMIF(PURCHASE!$R$8:$R$599,$A$4:$A$333,PURCHASE!$X$8:$X$509)</f>
        <v>40</v>
      </c>
      <c r="E17" s="126">
        <f ca="1">SUMIF(PURCHASE!$R$8:$R$599,$A$4:$A$333,PURCHASE!$E$8:$E$509)</f>
        <v>5990.3099999999995</v>
      </c>
      <c r="F17" s="126">
        <f ca="1">SUMIF(PURCHASE!$R$8:$R$599,$A$4:$A$333,PURCHASE!$K$8:$K$509)</f>
        <v>4679.91</v>
      </c>
      <c r="G17" s="126">
        <f ca="1">SUMIF(PURCHASE!$R$8:$R$599,$A$4:$A$333,PURCHASE!$L$8:$L$509)</f>
        <v>0</v>
      </c>
      <c r="H17" s="126">
        <f ca="1">SUMIF(PURCHASE!$R$8:$R$599,$A$4:$A$333,PURCHASE!$M$8:$M$509)</f>
        <v>655.1973999999999</v>
      </c>
      <c r="I17" s="126">
        <f ca="1">SUMIF(PURCHASE!$R$8:$R$599,$A$4:$A$333,PURCHASE!$N$8:$N$509)</f>
        <v>655.1973999999999</v>
      </c>
      <c r="J17" s="126">
        <f ca="1">SUMIF(PURCHASE!$R$8:$R$599,$A$4:$A$333,PURCHASE!$O$8:$O$509)</f>
        <v>0</v>
      </c>
    </row>
    <row r="18" spans="1:10" x14ac:dyDescent="0.3">
      <c r="A18" s="5">
        <v>87141090</v>
      </c>
      <c r="B18" s="17" t="s">
        <v>22</v>
      </c>
      <c r="C18" s="126"/>
      <c r="D18" s="126">
        <f ca="1">SUMIF(PURCHASE!$R$8:$R$599,$A$4:$A$333,PURCHASE!$X$8:$X$509)</f>
        <v>16532</v>
      </c>
      <c r="E18" s="126">
        <f ca="1">SUMIF(PURCHASE!$R$8:$R$599,$A$4:$A$333,PURCHASE!$E$8:$E$509)</f>
        <v>717552.42999999993</v>
      </c>
      <c r="F18" s="126">
        <f ca="1">SUMIF(PURCHASE!$R$8:$R$599,$A$4:$A$333,PURCHASE!$K$8:$K$509)</f>
        <v>560587.56999999995</v>
      </c>
      <c r="G18" s="126">
        <f ca="1">SUMIF(PURCHASE!$R$8:$R$599,$A$4:$A$333,PURCHASE!$L$8:$L$509)</f>
        <v>0</v>
      </c>
      <c r="H18" s="126">
        <f ca="1">SUMIF(PURCHASE!$R$8:$R$599,$A$4:$A$333,PURCHASE!$M$8:$M$509)</f>
        <v>78482.429799999984</v>
      </c>
      <c r="I18" s="126">
        <f ca="1">SUMIF(PURCHASE!$R$8:$R$599,$A$4:$A$333,PURCHASE!$N$8:$N$509)</f>
        <v>78482.429799999984</v>
      </c>
      <c r="J18" s="126">
        <f ca="1">SUMIF(PURCHASE!$R$8:$R$599,$A$4:$A$333,PURCHASE!$O$8:$O$509)</f>
        <v>0</v>
      </c>
    </row>
    <row r="19" spans="1:10" x14ac:dyDescent="0.3">
      <c r="A19" s="5">
        <v>96031000</v>
      </c>
      <c r="B19" s="17" t="s">
        <v>220</v>
      </c>
      <c r="C19" s="126"/>
      <c r="D19" s="126">
        <f ca="1">SUMIF(PURCHASE!$R$8:$R$599,$A$4:$A$333,PURCHASE!$X$8:$X$509)</f>
        <v>12</v>
      </c>
      <c r="E19" s="126">
        <f ca="1">SUMIF(PURCHASE!$R$8:$R$599,$A$4:$A$333,PURCHASE!$E$8:$E$509)</f>
        <v>283.2</v>
      </c>
      <c r="F19" s="126">
        <f ca="1">SUMIF(PURCHASE!$R$8:$R$599,$A$4:$A$333,PURCHASE!$K$8:$K$509)</f>
        <v>240</v>
      </c>
      <c r="G19" s="126">
        <f ca="1">SUMIF(PURCHASE!$R$8:$R$599,$A$4:$A$333,PURCHASE!$L$8:$L$509)</f>
        <v>0</v>
      </c>
      <c r="H19" s="126">
        <f ca="1">SUMIF(PURCHASE!$R$8:$R$599,$A$4:$A$333,PURCHASE!$M$8:$M$509)</f>
        <v>21.599999999999998</v>
      </c>
      <c r="I19" s="126">
        <f ca="1">SUMIF(PURCHASE!$R$8:$R$599,$A$4:$A$333,PURCHASE!$N$8:$N$509)</f>
        <v>21.599999999999998</v>
      </c>
      <c r="J19" s="126">
        <f ca="1">SUMIF(PURCHASE!$R$8:$R$599,$A$4:$A$333,PURCHASE!$O$8:$O$509)</f>
        <v>0</v>
      </c>
    </row>
    <row r="20" spans="1:10" x14ac:dyDescent="0.3">
      <c r="A20" s="5">
        <v>59114000</v>
      </c>
      <c r="B20" s="17" t="s">
        <v>221</v>
      </c>
      <c r="C20" s="126"/>
      <c r="D20" s="126">
        <f ca="1">SUMIF(PURCHASE!$R$8:$R$599,$A$4:$A$333,PURCHASE!$X$8:$X$509)</f>
        <v>30</v>
      </c>
      <c r="E20" s="126">
        <f ca="1">SUMIF(PURCHASE!$R$8:$R$599,$A$4:$A$333,PURCHASE!$E$8:$E$509)</f>
        <v>460.20000000000005</v>
      </c>
      <c r="F20" s="126">
        <f ca="1">SUMIF(PURCHASE!$R$8:$R$599,$A$4:$A$333,PURCHASE!$K$8:$K$509)</f>
        <v>390</v>
      </c>
      <c r="G20" s="126">
        <f ca="1">SUMIF(PURCHASE!$R$8:$R$599,$A$4:$A$333,PURCHASE!$L$8:$L$509)</f>
        <v>0</v>
      </c>
      <c r="H20" s="126">
        <f ca="1">SUMIF(PURCHASE!$R$8:$R$599,$A$4:$A$333,PURCHASE!$M$8:$M$509)</f>
        <v>35.1</v>
      </c>
      <c r="I20" s="126">
        <f ca="1">SUMIF(PURCHASE!$R$8:$R$599,$A$4:$A$333,PURCHASE!$N$8:$N$509)</f>
        <v>35.1</v>
      </c>
      <c r="J20" s="126">
        <f ca="1">SUMIF(PURCHASE!$R$8:$R$599,$A$4:$A$333,PURCHASE!$O$8:$O$509)</f>
        <v>0</v>
      </c>
    </row>
    <row r="21" spans="1:10" x14ac:dyDescent="0.3">
      <c r="A21" s="5">
        <v>61169200</v>
      </c>
      <c r="B21" s="17" t="s">
        <v>222</v>
      </c>
      <c r="C21" s="126"/>
      <c r="D21" s="126">
        <f ca="1">SUMIF(PURCHASE!$R$8:$R$599,$A$4:$A$333,PURCHASE!$X$8:$X$509)</f>
        <v>100</v>
      </c>
      <c r="E21" s="126">
        <f ca="1">SUMIF(PURCHASE!$R$8:$R$599,$A$4:$A$333,PURCHASE!$E$8:$E$509)</f>
        <v>1260</v>
      </c>
      <c r="F21" s="126">
        <f ca="1">SUMIF(PURCHASE!$R$8:$R$599,$A$4:$A$333,PURCHASE!$K$8:$K$509)</f>
        <v>1200</v>
      </c>
      <c r="G21" s="126">
        <f ca="1">SUMIF(PURCHASE!$R$8:$R$599,$A$4:$A$333,PURCHASE!$L$8:$L$509)</f>
        <v>0</v>
      </c>
      <c r="H21" s="126">
        <f ca="1">SUMIF(PURCHASE!$R$8:$R$599,$A$4:$A$333,PURCHASE!$M$8:$M$509)</f>
        <v>30</v>
      </c>
      <c r="I21" s="126">
        <f ca="1">SUMIF(PURCHASE!$R$8:$R$599,$A$4:$A$333,PURCHASE!$N$8:$N$509)</f>
        <v>30</v>
      </c>
      <c r="J21" s="126">
        <f ca="1">SUMIF(PURCHASE!$R$8:$R$599,$A$4:$A$333,PURCHASE!$O$8:$O$509)</f>
        <v>0</v>
      </c>
    </row>
    <row r="22" spans="1:10" x14ac:dyDescent="0.3">
      <c r="A22" s="5">
        <v>60060000</v>
      </c>
      <c r="B22" s="17" t="s">
        <v>223</v>
      </c>
      <c r="C22" s="126"/>
      <c r="D22" s="126">
        <f ca="1">SUMIF(PURCHASE!$R$8:$R$599,$A$4:$A$333,PURCHASE!$X$8:$X$509)</f>
        <v>110</v>
      </c>
      <c r="E22" s="126">
        <f ca="1">SUMIF(PURCHASE!$R$8:$R$599,$A$4:$A$333,PURCHASE!$E$8:$E$509)</f>
        <v>3811.0200000000004</v>
      </c>
      <c r="F22" s="126">
        <f ca="1">SUMIF(PURCHASE!$R$8:$R$599,$A$4:$A$333,PURCHASE!$K$8:$K$509)</f>
        <v>3630</v>
      </c>
      <c r="G22" s="126">
        <f ca="1">SUMIF(PURCHASE!$R$8:$R$599,$A$4:$A$333,PURCHASE!$L$8:$L$509)</f>
        <v>0</v>
      </c>
      <c r="H22" s="126">
        <f ca="1">SUMIF(PURCHASE!$R$8:$R$599,$A$4:$A$333,PURCHASE!$M$8:$M$509)</f>
        <v>90.75</v>
      </c>
      <c r="I22" s="126">
        <f ca="1">SUMIF(PURCHASE!$R$8:$R$599,$A$4:$A$333,PURCHASE!$N$8:$N$509)</f>
        <v>90.75</v>
      </c>
      <c r="J22" s="126">
        <f ca="1">SUMIF(PURCHASE!$R$8:$R$599,$A$4:$A$333,PURCHASE!$O$8:$O$509)</f>
        <v>0</v>
      </c>
    </row>
    <row r="23" spans="1:10" x14ac:dyDescent="0.3">
      <c r="A23" s="5">
        <v>5407</v>
      </c>
      <c r="B23" s="17" t="s">
        <v>225</v>
      </c>
      <c r="C23" s="126"/>
      <c r="D23" s="126">
        <f ca="1">SUMIF(PURCHASE!$R$8:$R$599,$A$4:$A$333,PURCHASE!$X$8:$X$509)</f>
        <v>149</v>
      </c>
      <c r="E23" s="126">
        <f ca="1">SUMIF(PURCHASE!$R$8:$R$599,$A$4:$A$333,PURCHASE!$E$8:$E$509)</f>
        <v>42242</v>
      </c>
      <c r="F23" s="126">
        <f ca="1">SUMIF(PURCHASE!$R$8:$R$599,$A$4:$A$333,PURCHASE!$K$8:$K$509)</f>
        <v>40230</v>
      </c>
      <c r="G23" s="126">
        <f ca="1">SUMIF(PURCHASE!$R$8:$R$599,$A$4:$A$333,PURCHASE!$L$8:$L$509)</f>
        <v>0</v>
      </c>
      <c r="H23" s="126">
        <f ca="1">SUMIF(PURCHASE!$R$8:$R$599,$A$4:$A$333,PURCHASE!$M$8:$M$509)</f>
        <v>1005.75</v>
      </c>
      <c r="I23" s="126">
        <f ca="1">SUMIF(PURCHASE!$R$8:$R$599,$A$4:$A$333,PURCHASE!$N$8:$N$509)</f>
        <v>1005.75</v>
      </c>
      <c r="J23" s="126">
        <f ca="1">SUMIF(PURCHASE!$R$8:$R$599,$A$4:$A$333,PURCHASE!$O$8:$O$509)</f>
        <v>0</v>
      </c>
    </row>
    <row r="24" spans="1:10" x14ac:dyDescent="0.3">
      <c r="A24" s="5">
        <v>96082000</v>
      </c>
      <c r="B24" s="17" t="s">
        <v>226</v>
      </c>
      <c r="C24" s="5"/>
      <c r="D24" s="126">
        <f ca="1">SUMIF(PURCHASE!$R$8:$R$599,$A$4:$A$333,PURCHASE!$X$8:$X$509)</f>
        <v>0</v>
      </c>
      <c r="E24" s="126">
        <f ca="1">SUMIF(PURCHASE!$R$8:$R$599,$A$4:$A$333,PURCHASE!$E$8:$E$509)</f>
        <v>0</v>
      </c>
      <c r="F24" s="126">
        <f ca="1">SUMIF(PURCHASE!$R$8:$R$599,$A$4:$A$333,PURCHASE!$K$8:$K$509)</f>
        <v>0</v>
      </c>
      <c r="G24" s="126">
        <f ca="1">SUMIF(PURCHASE!$R$8:$R$599,$A$4:$A$333,PURCHASE!$L$8:$L$509)</f>
        <v>0</v>
      </c>
      <c r="H24" s="126">
        <f ca="1">SUMIF(PURCHASE!$R$8:$R$599,$A$4:$A$333,PURCHASE!$M$8:$M$509)</f>
        <v>0</v>
      </c>
      <c r="I24" s="126">
        <f ca="1">SUMIF(PURCHASE!$R$8:$R$599,$A$4:$A$333,PURCHASE!$N$8:$N$509)</f>
        <v>0</v>
      </c>
      <c r="J24" s="126">
        <f ca="1">SUMIF(PURCHASE!$R$8:$R$599,$A$4:$A$333,PURCHASE!$O$8:$O$509)</f>
        <v>0</v>
      </c>
    </row>
    <row r="25" spans="1:10" x14ac:dyDescent="0.3">
      <c r="A25" s="5">
        <v>40151900</v>
      </c>
      <c r="B25" s="17" t="s">
        <v>227</v>
      </c>
      <c r="C25" s="5"/>
      <c r="D25" s="126">
        <f ca="1">SUMIF(PURCHASE!$R$8:$R$599,$A$4:$A$333,PURCHASE!$X$8:$X$509)</f>
        <v>0</v>
      </c>
      <c r="E25" s="126">
        <f ca="1">SUMIF(PURCHASE!$R$8:$R$599,$A$4:$A$333,PURCHASE!$E$8:$E$509)</f>
        <v>0</v>
      </c>
      <c r="F25" s="126">
        <f ca="1">SUMIF(PURCHASE!$R$8:$R$599,$A$4:$A$333,PURCHASE!$K$8:$K$509)</f>
        <v>0</v>
      </c>
      <c r="G25" s="126">
        <f ca="1">SUMIF(PURCHASE!$R$8:$R$599,$A$4:$A$333,PURCHASE!$L$8:$L$509)</f>
        <v>0</v>
      </c>
      <c r="H25" s="126">
        <f ca="1">SUMIF(PURCHASE!$R$8:$R$599,$A$4:$A$333,PURCHASE!$M$8:$M$509)</f>
        <v>0</v>
      </c>
      <c r="I25" s="126">
        <f ca="1">SUMIF(PURCHASE!$R$8:$R$599,$A$4:$A$333,PURCHASE!$N$8:$N$509)</f>
        <v>0</v>
      </c>
      <c r="J25" s="126">
        <f ca="1">SUMIF(PURCHASE!$R$8:$R$599,$A$4:$A$333,PURCHASE!$O$8:$O$509)</f>
        <v>0</v>
      </c>
    </row>
    <row r="26" spans="1:10" x14ac:dyDescent="0.3">
      <c r="A26" s="5">
        <v>40159030</v>
      </c>
      <c r="B26" s="17" t="s">
        <v>228</v>
      </c>
      <c r="C26" s="5"/>
      <c r="D26" s="126">
        <f ca="1">SUMIF(PURCHASE!$R$8:$R$599,$A$4:$A$333,PURCHASE!$X$8:$X$509)</f>
        <v>0</v>
      </c>
      <c r="E26" s="126">
        <f ca="1">SUMIF(PURCHASE!$R$8:$R$599,$A$4:$A$333,PURCHASE!$E$8:$E$509)</f>
        <v>0</v>
      </c>
      <c r="F26" s="126">
        <f ca="1">SUMIF(PURCHASE!$R$8:$R$599,$A$4:$A$333,PURCHASE!$K$8:$K$509)</f>
        <v>0</v>
      </c>
      <c r="G26" s="126">
        <f ca="1">SUMIF(PURCHASE!$R$8:$R$599,$A$4:$A$333,PURCHASE!$L$8:$L$509)</f>
        <v>0</v>
      </c>
      <c r="H26" s="126">
        <f ca="1">SUMIF(PURCHASE!$R$8:$R$599,$A$4:$A$333,PURCHASE!$M$8:$M$509)</f>
        <v>0</v>
      </c>
      <c r="I26" s="126">
        <f ca="1">SUMIF(PURCHASE!$R$8:$R$599,$A$4:$A$333,PURCHASE!$N$8:$N$509)</f>
        <v>0</v>
      </c>
      <c r="J26" s="126">
        <f ca="1">SUMIF(PURCHASE!$R$8:$R$599,$A$4:$A$333,PURCHASE!$O$8:$O$509)</f>
        <v>0</v>
      </c>
    </row>
    <row r="27" spans="1:10" x14ac:dyDescent="0.3">
      <c r="A27" s="5">
        <v>85061000</v>
      </c>
      <c r="B27" s="17" t="s">
        <v>229</v>
      </c>
      <c r="C27" s="5"/>
      <c r="D27" s="126">
        <f ca="1">SUMIF(PURCHASE!$R$8:$R$599,$A$4:$A$333,PURCHASE!$X$8:$X$509)</f>
        <v>0</v>
      </c>
      <c r="E27" s="126">
        <f ca="1">SUMIF(PURCHASE!$R$8:$R$599,$A$4:$A$333,PURCHASE!$E$8:$E$509)</f>
        <v>0</v>
      </c>
      <c r="F27" s="126">
        <f ca="1">SUMIF(PURCHASE!$R$8:$R$599,$A$4:$A$333,PURCHASE!$K$8:$K$509)</f>
        <v>0</v>
      </c>
      <c r="G27" s="126">
        <f ca="1">SUMIF(PURCHASE!$R$8:$R$599,$A$4:$A$333,PURCHASE!$L$8:$L$509)</f>
        <v>0</v>
      </c>
      <c r="H27" s="126">
        <f ca="1">SUMIF(PURCHASE!$R$8:$R$599,$A$4:$A$333,PURCHASE!$M$8:$M$509)</f>
        <v>0</v>
      </c>
      <c r="I27" s="126">
        <f ca="1">SUMIF(PURCHASE!$R$8:$R$599,$A$4:$A$333,PURCHASE!$N$8:$N$509)</f>
        <v>0</v>
      </c>
      <c r="J27" s="126">
        <f ca="1">SUMIF(PURCHASE!$R$8:$R$599,$A$4:$A$333,PURCHASE!$O$8:$O$509)</f>
        <v>0</v>
      </c>
    </row>
    <row r="28" spans="1:10" x14ac:dyDescent="0.3">
      <c r="A28" s="5">
        <v>38089199</v>
      </c>
      <c r="B28" s="17" t="s">
        <v>230</v>
      </c>
      <c r="C28" s="5"/>
      <c r="D28" s="126">
        <f ca="1">SUMIF(PURCHASE!$R$8:$R$599,$A$4:$A$333,PURCHASE!$X$8:$X$509)</f>
        <v>0</v>
      </c>
      <c r="E28" s="126">
        <f ca="1">SUMIF(PURCHASE!$R$8:$R$599,$A$4:$A$333,PURCHASE!$E$8:$E$509)</f>
        <v>0</v>
      </c>
      <c r="F28" s="126">
        <f ca="1">SUMIF(PURCHASE!$R$8:$R$599,$A$4:$A$333,PURCHASE!$K$8:$K$509)</f>
        <v>0</v>
      </c>
      <c r="G28" s="126">
        <f ca="1">SUMIF(PURCHASE!$R$8:$R$599,$A$4:$A$333,PURCHASE!$L$8:$L$509)</f>
        <v>0</v>
      </c>
      <c r="H28" s="126">
        <f ca="1">SUMIF(PURCHASE!$R$8:$R$599,$A$4:$A$333,PURCHASE!$M$8:$M$509)</f>
        <v>0</v>
      </c>
      <c r="I28" s="126">
        <f ca="1">SUMIF(PURCHASE!$R$8:$R$599,$A$4:$A$333,PURCHASE!$N$8:$N$509)</f>
        <v>0</v>
      </c>
      <c r="J28" s="126">
        <f ca="1">SUMIF(PURCHASE!$R$8:$R$599,$A$4:$A$333,PURCHASE!$O$8:$O$509)</f>
        <v>0</v>
      </c>
    </row>
    <row r="29" spans="1:10" x14ac:dyDescent="0.3">
      <c r="A29" s="5">
        <v>68053050</v>
      </c>
      <c r="B29" s="17" t="s">
        <v>231</v>
      </c>
      <c r="C29" s="5"/>
      <c r="D29" s="126">
        <f ca="1">SUMIF(PURCHASE!$R$8:$R$599,$A$4:$A$333,PURCHASE!$X$8:$X$509)</f>
        <v>105</v>
      </c>
      <c r="E29" s="126">
        <f ca="1">SUMIF(PURCHASE!$R$8:$R$599,$A$4:$A$333,PURCHASE!$E$8:$E$509)</f>
        <v>3097.5</v>
      </c>
      <c r="F29" s="126">
        <f ca="1">SUMIF(PURCHASE!$R$8:$R$599,$A$4:$A$333,PURCHASE!$K$8:$K$509)</f>
        <v>2625</v>
      </c>
      <c r="G29" s="126">
        <f ca="1">SUMIF(PURCHASE!$R$8:$R$599,$A$4:$A$333,PURCHASE!$L$8:$L$509)</f>
        <v>0</v>
      </c>
      <c r="H29" s="126">
        <f ca="1">SUMIF(PURCHASE!$R$8:$R$599,$A$4:$A$333,PURCHASE!$M$8:$M$509)</f>
        <v>236.25</v>
      </c>
      <c r="I29" s="126">
        <f ca="1">SUMIF(PURCHASE!$R$8:$R$599,$A$4:$A$333,PURCHASE!$N$8:$N$509)</f>
        <v>236.25</v>
      </c>
      <c r="J29" s="126">
        <f ca="1">SUMIF(PURCHASE!$R$8:$R$599,$A$4:$A$333,PURCHASE!$O$8:$O$509)</f>
        <v>0</v>
      </c>
    </row>
    <row r="30" spans="1:10" x14ac:dyDescent="0.3">
      <c r="A30" s="5">
        <v>28530010</v>
      </c>
      <c r="B30" s="17" t="s">
        <v>232</v>
      </c>
      <c r="C30" s="5"/>
      <c r="D30" s="126">
        <f ca="1">SUMIF(PURCHASE!$R$8:$R$599,$A$4:$A$333,PURCHASE!$X$8:$X$509)</f>
        <v>0</v>
      </c>
      <c r="E30" s="126">
        <f ca="1">SUMIF(PURCHASE!$R$8:$R$599,$A$4:$A$333,PURCHASE!$E$8:$E$509)</f>
        <v>0</v>
      </c>
      <c r="F30" s="126">
        <f ca="1">SUMIF(PURCHASE!$R$8:$R$599,$A$4:$A$333,PURCHASE!$K$8:$K$509)</f>
        <v>0</v>
      </c>
      <c r="G30" s="126">
        <f ca="1">SUMIF(PURCHASE!$R$8:$R$599,$A$4:$A$333,PURCHASE!$L$8:$L$509)</f>
        <v>0</v>
      </c>
      <c r="H30" s="126">
        <f ca="1">SUMIF(PURCHASE!$R$8:$R$599,$A$4:$A$333,PURCHASE!$M$8:$M$509)</f>
        <v>0</v>
      </c>
      <c r="I30" s="126">
        <f ca="1">SUMIF(PURCHASE!$R$8:$R$599,$A$4:$A$333,PURCHASE!$N$8:$N$509)</f>
        <v>0</v>
      </c>
      <c r="J30" s="126">
        <f ca="1">SUMIF(PURCHASE!$R$8:$R$599,$A$4:$A$333,PURCHASE!$O$8:$O$509)</f>
        <v>0</v>
      </c>
    </row>
    <row r="31" spans="1:10" x14ac:dyDescent="0.3">
      <c r="A31" s="5">
        <v>82055990</v>
      </c>
      <c r="B31" s="17" t="s">
        <v>233</v>
      </c>
      <c r="C31" s="5"/>
      <c r="D31" s="126">
        <f ca="1">SUMIF(PURCHASE!$R$8:$R$599,$A$4:$A$333,PURCHASE!$X$8:$X$509)</f>
        <v>0</v>
      </c>
      <c r="E31" s="126">
        <f ca="1">SUMIF(PURCHASE!$R$8:$R$599,$A$4:$A$333,PURCHASE!$E$8:$E$509)</f>
        <v>0</v>
      </c>
      <c r="F31" s="126">
        <f ca="1">SUMIF(PURCHASE!$R$8:$R$599,$A$4:$A$333,PURCHASE!$K$8:$K$509)</f>
        <v>0</v>
      </c>
      <c r="G31" s="126">
        <f ca="1">SUMIF(PURCHASE!$R$8:$R$599,$A$4:$A$333,PURCHASE!$L$8:$L$509)</f>
        <v>0</v>
      </c>
      <c r="H31" s="126">
        <f ca="1">SUMIF(PURCHASE!$R$8:$R$599,$A$4:$A$333,PURCHASE!$M$8:$M$509)</f>
        <v>0</v>
      </c>
      <c r="I31" s="126">
        <f ca="1">SUMIF(PURCHASE!$R$8:$R$599,$A$4:$A$333,PURCHASE!$N$8:$N$509)</f>
        <v>0</v>
      </c>
      <c r="J31" s="126">
        <f ca="1">SUMIF(PURCHASE!$R$8:$R$599,$A$4:$A$333,PURCHASE!$O$8:$O$509)</f>
        <v>0</v>
      </c>
    </row>
    <row r="32" spans="1:10" x14ac:dyDescent="0.3">
      <c r="A32" s="5">
        <v>39232100</v>
      </c>
      <c r="B32" s="17" t="s">
        <v>194</v>
      </c>
      <c r="C32" s="5"/>
      <c r="D32" s="126">
        <f ca="1">SUMIF(PURCHASE!$R$8:$R$599,$A$4:$A$333,PURCHASE!$X$8:$X$509)</f>
        <v>0</v>
      </c>
      <c r="E32" s="126">
        <f ca="1">SUMIF(PURCHASE!$R$8:$R$599,$A$4:$A$333,PURCHASE!$E$8:$E$509)</f>
        <v>0</v>
      </c>
      <c r="F32" s="126">
        <f ca="1">SUMIF(PURCHASE!$R$8:$R$599,$A$4:$A$333,PURCHASE!$K$8:$K$509)</f>
        <v>0</v>
      </c>
      <c r="G32" s="126">
        <f ca="1">SUMIF(PURCHASE!$R$8:$R$599,$A$4:$A$333,PURCHASE!$L$8:$L$509)</f>
        <v>0</v>
      </c>
      <c r="H32" s="126">
        <f ca="1">SUMIF(PURCHASE!$R$8:$R$599,$A$4:$A$333,PURCHASE!$M$8:$M$509)</f>
        <v>0</v>
      </c>
      <c r="I32" s="126">
        <f ca="1">SUMIF(PURCHASE!$R$8:$R$599,$A$4:$A$333,PURCHASE!$N$8:$N$509)</f>
        <v>0</v>
      </c>
      <c r="J32" s="126">
        <f ca="1">SUMIF(PURCHASE!$R$8:$R$599,$A$4:$A$333,PURCHASE!$O$8:$O$509)</f>
        <v>0</v>
      </c>
    </row>
    <row r="33" spans="1:10" x14ac:dyDescent="0.3">
      <c r="A33" s="5">
        <v>48114100</v>
      </c>
      <c r="B33" s="17" t="s">
        <v>194</v>
      </c>
      <c r="C33" s="5"/>
      <c r="D33" s="126">
        <f ca="1">SUMIF(PURCHASE!$R$8:$R$599,$A$4:$A$333,PURCHASE!$X$8:$X$509)</f>
        <v>164</v>
      </c>
      <c r="E33" s="126">
        <f ca="1">SUMIF(PURCHASE!$R$8:$R$599,$A$4:$A$333,PURCHASE!$E$8:$E$509)</f>
        <v>12371.12</v>
      </c>
      <c r="F33" s="126">
        <f ca="1">SUMIF(PURCHASE!$R$8:$R$599,$A$4:$A$333,PURCHASE!$K$8:$K$509)</f>
        <v>10484</v>
      </c>
      <c r="G33" s="126">
        <f ca="1">SUMIF(PURCHASE!$R$8:$R$599,$A$4:$A$333,PURCHASE!$L$8:$L$509)</f>
        <v>0</v>
      </c>
      <c r="H33" s="126">
        <f ca="1">SUMIF(PURCHASE!$R$8:$R$599,$A$4:$A$333,PURCHASE!$M$8:$M$509)</f>
        <v>943.56000000000006</v>
      </c>
      <c r="I33" s="126">
        <f ca="1">SUMIF(PURCHASE!$R$8:$R$599,$A$4:$A$333,PURCHASE!$N$8:$N$509)</f>
        <v>943.56000000000006</v>
      </c>
      <c r="J33" s="126">
        <f ca="1">SUMIF(PURCHASE!$R$8:$R$599,$A$4:$A$333,PURCHASE!$O$8:$O$509)</f>
        <v>0</v>
      </c>
    </row>
    <row r="34" spans="1:10" x14ac:dyDescent="0.3">
      <c r="A34" s="5">
        <v>39199099</v>
      </c>
      <c r="B34" s="17" t="s">
        <v>236</v>
      </c>
      <c r="C34" s="5"/>
      <c r="D34" s="126">
        <f ca="1">SUMIF(PURCHASE!$R$8:$R$599,$A$4:$A$333,PURCHASE!$X$8:$X$509)</f>
        <v>0</v>
      </c>
      <c r="E34" s="126">
        <f ca="1">SUMIF(PURCHASE!$R$8:$R$599,$A$4:$A$333,PURCHASE!$E$8:$E$509)</f>
        <v>0</v>
      </c>
      <c r="F34" s="126">
        <f ca="1">SUMIF(PURCHASE!$R$8:$R$599,$A$4:$A$333,PURCHASE!$K$8:$K$509)</f>
        <v>0</v>
      </c>
      <c r="G34" s="126">
        <f ca="1">SUMIF(PURCHASE!$R$8:$R$599,$A$4:$A$333,PURCHASE!$L$8:$L$509)</f>
        <v>0</v>
      </c>
      <c r="H34" s="126">
        <f ca="1">SUMIF(PURCHASE!$R$8:$R$599,$A$4:$A$333,PURCHASE!$M$8:$M$509)</f>
        <v>0</v>
      </c>
      <c r="I34" s="126">
        <f ca="1">SUMIF(PURCHASE!$R$8:$R$599,$A$4:$A$333,PURCHASE!$N$8:$N$509)</f>
        <v>0</v>
      </c>
      <c r="J34" s="126">
        <f ca="1">SUMIF(PURCHASE!$R$8:$R$599,$A$4:$A$333,PURCHASE!$O$8:$O$509)</f>
        <v>0</v>
      </c>
    </row>
    <row r="35" spans="1:10" x14ac:dyDescent="0.3">
      <c r="A35" s="5">
        <v>84411090</v>
      </c>
      <c r="B35" s="17" t="s">
        <v>237</v>
      </c>
      <c r="C35" s="5"/>
      <c r="D35" s="126">
        <f ca="1">SUMIF(PURCHASE!$R$8:$R$599,$A$4:$A$333,PURCHASE!$X$8:$X$509)</f>
        <v>0</v>
      </c>
      <c r="E35" s="126">
        <f ca="1">SUMIF(PURCHASE!$R$8:$R$599,$A$4:$A$333,PURCHASE!$E$8:$E$509)</f>
        <v>0</v>
      </c>
      <c r="F35" s="126">
        <f ca="1">SUMIF(PURCHASE!$R$8:$R$599,$A$4:$A$333,PURCHASE!$K$8:$K$509)</f>
        <v>0</v>
      </c>
      <c r="G35" s="126">
        <f ca="1">SUMIF(PURCHASE!$R$8:$R$599,$A$4:$A$333,PURCHASE!$L$8:$L$509)</f>
        <v>0</v>
      </c>
      <c r="H35" s="126">
        <f ca="1">SUMIF(PURCHASE!$R$8:$R$599,$A$4:$A$333,PURCHASE!$M$8:$M$509)</f>
        <v>0</v>
      </c>
      <c r="I35" s="126">
        <f ca="1">SUMIF(PURCHASE!$R$8:$R$599,$A$4:$A$333,PURCHASE!$N$8:$N$509)</f>
        <v>0</v>
      </c>
      <c r="J35" s="126">
        <f ca="1">SUMIF(PURCHASE!$R$8:$R$599,$A$4:$A$333,PURCHASE!$O$8:$O$509)</f>
        <v>0</v>
      </c>
    </row>
    <row r="36" spans="1:10" x14ac:dyDescent="0.3">
      <c r="A36" s="5">
        <v>84701000</v>
      </c>
      <c r="B36" s="17" t="s">
        <v>238</v>
      </c>
      <c r="C36" s="5"/>
      <c r="D36" s="126">
        <f ca="1">SUMIF(PURCHASE!$R$8:$R$599,$A$4:$A$333,PURCHASE!$X$8:$X$509)</f>
        <v>2</v>
      </c>
      <c r="E36" s="126">
        <f ca="1">SUMIF(PURCHASE!$R$8:$R$599,$A$4:$A$333,PURCHASE!$E$8:$E$509)</f>
        <v>1072.6199999999999</v>
      </c>
      <c r="F36" s="126">
        <f ca="1">SUMIF(PURCHASE!$R$8:$R$599,$A$4:$A$333,PURCHASE!$K$8:$K$509)</f>
        <v>909</v>
      </c>
      <c r="G36" s="126">
        <f ca="1">SUMIF(PURCHASE!$R$8:$R$599,$A$4:$A$333,PURCHASE!$L$8:$L$509)</f>
        <v>0</v>
      </c>
      <c r="H36" s="126">
        <f ca="1">SUMIF(PURCHASE!$R$8:$R$599,$A$4:$A$333,PURCHASE!$M$8:$M$509)</f>
        <v>81.81</v>
      </c>
      <c r="I36" s="126">
        <f ca="1">SUMIF(PURCHASE!$R$8:$R$599,$A$4:$A$333,PURCHASE!$N$8:$N$509)</f>
        <v>81.81</v>
      </c>
      <c r="J36" s="126">
        <f ca="1">SUMIF(PURCHASE!$R$8:$R$599,$A$4:$A$333,PURCHASE!$O$8:$O$509)</f>
        <v>0</v>
      </c>
    </row>
    <row r="37" spans="1:10" x14ac:dyDescent="0.3">
      <c r="A37" s="5">
        <v>29023000</v>
      </c>
      <c r="B37" s="17" t="s">
        <v>243</v>
      </c>
      <c r="C37" s="5"/>
      <c r="D37" s="126">
        <f ca="1">SUMIF(PURCHASE!$R$8:$R$599,$A$4:$A$333,PURCHASE!$X$8:$X$509)</f>
        <v>660</v>
      </c>
      <c r="E37" s="126">
        <f ca="1">SUMIF(PURCHASE!$R$8:$R$599,$A$4:$A$333,PURCHASE!$E$8:$E$509)</f>
        <v>49064.800000000003</v>
      </c>
      <c r="F37" s="126">
        <f ca="1">SUMIF(PURCHASE!$R$8:$R$599,$A$4:$A$333,PURCHASE!$K$8:$K$509)</f>
        <v>41580</v>
      </c>
      <c r="G37" s="126">
        <f ca="1">SUMIF(PURCHASE!$R$8:$R$599,$A$4:$A$333,PURCHASE!$L$8:$L$509)</f>
        <v>0</v>
      </c>
      <c r="H37" s="126">
        <f ca="1">SUMIF(PURCHASE!$R$8:$R$599,$A$4:$A$333,PURCHASE!$M$8:$M$509)</f>
        <v>3742.4</v>
      </c>
      <c r="I37" s="126">
        <f ca="1">SUMIF(PURCHASE!$R$8:$R$599,$A$4:$A$333,PURCHASE!$N$8:$N$509)</f>
        <v>3742.4</v>
      </c>
      <c r="J37" s="126">
        <f ca="1">SUMIF(PURCHASE!$R$8:$R$599,$A$4:$A$333,PURCHASE!$O$8:$O$509)</f>
        <v>0</v>
      </c>
    </row>
    <row r="38" spans="1:10" x14ac:dyDescent="0.3">
      <c r="A38" s="5">
        <v>29051220</v>
      </c>
      <c r="B38" s="17" t="s">
        <v>244</v>
      </c>
      <c r="C38" s="5"/>
      <c r="D38" s="126">
        <f ca="1">SUMIF(PURCHASE!$R$8:$R$599,$A$4:$A$333,PURCHASE!$X$8:$X$509)</f>
        <v>660</v>
      </c>
      <c r="E38" s="126">
        <f ca="1">SUMIF(PURCHASE!$R$8:$R$599,$A$4:$A$333,PURCHASE!$E$8:$E$509)</f>
        <v>47506.86</v>
      </c>
      <c r="F38" s="126">
        <f ca="1">SUMIF(PURCHASE!$R$8:$R$599,$A$4:$A$333,PURCHASE!$K$8:$K$509)</f>
        <v>40260</v>
      </c>
      <c r="G38" s="126">
        <f ca="1">SUMIF(PURCHASE!$R$8:$R$599,$A$4:$A$333,PURCHASE!$L$8:$L$509)</f>
        <v>0</v>
      </c>
      <c r="H38" s="126">
        <f ca="1">SUMIF(PURCHASE!$R$8:$R$599,$A$4:$A$333,PURCHASE!$M$8:$M$509)</f>
        <v>3623.3999999999996</v>
      </c>
      <c r="I38" s="126">
        <f ca="1">SUMIF(PURCHASE!$R$8:$R$599,$A$4:$A$333,PURCHASE!$N$8:$N$509)</f>
        <v>3623.3999999999996</v>
      </c>
      <c r="J38" s="126">
        <f ca="1">SUMIF(PURCHASE!$R$8:$R$599,$A$4:$A$333,PURCHASE!$O$8:$O$509)</f>
        <v>0</v>
      </c>
    </row>
    <row r="39" spans="1:10" x14ac:dyDescent="0.3">
      <c r="A39" s="5">
        <v>63079090</v>
      </c>
      <c r="B39" s="17" t="s">
        <v>247</v>
      </c>
      <c r="C39" s="5"/>
      <c r="D39" s="126">
        <f ca="1">SUMIF(PURCHASE!$R$8:$R$599,$A$4:$A$333,PURCHASE!$X$8:$X$509)</f>
        <v>150</v>
      </c>
      <c r="E39" s="126">
        <f ca="1">SUMIF(PURCHASE!$R$8:$R$599,$A$4:$A$333,PURCHASE!$E$8:$E$509)</f>
        <v>1302</v>
      </c>
      <c r="F39" s="126">
        <f ca="1">SUMIF(PURCHASE!$R$8:$R$599,$A$4:$A$333,PURCHASE!$K$8:$K$509)</f>
        <v>1162.5</v>
      </c>
      <c r="G39" s="126">
        <f ca="1">SUMIF(PURCHASE!$R$8:$R$599,$A$4:$A$333,PURCHASE!$L$8:$L$509)</f>
        <v>0</v>
      </c>
      <c r="H39" s="126">
        <f ca="1">SUMIF(PURCHASE!$R$8:$R$599,$A$4:$A$333,PURCHASE!$M$8:$M$509)</f>
        <v>69.75</v>
      </c>
      <c r="I39" s="126">
        <f ca="1">SUMIF(PURCHASE!$R$8:$R$599,$A$4:$A$333,PURCHASE!$N$8:$N$509)</f>
        <v>69.75</v>
      </c>
      <c r="J39" s="126">
        <f ca="1">SUMIF(PURCHASE!$R$8:$R$599,$A$4:$A$333,PURCHASE!$O$8:$O$509)</f>
        <v>0</v>
      </c>
    </row>
    <row r="40" spans="1:10" x14ac:dyDescent="0.3">
      <c r="A40" s="5">
        <v>29029090</v>
      </c>
      <c r="B40" s="17" t="s">
        <v>248</v>
      </c>
      <c r="C40" s="5"/>
      <c r="D40" s="126">
        <f ca="1">SUMIF(PURCHASE!$R$8:$R$599,$A$4:$A$333,PURCHASE!$X$8:$X$509)</f>
        <v>0</v>
      </c>
      <c r="E40" s="126">
        <f ca="1">SUMIF(PURCHASE!$R$8:$R$599,$A$4:$A$333,PURCHASE!$E$8:$E$509)</f>
        <v>0</v>
      </c>
      <c r="F40" s="126">
        <f ca="1">SUMIF(PURCHASE!$R$8:$R$599,$A$4:$A$333,PURCHASE!$K$8:$K$509)</f>
        <v>0</v>
      </c>
      <c r="G40" s="126">
        <f ca="1">SUMIF(PURCHASE!$R$8:$R$599,$A$4:$A$333,PURCHASE!$L$8:$L$509)</f>
        <v>0</v>
      </c>
      <c r="H40" s="126">
        <f ca="1">SUMIF(PURCHASE!$R$8:$R$599,$A$4:$A$333,PURCHASE!$M$8:$M$509)</f>
        <v>0</v>
      </c>
      <c r="I40" s="126">
        <f ca="1">SUMIF(PURCHASE!$R$8:$R$599,$A$4:$A$333,PURCHASE!$N$8:$N$509)</f>
        <v>0</v>
      </c>
      <c r="J40" s="126">
        <f ca="1">SUMIF(PURCHASE!$R$8:$R$599,$A$4:$A$333,PURCHASE!$O$8:$O$509)</f>
        <v>0</v>
      </c>
    </row>
    <row r="41" spans="1:10" x14ac:dyDescent="0.3">
      <c r="A41" s="5">
        <v>25232910</v>
      </c>
      <c r="B41" s="17" t="s">
        <v>249</v>
      </c>
      <c r="C41" s="5"/>
      <c r="D41" s="126">
        <f ca="1">SUMIF(PURCHASE!$R$8:$R$599,$A$4:$A$333,PURCHASE!$X$8:$X$509)</f>
        <v>15</v>
      </c>
      <c r="E41" s="126">
        <f ca="1">SUMIF(PURCHASE!$R$8:$R$599,$A$4:$A$333,PURCHASE!$E$8:$E$509)</f>
        <v>4800</v>
      </c>
      <c r="F41" s="126">
        <f ca="1">SUMIF(PURCHASE!$R$8:$R$599,$A$4:$A$333,PURCHASE!$K$8:$K$509)</f>
        <v>3750</v>
      </c>
      <c r="G41" s="126">
        <f ca="1">SUMIF(PURCHASE!$R$8:$R$599,$A$4:$A$333,PURCHASE!$L$8:$L$509)</f>
        <v>0</v>
      </c>
      <c r="H41" s="126">
        <f ca="1">SUMIF(PURCHASE!$R$8:$R$599,$A$4:$A$333,PURCHASE!$M$8:$M$509)</f>
        <v>525</v>
      </c>
      <c r="I41" s="126">
        <f ca="1">SUMIF(PURCHASE!$R$8:$R$599,$A$4:$A$333,PURCHASE!$N$8:$N$509)</f>
        <v>525</v>
      </c>
      <c r="J41" s="126">
        <f ca="1">SUMIF(PURCHASE!$R$8:$R$599,$A$4:$A$333,PURCHASE!$O$8:$O$509)</f>
        <v>0</v>
      </c>
    </row>
    <row r="42" spans="1:10" x14ac:dyDescent="0.3">
      <c r="A42" s="5">
        <v>14976</v>
      </c>
      <c r="B42" s="17" t="s">
        <v>199</v>
      </c>
      <c r="C42" s="5"/>
      <c r="D42" s="126">
        <f ca="1">SUMIF(PURCHASE!$R$8:$R$599,$A$4:$A$333,PURCHASE!$X$8:$X$509)</f>
        <v>0</v>
      </c>
      <c r="E42" s="126">
        <f ca="1">SUMIF(PURCHASE!$R$8:$R$599,$A$4:$A$333,PURCHASE!$E$8:$E$509)</f>
        <v>0</v>
      </c>
      <c r="F42" s="126">
        <f ca="1">SUMIF(PURCHASE!$R$8:$R$599,$A$4:$A$333,PURCHASE!$K$8:$K$509)</f>
        <v>0</v>
      </c>
      <c r="G42" s="126">
        <f ca="1">SUMIF(PURCHASE!$R$8:$R$599,$A$4:$A$333,PURCHASE!$L$8:$L$509)</f>
        <v>0</v>
      </c>
      <c r="H42" s="126">
        <f ca="1">SUMIF(PURCHASE!$R$8:$R$599,$A$4:$A$333,PURCHASE!$M$8:$M$509)</f>
        <v>0</v>
      </c>
      <c r="I42" s="126">
        <f ca="1">SUMIF(PURCHASE!$R$8:$R$599,$A$4:$A$333,PURCHASE!$N$8:$N$509)</f>
        <v>0</v>
      </c>
      <c r="J42" s="126">
        <f ca="1">SUMIF(PURCHASE!$R$8:$R$599,$A$4:$A$333,PURCHASE!$O$8:$O$509)</f>
        <v>0</v>
      </c>
    </row>
    <row r="43" spans="1:10" x14ac:dyDescent="0.3">
      <c r="A43" s="5">
        <v>84717020</v>
      </c>
      <c r="B43" s="17" t="s">
        <v>260</v>
      </c>
      <c r="C43" s="5"/>
      <c r="D43" s="126">
        <f ca="1">SUMIF(PURCHASE!$R$8:$R$599,$A$4:$A$333,PURCHASE!$X$8:$X$509)</f>
        <v>0</v>
      </c>
      <c r="E43" s="126">
        <f ca="1">SUMIF(PURCHASE!$R$8:$R$599,$A$4:$A$333,PURCHASE!$E$8:$E$509)</f>
        <v>0</v>
      </c>
      <c r="F43" s="126">
        <f ca="1">SUMIF(PURCHASE!$R$8:$R$599,$A$4:$A$333,PURCHASE!$K$8:$K$509)</f>
        <v>0</v>
      </c>
      <c r="G43" s="126">
        <f ca="1">SUMIF(PURCHASE!$R$8:$R$599,$A$4:$A$333,PURCHASE!$L$8:$L$509)</f>
        <v>0</v>
      </c>
      <c r="H43" s="126">
        <f ca="1">SUMIF(PURCHASE!$R$8:$R$599,$A$4:$A$333,PURCHASE!$M$8:$M$509)</f>
        <v>0</v>
      </c>
      <c r="I43" s="126">
        <f ca="1">SUMIF(PURCHASE!$R$8:$R$599,$A$4:$A$333,PURCHASE!$N$8:$N$509)</f>
        <v>0</v>
      </c>
      <c r="J43" s="126">
        <f ca="1">SUMIF(PURCHASE!$R$8:$R$599,$A$4:$A$333,PURCHASE!$O$8:$O$509)</f>
        <v>0</v>
      </c>
    </row>
    <row r="44" spans="1:10" x14ac:dyDescent="0.3">
      <c r="A44" s="5">
        <v>84733099</v>
      </c>
      <c r="B44" s="17" t="s">
        <v>261</v>
      </c>
      <c r="C44" s="5"/>
      <c r="D44" s="126">
        <f ca="1">SUMIF(PURCHASE!$R$8:$R$599,$A$4:$A$333,PURCHASE!$X$8:$X$509)</f>
        <v>0</v>
      </c>
      <c r="E44" s="126">
        <f ca="1">SUMIF(PURCHASE!$R$8:$R$599,$A$4:$A$333,PURCHASE!$E$8:$E$509)</f>
        <v>0</v>
      </c>
      <c r="F44" s="126">
        <f ca="1">SUMIF(PURCHASE!$R$8:$R$599,$A$4:$A$333,PURCHASE!$K$8:$K$509)</f>
        <v>0</v>
      </c>
      <c r="G44" s="126">
        <f ca="1">SUMIF(PURCHASE!$R$8:$R$599,$A$4:$A$333,PURCHASE!$L$8:$L$509)</f>
        <v>0</v>
      </c>
      <c r="H44" s="126">
        <f ca="1">SUMIF(PURCHASE!$R$8:$R$599,$A$4:$A$333,PURCHASE!$M$8:$M$509)</f>
        <v>0</v>
      </c>
      <c r="I44" s="126">
        <f ca="1">SUMIF(PURCHASE!$R$8:$R$599,$A$4:$A$333,PURCHASE!$N$8:$N$509)</f>
        <v>0</v>
      </c>
      <c r="J44" s="126">
        <f ca="1">SUMIF(PURCHASE!$R$8:$R$599,$A$4:$A$333,PURCHASE!$O$8:$O$509)</f>
        <v>0</v>
      </c>
    </row>
    <row r="45" spans="1:10" x14ac:dyDescent="0.3">
      <c r="A45" s="5">
        <v>998933</v>
      </c>
      <c r="B45" s="17" t="s">
        <v>22</v>
      </c>
      <c r="C45" s="5"/>
      <c r="D45" s="126">
        <f ca="1">SUMIF(PURCHASE!$R$8:$R$599,$A$4:$A$333,PURCHASE!$X$8:$X$509)</f>
        <v>3741</v>
      </c>
      <c r="E45" s="126">
        <f ca="1">SUMIF(PURCHASE!$R$8:$R$599,$A$4:$A$333,PURCHASE!$E$8:$E$509)</f>
        <v>34646.259999999995</v>
      </c>
      <c r="F45" s="126">
        <f ca="1">SUMIF(PURCHASE!$R$8:$R$599,$A$4:$A$333,PURCHASE!$K$8:$K$509)</f>
        <v>29360.7</v>
      </c>
      <c r="G45" s="126">
        <f ca="1">SUMIF(PURCHASE!$R$8:$R$599,$A$4:$A$333,PURCHASE!$L$8:$L$509)</f>
        <v>0</v>
      </c>
      <c r="H45" s="126">
        <f ca="1">SUMIF(PURCHASE!$R$8:$R$599,$A$4:$A$333,PURCHASE!$M$8:$M$509)</f>
        <v>2642.5030000000002</v>
      </c>
      <c r="I45" s="126">
        <f ca="1">SUMIF(PURCHASE!$R$8:$R$599,$A$4:$A$333,PURCHASE!$N$8:$N$509)</f>
        <v>2642.5030000000002</v>
      </c>
      <c r="J45" s="126">
        <f ca="1">SUMIF(PURCHASE!$R$8:$R$599,$A$4:$A$333,PURCHASE!$O$8:$O$509)</f>
        <v>0</v>
      </c>
    </row>
    <row r="46" spans="1:10" x14ac:dyDescent="0.3">
      <c r="A46" s="5">
        <v>32081090</v>
      </c>
      <c r="B46" s="17" t="s">
        <v>198</v>
      </c>
      <c r="C46" s="5"/>
      <c r="D46" s="126">
        <f ca="1">SUMIF(PURCHASE!$R$8:$R$599,$A$4:$A$333,PURCHASE!$X$8:$X$509)</f>
        <v>56</v>
      </c>
      <c r="E46" s="126">
        <f ca="1">SUMIF(PURCHASE!$R$8:$R$599,$A$4:$A$333,PURCHASE!$E$8:$E$509)</f>
        <v>44646.400000000001</v>
      </c>
      <c r="F46" s="126">
        <f ca="1">SUMIF(PURCHASE!$R$8:$R$599,$A$4:$A$333,PURCHASE!$K$8:$K$509)</f>
        <v>34880</v>
      </c>
      <c r="G46" s="126">
        <f ca="1">SUMIF(PURCHASE!$R$8:$R$599,$A$4:$A$333,PURCHASE!$L$8:$L$509)</f>
        <v>0</v>
      </c>
      <c r="H46" s="126">
        <f ca="1">SUMIF(PURCHASE!$R$8:$R$599,$A$4:$A$333,PURCHASE!$M$8:$M$509)</f>
        <v>4883.2</v>
      </c>
      <c r="I46" s="126">
        <f ca="1">SUMIF(PURCHASE!$R$8:$R$599,$A$4:$A$333,PURCHASE!$N$8:$N$509)</f>
        <v>4883.2</v>
      </c>
      <c r="J46" s="126">
        <f ca="1">SUMIF(PURCHASE!$R$8:$R$599,$A$4:$A$333,PURCHASE!$O$8:$O$509)</f>
        <v>0</v>
      </c>
    </row>
    <row r="47" spans="1:10" x14ac:dyDescent="0.3">
      <c r="A47" s="5">
        <v>39199090</v>
      </c>
      <c r="B47" s="17" t="s">
        <v>22</v>
      </c>
      <c r="C47" s="5"/>
      <c r="D47" s="126">
        <f ca="1">SUMIF(PURCHASE!$R$8:$R$599,$A$4:$A$333,PURCHASE!$X$8:$X$509)</f>
        <v>1697</v>
      </c>
      <c r="E47" s="126">
        <f ca="1">SUMIF(PURCHASE!$R$8:$R$599,$A$4:$A$333,PURCHASE!$E$8:$E$509)</f>
        <v>88976.04</v>
      </c>
      <c r="F47" s="126">
        <f ca="1">SUMIF(PURCHASE!$R$8:$R$599,$A$4:$A$333,PURCHASE!$K$8:$K$509)</f>
        <v>69625</v>
      </c>
      <c r="G47" s="126">
        <f ca="1">SUMIF(PURCHASE!$R$8:$R$599,$A$4:$A$333,PURCHASE!$L$8:$L$509)</f>
        <v>0</v>
      </c>
      <c r="H47" s="126">
        <f ca="1">SUMIF(PURCHASE!$R$8:$R$599,$A$4:$A$333,PURCHASE!$M$8:$M$509)</f>
        <v>9675.52</v>
      </c>
      <c r="I47" s="126">
        <f ca="1">SUMIF(PURCHASE!$R$8:$R$599,$A$4:$A$333,PURCHASE!$N$8:$N$509)</f>
        <v>9675.52</v>
      </c>
      <c r="J47" s="126">
        <f ca="1">SUMIF(PURCHASE!$R$8:$R$599,$A$4:$A$333,PURCHASE!$O$8:$O$509)</f>
        <v>0</v>
      </c>
    </row>
    <row r="48" spans="1:10" x14ac:dyDescent="0.3">
      <c r="A48" s="5">
        <v>32089022</v>
      </c>
      <c r="B48" s="17" t="s">
        <v>198</v>
      </c>
      <c r="C48" s="5"/>
      <c r="D48" s="126">
        <f ca="1">SUMIF(PURCHASE!$R$8:$R$599,$A$4:$A$333,PURCHASE!$X$8:$X$509)</f>
        <v>0</v>
      </c>
      <c r="E48" s="126">
        <f ca="1">SUMIF(PURCHASE!$R$8:$R$599,$A$4:$A$333,PURCHASE!$E$8:$E$509)</f>
        <v>0</v>
      </c>
      <c r="F48" s="126">
        <f ca="1">SUMIF(PURCHASE!$R$8:$R$599,$A$4:$A$333,PURCHASE!$K$8:$K$509)</f>
        <v>0</v>
      </c>
      <c r="G48" s="126">
        <f ca="1">SUMIF(PURCHASE!$R$8:$R$599,$A$4:$A$333,PURCHASE!$L$8:$L$509)</f>
        <v>0</v>
      </c>
      <c r="H48" s="126">
        <f ca="1">SUMIF(PURCHASE!$R$8:$R$599,$A$4:$A$333,PURCHASE!$M$8:$M$509)</f>
        <v>0</v>
      </c>
      <c r="I48" s="126">
        <f ca="1">SUMIF(PURCHASE!$R$8:$R$599,$A$4:$A$333,PURCHASE!$N$8:$N$509)</f>
        <v>0</v>
      </c>
      <c r="J48" s="126">
        <f ca="1">SUMIF(PURCHASE!$R$8:$R$599,$A$4:$A$333,PURCHASE!$O$8:$O$509)</f>
        <v>0</v>
      </c>
    </row>
    <row r="49" spans="1:10" x14ac:dyDescent="0.3">
      <c r="A49" s="5">
        <v>3208</v>
      </c>
      <c r="B49" s="17" t="s">
        <v>199</v>
      </c>
      <c r="C49" s="5"/>
      <c r="D49" s="126">
        <f ca="1">SUMIF(PURCHASE!$R$8:$R$599,$A$4:$A$333,PURCHASE!$X$8:$X$509)</f>
        <v>50</v>
      </c>
      <c r="E49" s="126">
        <f ca="1">SUMIF(PURCHASE!$R$8:$R$599,$A$4:$A$333,PURCHASE!$E$8:$E$509)</f>
        <v>21759.69</v>
      </c>
      <c r="F49" s="126">
        <f ca="1">SUMIF(PURCHASE!$R$8:$R$599,$A$4:$A$333,PURCHASE!$K$8:$K$509)</f>
        <v>17000.09</v>
      </c>
      <c r="G49" s="126">
        <f ca="1">SUMIF(PURCHASE!$R$8:$R$599,$A$4:$A$333,PURCHASE!$L$8:$L$509)</f>
        <v>0</v>
      </c>
      <c r="H49" s="126">
        <f ca="1">SUMIF(PURCHASE!$R$8:$R$599,$A$4:$A$333,PURCHASE!$M$8:$M$509)</f>
        <v>2380.0025999999998</v>
      </c>
      <c r="I49" s="126">
        <f ca="1">SUMIF(PURCHASE!$R$8:$R$599,$A$4:$A$333,PURCHASE!$N$8:$N$509)</f>
        <v>2380.0025999999998</v>
      </c>
      <c r="J49" s="126">
        <f ca="1">SUMIF(PURCHASE!$R$8:$R$599,$A$4:$A$333,PURCHASE!$O$8:$O$509)</f>
        <v>0</v>
      </c>
    </row>
    <row r="50" spans="1:10" x14ac:dyDescent="0.3">
      <c r="A50" s="5">
        <v>48171000</v>
      </c>
      <c r="B50" s="5" t="s">
        <v>202</v>
      </c>
      <c r="C50" s="5"/>
      <c r="D50" s="126">
        <f ca="1">SUMIF(PURCHASE!$R$8:$R$599,$A$4:$A$333,PURCHASE!$X$8:$X$509)</f>
        <v>0</v>
      </c>
      <c r="E50" s="126">
        <f ca="1">SUMIF(PURCHASE!$R$8:$R$599,$A$4:$A$333,PURCHASE!$E$8:$E$509)</f>
        <v>0</v>
      </c>
      <c r="F50" s="126">
        <f ca="1">SUMIF(PURCHASE!$R$8:$R$599,$A$4:$A$333,PURCHASE!$K$8:$K$509)</f>
        <v>0</v>
      </c>
      <c r="G50" s="126">
        <f ca="1">SUMIF(PURCHASE!$R$8:$R$599,$A$4:$A$333,PURCHASE!$L$8:$L$509)</f>
        <v>0</v>
      </c>
      <c r="H50" s="126">
        <f ca="1">SUMIF(PURCHASE!$R$8:$R$599,$A$4:$A$333,PURCHASE!$M$8:$M$509)</f>
        <v>0</v>
      </c>
      <c r="I50" s="126">
        <f ca="1">SUMIF(PURCHASE!$R$8:$R$599,$A$4:$A$333,PURCHASE!$N$8:$N$509)</f>
        <v>0</v>
      </c>
      <c r="J50" s="126">
        <f ca="1">SUMIF(PURCHASE!$R$8:$R$599,$A$4:$A$333,PURCHASE!$O$8:$O$509)</f>
        <v>0</v>
      </c>
    </row>
    <row r="51" spans="1:10" x14ac:dyDescent="0.3">
      <c r="A51" s="5">
        <v>37079090</v>
      </c>
      <c r="B51" s="17" t="s">
        <v>261</v>
      </c>
      <c r="C51" s="5"/>
      <c r="D51" s="126">
        <f ca="1">SUMIF(PURCHASE!$R$8:$R$599,$A$4:$A$333,PURCHASE!$X$8:$X$509)</f>
        <v>2</v>
      </c>
      <c r="E51" s="126">
        <f ca="1">SUMIF(PURCHASE!$R$8:$R$599,$A$4:$A$333,PURCHASE!$E$8:$E$509)</f>
        <v>708</v>
      </c>
      <c r="F51" s="126">
        <f ca="1">SUMIF(PURCHASE!$R$8:$R$599,$A$4:$A$333,PURCHASE!$K$8:$K$509)</f>
        <v>600</v>
      </c>
      <c r="G51" s="126">
        <f ca="1">SUMIF(PURCHASE!$R$8:$R$599,$A$4:$A$333,PURCHASE!$L$8:$L$509)</f>
        <v>0</v>
      </c>
      <c r="H51" s="126">
        <f ca="1">SUMIF(PURCHASE!$R$8:$R$599,$A$4:$A$333,PURCHASE!$M$8:$M$509)</f>
        <v>54</v>
      </c>
      <c r="I51" s="126">
        <f ca="1">SUMIF(PURCHASE!$R$8:$R$599,$A$4:$A$333,PURCHASE!$N$8:$N$509)</f>
        <v>54</v>
      </c>
      <c r="J51" s="126">
        <f ca="1">SUMIF(PURCHASE!$R$8:$R$599,$A$4:$A$333,PURCHASE!$O$8:$O$509)</f>
        <v>0</v>
      </c>
    </row>
    <row r="52" spans="1:10" x14ac:dyDescent="0.3">
      <c r="A52" s="5">
        <v>84716090</v>
      </c>
      <c r="B52" s="17" t="s">
        <v>261</v>
      </c>
      <c r="C52" s="5"/>
      <c r="D52" s="126">
        <f ca="1">SUMIF(PURCHASE!$R$8:$R$599,$A$4:$A$333,PURCHASE!$X$8:$X$509)</f>
        <v>0</v>
      </c>
      <c r="E52" s="126">
        <f ca="1">SUMIF(PURCHASE!$R$8:$R$599,$A$4:$A$333,PURCHASE!$E$8:$E$509)</f>
        <v>0</v>
      </c>
      <c r="F52" s="126">
        <f ca="1">SUMIF(PURCHASE!$R$8:$R$599,$A$4:$A$333,PURCHASE!$K$8:$K$509)</f>
        <v>0</v>
      </c>
      <c r="G52" s="126">
        <f ca="1">SUMIF(PURCHASE!$R$8:$R$599,$A$4:$A$333,PURCHASE!$L$8:$L$509)</f>
        <v>0</v>
      </c>
      <c r="H52" s="126">
        <f ca="1">SUMIF(PURCHASE!$R$8:$R$599,$A$4:$A$333,PURCHASE!$M$8:$M$509)</f>
        <v>0</v>
      </c>
      <c r="I52" s="126">
        <f ca="1">SUMIF(PURCHASE!$R$8:$R$599,$A$4:$A$333,PURCHASE!$N$8:$N$509)</f>
        <v>0</v>
      </c>
      <c r="J52" s="126">
        <f ca="1">SUMIF(PURCHASE!$R$8:$R$599,$A$4:$A$333,PURCHASE!$O$8:$O$509)</f>
        <v>0</v>
      </c>
    </row>
    <row r="53" spans="1:10" x14ac:dyDescent="0.3">
      <c r="A53" s="5">
        <v>38249990</v>
      </c>
      <c r="B53" s="17" t="s">
        <v>198</v>
      </c>
      <c r="C53" s="5"/>
      <c r="D53" s="126">
        <f ca="1">SUMIF(PURCHASE!$R$8:$R$599,$A$4:$A$333,PURCHASE!$X$8:$X$509)</f>
        <v>54</v>
      </c>
      <c r="E53" s="126">
        <f ca="1">SUMIF(PURCHASE!$R$8:$R$599,$A$4:$A$333,PURCHASE!$E$8:$E$509)</f>
        <v>40964.879999999997</v>
      </c>
      <c r="F53" s="126">
        <f ca="1">SUMIF(PURCHASE!$R$8:$R$599,$A$4:$A$333,PURCHASE!$K$8:$K$509)</f>
        <v>34716</v>
      </c>
      <c r="G53" s="126">
        <f ca="1">SUMIF(PURCHASE!$R$8:$R$599,$A$4:$A$333,PURCHASE!$L$8:$L$509)</f>
        <v>0</v>
      </c>
      <c r="H53" s="126">
        <f ca="1">SUMIF(PURCHASE!$R$8:$R$599,$A$4:$A$333,PURCHASE!$M$8:$M$509)</f>
        <v>3124.44</v>
      </c>
      <c r="I53" s="126">
        <f ca="1">SUMIF(PURCHASE!$R$8:$R$599,$A$4:$A$333,PURCHASE!$N$8:$N$509)</f>
        <v>3124.44</v>
      </c>
      <c r="J53" s="126">
        <f ca="1">SUMIF(PURCHASE!$R$8:$R$599,$A$4:$A$333,PURCHASE!$O$8:$O$509)</f>
        <v>0</v>
      </c>
    </row>
    <row r="54" spans="1:10" x14ac:dyDescent="0.3">
      <c r="A54" s="5">
        <v>29163200</v>
      </c>
      <c r="B54" s="17" t="s">
        <v>198</v>
      </c>
      <c r="C54" s="5"/>
      <c r="D54" s="126">
        <f ca="1">SUMIF(PURCHASE!$R$8:$R$599,$A$4:$A$333,PURCHASE!$X$8:$X$509)</f>
        <v>0</v>
      </c>
      <c r="E54" s="126">
        <f ca="1">SUMIF(PURCHASE!$R$8:$R$599,$A$4:$A$333,PURCHASE!$E$8:$E$509)</f>
        <v>0</v>
      </c>
      <c r="F54" s="126">
        <f ca="1">SUMIF(PURCHASE!$R$8:$R$599,$A$4:$A$333,PURCHASE!$K$8:$K$509)</f>
        <v>0</v>
      </c>
      <c r="G54" s="126">
        <f ca="1">SUMIF(PURCHASE!$R$8:$R$599,$A$4:$A$333,PURCHASE!$L$8:$L$509)</f>
        <v>0</v>
      </c>
      <c r="H54" s="126">
        <f ca="1">SUMIF(PURCHASE!$R$8:$R$599,$A$4:$A$333,PURCHASE!$M$8:$M$509)</f>
        <v>0</v>
      </c>
      <c r="I54" s="126">
        <f ca="1">SUMIF(PURCHASE!$R$8:$R$599,$A$4:$A$333,PURCHASE!$N$8:$N$509)</f>
        <v>0</v>
      </c>
      <c r="J54" s="126">
        <f ca="1">SUMIF(PURCHASE!$R$8:$R$599,$A$4:$A$333,PURCHASE!$O$8:$O$509)</f>
        <v>0</v>
      </c>
    </row>
    <row r="55" spans="1:10" x14ac:dyDescent="0.3">
      <c r="A55" s="5">
        <v>3813</v>
      </c>
      <c r="B55" s="17" t="s">
        <v>276</v>
      </c>
      <c r="C55" s="5"/>
      <c r="D55" s="126">
        <f ca="1">SUMIF(PURCHASE!$R$8:$R$599,$A$4:$A$333,PURCHASE!$X$8:$X$509)</f>
        <v>0</v>
      </c>
      <c r="E55" s="126">
        <f ca="1">SUMIF(PURCHASE!$R$8:$R$599,$A$4:$A$333,PURCHASE!$E$8:$E$509)</f>
        <v>0</v>
      </c>
      <c r="F55" s="126">
        <f ca="1">SUMIF(PURCHASE!$R$8:$R$599,$A$4:$A$333,PURCHASE!$K$8:$K$509)</f>
        <v>0</v>
      </c>
      <c r="G55" s="126">
        <f ca="1">SUMIF(PURCHASE!$R$8:$R$599,$A$4:$A$333,PURCHASE!$L$8:$L$509)</f>
        <v>0</v>
      </c>
      <c r="H55" s="126">
        <f ca="1">SUMIF(PURCHASE!$R$8:$R$599,$A$4:$A$333,PURCHASE!$M$8:$M$509)</f>
        <v>0</v>
      </c>
      <c r="I55" s="126">
        <f ca="1">SUMIF(PURCHASE!$R$8:$R$599,$A$4:$A$333,PURCHASE!$N$8:$N$509)</f>
        <v>0</v>
      </c>
      <c r="J55" s="126">
        <f ca="1">SUMIF(PURCHASE!$R$8:$R$599,$A$4:$A$333,PURCHASE!$O$8:$O$509)</f>
        <v>0</v>
      </c>
    </row>
    <row r="56" spans="1:10" x14ac:dyDescent="0.3">
      <c r="A56" s="5">
        <v>40151100</v>
      </c>
      <c r="B56" s="17" t="s">
        <v>278</v>
      </c>
      <c r="C56" s="5"/>
      <c r="D56" s="126">
        <f ca="1">SUMIF(PURCHASE!$R$8:$R$599,$A$4:$A$333,PURCHASE!$X$8:$X$509)</f>
        <v>2400</v>
      </c>
      <c r="E56" s="126">
        <f ca="1">SUMIF(PURCHASE!$R$8:$R$599,$A$4:$A$333,PURCHASE!$E$8:$E$509)</f>
        <v>7363.2</v>
      </c>
      <c r="F56" s="126">
        <f ca="1">SUMIF(PURCHASE!$R$8:$R$599,$A$4:$A$333,PURCHASE!$K$8:$K$509)</f>
        <v>6240</v>
      </c>
      <c r="G56" s="126">
        <f ca="1">SUMIF(PURCHASE!$R$8:$R$599,$A$4:$A$333,PURCHASE!$L$8:$L$509)</f>
        <v>0</v>
      </c>
      <c r="H56" s="126">
        <f ca="1">SUMIF(PURCHASE!$R$8:$R$599,$A$4:$A$333,PURCHASE!$M$8:$M$509)</f>
        <v>561.6</v>
      </c>
      <c r="I56" s="126">
        <f ca="1">SUMIF(PURCHASE!$R$8:$R$599,$A$4:$A$333,PURCHASE!$N$8:$N$509)</f>
        <v>561.6</v>
      </c>
      <c r="J56" s="126">
        <f ca="1">SUMIF(PURCHASE!$R$8:$R$599,$A$4:$A$333,PURCHASE!$O$8:$O$509)</f>
        <v>0</v>
      </c>
    </row>
    <row r="57" spans="1:10" x14ac:dyDescent="0.3">
      <c r="A57" s="5">
        <v>84242000</v>
      </c>
      <c r="B57" s="17" t="s">
        <v>22</v>
      </c>
      <c r="C57" s="5"/>
      <c r="D57" s="126">
        <f ca="1">SUMIF(PURCHASE!$R$8:$R$599,$A$4:$A$333,PURCHASE!$X$8:$X$509)</f>
        <v>0</v>
      </c>
      <c r="E57" s="126">
        <f ca="1">SUMIF(PURCHASE!$R$8:$R$599,$A$4:$A$333,PURCHASE!$E$8:$E$509)</f>
        <v>0</v>
      </c>
      <c r="F57" s="126">
        <f ca="1">SUMIF(PURCHASE!$R$8:$R$599,$A$4:$A$333,PURCHASE!$K$8:$K$509)</f>
        <v>0</v>
      </c>
      <c r="G57" s="126">
        <f ca="1">SUMIF(PURCHASE!$R$8:$R$599,$A$4:$A$333,PURCHASE!$L$8:$L$509)</f>
        <v>0</v>
      </c>
      <c r="H57" s="126">
        <f ca="1">SUMIF(PURCHASE!$R$8:$R$599,$A$4:$A$333,PURCHASE!$M$8:$M$509)</f>
        <v>0</v>
      </c>
      <c r="I57" s="126">
        <f ca="1">SUMIF(PURCHASE!$R$8:$R$599,$A$4:$A$333,PURCHASE!$N$8:$N$509)</f>
        <v>0</v>
      </c>
      <c r="J57" s="126">
        <f ca="1">SUMIF(PURCHASE!$R$8:$R$599,$A$4:$A$333,PURCHASE!$O$8:$O$509)</f>
        <v>0</v>
      </c>
    </row>
    <row r="58" spans="1:10" x14ac:dyDescent="0.3">
      <c r="A58" s="5">
        <v>441480</v>
      </c>
      <c r="B58" s="270" t="s">
        <v>836</v>
      </c>
      <c r="C58" s="5"/>
      <c r="D58" s="126">
        <f ca="1">SUMIF(PURCHASE!$R$8:$R$599,$A$4:$A$333,PURCHASE!$X$8:$X$509)</f>
        <v>0</v>
      </c>
      <c r="E58" s="126">
        <f ca="1">SUMIF(PURCHASE!$R$8:$R$599,$A$4:$A$333,PURCHASE!$E$8:$E$509)</f>
        <v>482489.59999999998</v>
      </c>
      <c r="F58" s="126">
        <f ca="1">SUMIF(PURCHASE!$R$8:$R$599,$A$4:$A$333,PURCHASE!$K$8:$K$509)</f>
        <v>376945</v>
      </c>
      <c r="G58" s="126">
        <f ca="1">SUMIF(PURCHASE!$R$8:$R$599,$A$4:$A$333,PURCHASE!$L$8:$L$509)</f>
        <v>0</v>
      </c>
      <c r="H58" s="126">
        <f ca="1">SUMIF(PURCHASE!$R$8:$R$599,$A$4:$A$333,PURCHASE!$M$8:$M$509)</f>
        <v>52772.299999999996</v>
      </c>
      <c r="I58" s="126">
        <f ca="1">SUMIF(PURCHASE!$R$8:$R$599,$A$4:$A$333,PURCHASE!$N$8:$N$509)</f>
        <v>52772.299999999996</v>
      </c>
      <c r="J58" s="126">
        <f ca="1">SUMIF(PURCHASE!$R$8:$R$599,$A$4:$A$333,PURCHASE!$O$8:$O$509)</f>
        <v>0</v>
      </c>
    </row>
    <row r="59" spans="1:10" x14ac:dyDescent="0.3">
      <c r="A59" s="5">
        <v>27111900</v>
      </c>
      <c r="B59" s="17" t="s">
        <v>302</v>
      </c>
      <c r="C59" s="5"/>
      <c r="D59" s="126">
        <f ca="1">SUMIF(PURCHASE!$R$8:$R$599,$A$4:$A$333,PURCHASE!$X$8:$X$509)</f>
        <v>43</v>
      </c>
      <c r="E59" s="126">
        <f ca="1">SUMIF(PURCHASE!$R$8:$R$599,$A$4:$A$333,PURCHASE!$E$8:$E$509)</f>
        <v>54088.35</v>
      </c>
      <c r="F59" s="126">
        <f ca="1">SUMIF(PURCHASE!$R$8:$R$599,$A$4:$A$333,PURCHASE!$K$8:$K$509)</f>
        <v>45837.59</v>
      </c>
      <c r="G59" s="126">
        <f ca="1">SUMIF(PURCHASE!$R$8:$R$599,$A$4:$A$333,PURCHASE!$L$8:$L$509)</f>
        <v>0</v>
      </c>
      <c r="H59" s="126">
        <f ca="1">SUMIF(PURCHASE!$R$8:$R$599,$A$4:$A$333,PURCHASE!$M$8:$M$509)</f>
        <v>4125.3730999999998</v>
      </c>
      <c r="I59" s="126">
        <f ca="1">SUMIF(PURCHASE!$R$8:$R$599,$A$4:$A$333,PURCHASE!$N$8:$N$509)</f>
        <v>4125.3730999999998</v>
      </c>
      <c r="J59" s="126">
        <f ca="1">SUMIF(PURCHASE!$R$8:$R$599,$A$4:$A$333,PURCHASE!$O$8:$O$509)</f>
        <v>0</v>
      </c>
    </row>
    <row r="60" spans="1:10" x14ac:dyDescent="0.3">
      <c r="A60" s="5"/>
      <c r="B60" s="17"/>
      <c r="C60" s="5"/>
      <c r="D60" s="126">
        <f ca="1">SUMIF(PURCHASE!$R$8:$R$599,$A$4:$A$333,PURCHASE!$X$8:$X$509)</f>
        <v>290343.86</v>
      </c>
      <c r="E60" s="126">
        <f ca="1">SUMIF(PURCHASE!$R$8:$R$599,$A$4:$A$333,PURCHASE!$E$8:$E$509)</f>
        <v>10223134.130000006</v>
      </c>
      <c r="F60" s="126">
        <f ca="1">SUMIF(PURCHASE!$R$8:$R$599,$A$4:$A$333,PURCHASE!$K$8:$K$509)</f>
        <v>7904789.4799999967</v>
      </c>
      <c r="G60" s="126">
        <f ca="1">SUMIF(PURCHASE!$R$8:$R$599,$A$4:$A$333,PURCHASE!$L$8:$L$509)</f>
        <v>61473.013199999994</v>
      </c>
      <c r="H60" s="126">
        <f ca="1">SUMIF(PURCHASE!$R$8:$R$599,$A$4:$A$333,PURCHASE!$M$8:$M$509)</f>
        <v>956427.88040000002</v>
      </c>
      <c r="I60" s="126">
        <f ca="1">SUMIF(PURCHASE!$R$8:$R$599,$A$4:$A$333,PURCHASE!$N$8:$N$509)</f>
        <v>956427.88040000002</v>
      </c>
      <c r="J60" s="126">
        <f ca="1">SUMIF(PURCHASE!$R$8:$R$599,$A$4:$A$333,PURCHASE!$O$8:$O$509)</f>
        <v>0</v>
      </c>
    </row>
    <row r="61" spans="1:10" x14ac:dyDescent="0.3">
      <c r="A61" s="5"/>
      <c r="B61" s="17"/>
      <c r="C61" s="5"/>
      <c r="D61" s="126"/>
      <c r="E61" s="126"/>
      <c r="F61" s="126"/>
      <c r="G61" s="126"/>
      <c r="H61" s="126"/>
      <c r="I61" s="126"/>
      <c r="J61" s="126"/>
    </row>
    <row r="62" spans="1:10" x14ac:dyDescent="0.3">
      <c r="A62" s="5"/>
      <c r="B62" s="17"/>
      <c r="C62" s="5"/>
      <c r="D62" s="126"/>
      <c r="E62" s="126"/>
      <c r="F62" s="126"/>
      <c r="G62" s="126"/>
      <c r="H62" s="126"/>
      <c r="I62" s="126"/>
      <c r="J62" s="126"/>
    </row>
    <row r="63" spans="1:10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5" thickBot="1" x14ac:dyDescent="0.35">
      <c r="A64" s="3"/>
      <c r="B64" s="20"/>
      <c r="C64" s="3"/>
      <c r="D64" s="18">
        <f t="shared" ref="D64:J64" ca="1" si="0">SUM(D4:D63)</f>
        <v>565590.86</v>
      </c>
      <c r="E64" s="18">
        <f t="shared" ca="1" si="0"/>
        <v>18188177.920000006</v>
      </c>
      <c r="F64" s="18">
        <f t="shared" ca="1" si="0"/>
        <v>14163489.929999996</v>
      </c>
      <c r="G64" s="18">
        <f t="shared" ca="1" si="0"/>
        <v>85330.826399999991</v>
      </c>
      <c r="H64" s="18">
        <f t="shared" ca="1" si="0"/>
        <v>1799689.0773</v>
      </c>
      <c r="I64" s="18">
        <f t="shared" ca="1" si="0"/>
        <v>1799689.0773</v>
      </c>
      <c r="J64" s="18">
        <f t="shared" ca="1" si="0"/>
        <v>0</v>
      </c>
    </row>
    <row r="65" spans="5:5" x14ac:dyDescent="0.3">
      <c r="E65" s="200">
        <f ca="1">+E64-PURCHASE!E220</f>
        <v>18183881.200000007</v>
      </c>
    </row>
  </sheetData>
  <autoFilter ref="A1:A65"/>
  <conditionalFormatting sqref="E4:E62">
    <cfRule type="duplicateValues" dxfId="0" priority="6"/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R36"/>
  <sheetViews>
    <sheetView topLeftCell="A8" workbookViewId="0">
      <selection activeCell="A12" sqref="A12"/>
    </sheetView>
  </sheetViews>
  <sheetFormatPr defaultRowHeight="14.4" x14ac:dyDescent="0.3"/>
  <cols>
    <col min="1" max="1" width="37.6640625" customWidth="1"/>
    <col min="2" max="2" width="12.109375" bestFit="1" customWidth="1"/>
    <col min="6" max="6" width="11.109375" bestFit="1" customWidth="1"/>
    <col min="7" max="7" width="15.21875" bestFit="1" customWidth="1"/>
    <col min="12" max="12" width="11.77734375" bestFit="1" customWidth="1"/>
    <col min="13" max="13" width="10.5546875" customWidth="1"/>
    <col min="14" max="14" width="11.5546875" customWidth="1"/>
    <col min="15" max="15" width="9.77734375" bestFit="1" customWidth="1"/>
    <col min="17" max="17" width="11.109375" bestFit="1" customWidth="1"/>
  </cols>
  <sheetData>
    <row r="6" spans="1:18" ht="15" thickBot="1" x14ac:dyDescent="0.35"/>
    <row r="7" spans="1:18" ht="15.6" thickTop="1" thickBot="1" x14ac:dyDescent="0.35">
      <c r="A7" s="193" t="s">
        <v>15</v>
      </c>
      <c r="B7" s="193" t="s">
        <v>839</v>
      </c>
      <c r="C7" s="193" t="s">
        <v>0</v>
      </c>
      <c r="D7" s="193" t="s">
        <v>16</v>
      </c>
      <c r="E7" s="193" t="s">
        <v>17</v>
      </c>
      <c r="F7" s="193" t="s">
        <v>19</v>
      </c>
      <c r="G7" s="193" t="s">
        <v>26</v>
      </c>
      <c r="H7" s="193" t="s">
        <v>29</v>
      </c>
      <c r="I7" s="193" t="s">
        <v>19</v>
      </c>
      <c r="J7" s="194" t="s">
        <v>58</v>
      </c>
      <c r="K7" s="195" t="s">
        <v>35</v>
      </c>
      <c r="L7" s="196" t="s">
        <v>25</v>
      </c>
      <c r="M7" s="197" t="s">
        <v>1</v>
      </c>
      <c r="N7" s="198" t="s">
        <v>2</v>
      </c>
      <c r="O7" s="198" t="s">
        <v>3</v>
      </c>
      <c r="P7" s="198" t="s">
        <v>4</v>
      </c>
    </row>
    <row r="8" spans="1:18" ht="15" thickBot="1" x14ac:dyDescent="0.35">
      <c r="A8" s="127"/>
      <c r="B8" s="127"/>
      <c r="C8" s="127"/>
      <c r="D8" s="127"/>
      <c r="E8" s="127"/>
      <c r="F8" s="127" t="s">
        <v>18</v>
      </c>
      <c r="G8" s="127" t="s">
        <v>27</v>
      </c>
      <c r="H8" s="127" t="s">
        <v>30</v>
      </c>
      <c r="I8" s="127" t="s">
        <v>28</v>
      </c>
      <c r="J8" s="23"/>
      <c r="K8" s="135" t="s">
        <v>24</v>
      </c>
      <c r="L8" s="134" t="s">
        <v>18</v>
      </c>
      <c r="M8" s="18" t="s">
        <v>18</v>
      </c>
      <c r="N8" s="18" t="s">
        <v>18</v>
      </c>
      <c r="O8" s="18" t="s">
        <v>18</v>
      </c>
      <c r="P8" s="18" t="s">
        <v>18</v>
      </c>
    </row>
    <row r="9" spans="1:18" x14ac:dyDescent="0.3">
      <c r="A9" s="5" t="s">
        <v>829</v>
      </c>
      <c r="B9" s="5" t="s">
        <v>840</v>
      </c>
      <c r="C9" s="5"/>
      <c r="D9" s="5">
        <v>148</v>
      </c>
      <c r="E9" s="5" t="s">
        <v>361</v>
      </c>
      <c r="F9" s="7">
        <v>160</v>
      </c>
      <c r="G9" s="5" t="s">
        <v>14</v>
      </c>
      <c r="H9" s="5"/>
      <c r="I9" s="5"/>
      <c r="J9" s="5"/>
      <c r="K9" s="14">
        <v>5</v>
      </c>
      <c r="L9" s="12">
        <f t="shared" ref="L9:L34" si="0">+F9</f>
        <v>160</v>
      </c>
      <c r="M9" s="5"/>
      <c r="N9" s="268">
        <v>0</v>
      </c>
      <c r="O9" s="7">
        <v>0</v>
      </c>
      <c r="P9" s="5"/>
      <c r="Q9" s="200">
        <f t="shared" ref="Q9:Q34" si="1">+N9/L9</f>
        <v>0</v>
      </c>
      <c r="R9" s="143">
        <v>42948</v>
      </c>
    </row>
    <row r="10" spans="1:18" x14ac:dyDescent="0.3">
      <c r="A10" s="5" t="s">
        <v>311</v>
      </c>
      <c r="B10" s="5" t="s">
        <v>841</v>
      </c>
      <c r="C10" s="5"/>
      <c r="D10" s="5">
        <v>52</v>
      </c>
      <c r="E10" s="5" t="s">
        <v>372</v>
      </c>
      <c r="F10" s="14">
        <v>4294</v>
      </c>
      <c r="G10" s="5" t="s">
        <v>14</v>
      </c>
      <c r="H10" s="5"/>
      <c r="I10" s="5"/>
      <c r="J10" s="5"/>
      <c r="K10" s="14">
        <v>12</v>
      </c>
      <c r="L10" s="12">
        <f t="shared" si="0"/>
        <v>4294</v>
      </c>
      <c r="M10" s="5"/>
      <c r="N10" s="268">
        <v>0</v>
      </c>
      <c r="O10" s="5">
        <v>0</v>
      </c>
      <c r="P10" s="5"/>
      <c r="Q10" s="200">
        <f t="shared" si="1"/>
        <v>0</v>
      </c>
      <c r="R10" s="143">
        <v>42951</v>
      </c>
    </row>
    <row r="11" spans="1:18" x14ac:dyDescent="0.3">
      <c r="A11" s="5" t="s">
        <v>352</v>
      </c>
      <c r="B11" s="5" t="s">
        <v>841</v>
      </c>
      <c r="C11" s="5"/>
      <c r="D11" s="5">
        <v>53</v>
      </c>
      <c r="E11" s="5" t="s">
        <v>375</v>
      </c>
      <c r="F11" s="7">
        <v>1800</v>
      </c>
      <c r="G11" s="5" t="s">
        <v>14</v>
      </c>
      <c r="H11" s="5"/>
      <c r="I11" s="5"/>
      <c r="J11" s="5"/>
      <c r="K11" s="14">
        <v>5</v>
      </c>
      <c r="L11" s="12">
        <f t="shared" si="0"/>
        <v>1800</v>
      </c>
      <c r="M11" s="5">
        <f>SUM(M2:M10)</f>
        <v>0</v>
      </c>
      <c r="N11" s="269">
        <v>45</v>
      </c>
      <c r="O11" s="5">
        <v>45</v>
      </c>
      <c r="P11" s="5">
        <f>SUM(P2:P10)</f>
        <v>0</v>
      </c>
      <c r="Q11" s="200">
        <f t="shared" si="1"/>
        <v>2.5000000000000001E-2</v>
      </c>
      <c r="R11" s="143">
        <v>42951</v>
      </c>
    </row>
    <row r="12" spans="1:18" x14ac:dyDescent="0.3">
      <c r="A12" s="5" t="s">
        <v>352</v>
      </c>
      <c r="B12" s="5" t="s">
        <v>841</v>
      </c>
      <c r="C12" s="5"/>
      <c r="D12" s="5">
        <v>63</v>
      </c>
      <c r="E12" s="5" t="s">
        <v>375</v>
      </c>
      <c r="F12" s="7">
        <v>1800</v>
      </c>
      <c r="G12" s="5" t="s">
        <v>14</v>
      </c>
      <c r="H12" s="5"/>
      <c r="I12" s="5"/>
      <c r="J12" s="5"/>
      <c r="K12" s="14">
        <v>5</v>
      </c>
      <c r="L12" s="12">
        <f t="shared" si="0"/>
        <v>1800</v>
      </c>
      <c r="M12" s="5"/>
      <c r="N12" s="269">
        <v>45</v>
      </c>
      <c r="O12" s="5">
        <v>45</v>
      </c>
      <c r="P12" s="5"/>
      <c r="Q12" s="200">
        <f t="shared" si="1"/>
        <v>2.5000000000000001E-2</v>
      </c>
      <c r="R12" s="143">
        <v>42951</v>
      </c>
    </row>
    <row r="13" spans="1:18" x14ac:dyDescent="0.3">
      <c r="A13" s="5" t="s">
        <v>351</v>
      </c>
      <c r="B13" s="5" t="s">
        <v>841</v>
      </c>
      <c r="C13" s="5"/>
      <c r="D13" s="5">
        <v>1</v>
      </c>
      <c r="E13" s="5" t="s">
        <v>380</v>
      </c>
      <c r="F13" s="7">
        <v>20000</v>
      </c>
      <c r="G13" s="5" t="s">
        <v>14</v>
      </c>
      <c r="H13" s="5"/>
      <c r="I13" s="5"/>
      <c r="J13" s="5"/>
      <c r="K13" s="14">
        <v>18</v>
      </c>
      <c r="L13" s="12">
        <f t="shared" si="0"/>
        <v>20000</v>
      </c>
      <c r="M13" s="5"/>
      <c r="N13" s="268">
        <v>1800</v>
      </c>
      <c r="O13" s="7">
        <v>1800</v>
      </c>
      <c r="P13" s="5"/>
      <c r="Q13" s="200">
        <f t="shared" si="1"/>
        <v>0.09</v>
      </c>
      <c r="R13" s="143">
        <v>42952</v>
      </c>
    </row>
    <row r="14" spans="1:18" x14ac:dyDescent="0.3">
      <c r="A14" s="5" t="s">
        <v>311</v>
      </c>
      <c r="B14" s="5" t="s">
        <v>841</v>
      </c>
      <c r="C14" s="5"/>
      <c r="D14" s="5">
        <v>80</v>
      </c>
      <c r="E14" s="5" t="s">
        <v>386</v>
      </c>
      <c r="F14" s="14">
        <v>4699</v>
      </c>
      <c r="G14" s="5" t="s">
        <v>14</v>
      </c>
      <c r="H14" s="5"/>
      <c r="I14" s="5"/>
      <c r="J14" s="5"/>
      <c r="K14" s="14">
        <v>12</v>
      </c>
      <c r="L14" s="12">
        <f t="shared" si="0"/>
        <v>4699</v>
      </c>
      <c r="M14" s="5"/>
      <c r="N14" s="269">
        <v>0</v>
      </c>
      <c r="O14" s="5">
        <v>0</v>
      </c>
      <c r="P14" s="5"/>
      <c r="Q14" s="200">
        <f t="shared" si="1"/>
        <v>0</v>
      </c>
      <c r="R14" s="143">
        <v>42956</v>
      </c>
    </row>
    <row r="15" spans="1:18" x14ac:dyDescent="0.3">
      <c r="A15" s="5" t="s">
        <v>830</v>
      </c>
      <c r="B15" s="5" t="s">
        <v>840</v>
      </c>
      <c r="C15" s="5"/>
      <c r="D15" s="5">
        <v>150</v>
      </c>
      <c r="E15" s="5" t="s">
        <v>392</v>
      </c>
      <c r="F15" s="7">
        <v>80</v>
      </c>
      <c r="G15" s="5" t="s">
        <v>14</v>
      </c>
      <c r="H15" s="5"/>
      <c r="I15" s="5"/>
      <c r="J15" s="5"/>
      <c r="K15" s="14">
        <v>18</v>
      </c>
      <c r="L15" s="12">
        <f t="shared" si="0"/>
        <v>80</v>
      </c>
      <c r="M15" s="5"/>
      <c r="N15" s="269">
        <v>0</v>
      </c>
      <c r="O15" s="5">
        <v>0</v>
      </c>
      <c r="P15" s="5"/>
      <c r="Q15" s="200">
        <f t="shared" si="1"/>
        <v>0</v>
      </c>
      <c r="R15" s="143">
        <v>42959</v>
      </c>
    </row>
    <row r="16" spans="1:18" x14ac:dyDescent="0.3">
      <c r="A16" s="5" t="s">
        <v>831</v>
      </c>
      <c r="B16" s="5" t="s">
        <v>840</v>
      </c>
      <c r="C16" s="5"/>
      <c r="D16" s="5">
        <v>152</v>
      </c>
      <c r="E16" s="5" t="s">
        <v>392</v>
      </c>
      <c r="F16" s="7">
        <v>600</v>
      </c>
      <c r="G16" s="5" t="s">
        <v>14</v>
      </c>
      <c r="H16" s="5"/>
      <c r="I16" s="5"/>
      <c r="J16" s="5"/>
      <c r="K16" s="14">
        <v>5</v>
      </c>
      <c r="L16" s="12">
        <f t="shared" si="0"/>
        <v>600</v>
      </c>
      <c r="M16" s="5"/>
      <c r="N16" s="268">
        <v>0</v>
      </c>
      <c r="O16" s="7">
        <v>0</v>
      </c>
      <c r="P16" s="5"/>
      <c r="Q16" s="200">
        <f t="shared" si="1"/>
        <v>0</v>
      </c>
      <c r="R16" s="143">
        <v>42959</v>
      </c>
    </row>
    <row r="17" spans="1:18" x14ac:dyDescent="0.3">
      <c r="A17" s="5" t="s">
        <v>837</v>
      </c>
      <c r="B17" s="5" t="s">
        <v>840</v>
      </c>
      <c r="C17" s="5"/>
      <c r="D17" s="5">
        <v>152</v>
      </c>
      <c r="E17" s="5" t="s">
        <v>392</v>
      </c>
      <c r="F17" s="7">
        <v>250</v>
      </c>
      <c r="G17" s="5" t="s">
        <v>14</v>
      </c>
      <c r="H17" s="5"/>
      <c r="I17" s="5"/>
      <c r="J17" s="5"/>
      <c r="K17" s="14">
        <v>18</v>
      </c>
      <c r="L17" s="12">
        <f t="shared" si="0"/>
        <v>250</v>
      </c>
      <c r="M17" s="5"/>
      <c r="N17" s="268">
        <v>0</v>
      </c>
      <c r="O17" s="7">
        <v>0</v>
      </c>
      <c r="P17" s="5"/>
      <c r="Q17" s="200">
        <f t="shared" si="1"/>
        <v>0</v>
      </c>
      <c r="R17" s="143">
        <v>42959</v>
      </c>
    </row>
    <row r="18" spans="1:18" x14ac:dyDescent="0.3">
      <c r="A18" s="5" t="s">
        <v>829</v>
      </c>
      <c r="B18" s="5" t="s">
        <v>840</v>
      </c>
      <c r="C18" s="5"/>
      <c r="D18" s="5">
        <v>153</v>
      </c>
      <c r="E18" s="5" t="s">
        <v>392</v>
      </c>
      <c r="F18" s="7">
        <v>925</v>
      </c>
      <c r="G18" s="5" t="s">
        <v>14</v>
      </c>
      <c r="H18" s="5"/>
      <c r="I18" s="5"/>
      <c r="J18" s="5"/>
      <c r="K18" s="14">
        <v>12</v>
      </c>
      <c r="L18" s="12">
        <f t="shared" si="0"/>
        <v>925</v>
      </c>
      <c r="M18" s="5"/>
      <c r="N18" s="268">
        <v>0</v>
      </c>
      <c r="O18" s="7">
        <v>0</v>
      </c>
      <c r="P18" s="5"/>
      <c r="Q18" s="200">
        <f t="shared" si="1"/>
        <v>0</v>
      </c>
      <c r="R18" s="143">
        <v>42959</v>
      </c>
    </row>
    <row r="19" spans="1:18" x14ac:dyDescent="0.3">
      <c r="A19" s="5" t="s">
        <v>830</v>
      </c>
      <c r="B19" s="5" t="s">
        <v>840</v>
      </c>
      <c r="C19" s="5"/>
      <c r="D19" s="5">
        <v>155</v>
      </c>
      <c r="E19" s="5" t="s">
        <v>392</v>
      </c>
      <c r="F19" s="7">
        <v>2200</v>
      </c>
      <c r="G19" s="5" t="s">
        <v>14</v>
      </c>
      <c r="H19" s="5"/>
      <c r="I19" s="5"/>
      <c r="J19" s="5"/>
      <c r="K19" s="14">
        <v>18</v>
      </c>
      <c r="L19" s="12">
        <f t="shared" si="0"/>
        <v>2200</v>
      </c>
      <c r="M19" s="5"/>
      <c r="N19" s="268">
        <v>0</v>
      </c>
      <c r="O19" s="7">
        <v>0</v>
      </c>
      <c r="P19" s="5"/>
      <c r="Q19" s="200">
        <f t="shared" si="1"/>
        <v>0</v>
      </c>
      <c r="R19" s="143">
        <v>42959</v>
      </c>
    </row>
    <row r="20" spans="1:18" x14ac:dyDescent="0.3">
      <c r="A20" s="5" t="s">
        <v>311</v>
      </c>
      <c r="B20" s="5" t="s">
        <v>841</v>
      </c>
      <c r="C20" s="5"/>
      <c r="D20" s="5">
        <v>114</v>
      </c>
      <c r="E20" s="5" t="s">
        <v>395</v>
      </c>
      <c r="F20" s="14">
        <v>4107</v>
      </c>
      <c r="G20" s="5" t="s">
        <v>14</v>
      </c>
      <c r="H20" s="5"/>
      <c r="I20" s="5"/>
      <c r="J20" s="5"/>
      <c r="K20" s="14">
        <v>12</v>
      </c>
      <c r="L20" s="12">
        <f t="shared" si="0"/>
        <v>4107</v>
      </c>
      <c r="M20" s="5"/>
      <c r="N20" s="268">
        <v>0</v>
      </c>
      <c r="O20" s="7">
        <v>0</v>
      </c>
      <c r="P20" s="5"/>
      <c r="Q20" s="200">
        <f t="shared" si="1"/>
        <v>0</v>
      </c>
      <c r="R20" s="143">
        <v>42960</v>
      </c>
    </row>
    <row r="21" spans="1:18" x14ac:dyDescent="0.3">
      <c r="A21" s="5" t="s">
        <v>830</v>
      </c>
      <c r="B21" s="5" t="s">
        <v>840</v>
      </c>
      <c r="C21" s="5"/>
      <c r="D21" s="5">
        <v>156</v>
      </c>
      <c r="E21" s="5" t="s">
        <v>396</v>
      </c>
      <c r="F21" s="7">
        <v>2800</v>
      </c>
      <c r="G21" s="5" t="s">
        <v>14</v>
      </c>
      <c r="H21" s="5"/>
      <c r="I21" s="5"/>
      <c r="J21" s="5"/>
      <c r="K21" s="14">
        <v>18</v>
      </c>
      <c r="L21" s="12">
        <f t="shared" si="0"/>
        <v>2800</v>
      </c>
      <c r="M21" s="5"/>
      <c r="N21" s="268">
        <v>0</v>
      </c>
      <c r="O21" s="7">
        <v>0</v>
      </c>
      <c r="P21" s="5"/>
      <c r="Q21" s="200">
        <f t="shared" si="1"/>
        <v>0</v>
      </c>
      <c r="R21" s="143">
        <v>42961</v>
      </c>
    </row>
    <row r="22" spans="1:18" x14ac:dyDescent="0.3">
      <c r="A22" s="5" t="s">
        <v>829</v>
      </c>
      <c r="B22" s="5" t="s">
        <v>840</v>
      </c>
      <c r="C22" s="5"/>
      <c r="D22" s="5">
        <v>158</v>
      </c>
      <c r="E22" s="5" t="s">
        <v>401</v>
      </c>
      <c r="F22" s="7">
        <v>220</v>
      </c>
      <c r="G22" s="5" t="s">
        <v>14</v>
      </c>
      <c r="H22" s="5"/>
      <c r="I22" s="5"/>
      <c r="J22" s="5"/>
      <c r="K22" s="14">
        <v>12</v>
      </c>
      <c r="L22" s="12">
        <f t="shared" si="0"/>
        <v>220</v>
      </c>
      <c r="M22" s="5"/>
      <c r="N22" s="268">
        <v>0</v>
      </c>
      <c r="O22" s="7">
        <v>0</v>
      </c>
      <c r="P22" s="5"/>
      <c r="Q22" s="200">
        <f t="shared" si="1"/>
        <v>0</v>
      </c>
      <c r="R22" s="143">
        <v>42964</v>
      </c>
    </row>
    <row r="23" spans="1:18" x14ac:dyDescent="0.3">
      <c r="A23" s="5" t="s">
        <v>311</v>
      </c>
      <c r="B23" s="5" t="s">
        <v>841</v>
      </c>
      <c r="C23" s="5"/>
      <c r="D23" s="5">
        <v>175</v>
      </c>
      <c r="E23" s="5" t="s">
        <v>406</v>
      </c>
      <c r="F23" s="14">
        <v>4837</v>
      </c>
      <c r="G23" s="5" t="s">
        <v>14</v>
      </c>
      <c r="H23" s="5"/>
      <c r="I23" s="5"/>
      <c r="J23" s="5"/>
      <c r="K23" s="14">
        <v>12</v>
      </c>
      <c r="L23" s="12">
        <f t="shared" si="0"/>
        <v>4837</v>
      </c>
      <c r="M23" s="5"/>
      <c r="N23" s="268">
        <v>0</v>
      </c>
      <c r="O23" s="7">
        <v>0</v>
      </c>
      <c r="P23" s="5"/>
      <c r="Q23" s="200">
        <f t="shared" si="1"/>
        <v>0</v>
      </c>
      <c r="R23" s="143">
        <v>42969</v>
      </c>
    </row>
    <row r="24" spans="1:18" x14ac:dyDescent="0.3">
      <c r="A24" s="5" t="s">
        <v>829</v>
      </c>
      <c r="B24" s="5" t="s">
        <v>840</v>
      </c>
      <c r="C24" s="5"/>
      <c r="D24" s="5">
        <v>162</v>
      </c>
      <c r="E24" s="5" t="s">
        <v>409</v>
      </c>
      <c r="F24" s="7">
        <v>160</v>
      </c>
      <c r="G24" s="5" t="s">
        <v>14</v>
      </c>
      <c r="H24" s="5"/>
      <c r="I24" s="5"/>
      <c r="J24" s="5"/>
      <c r="K24" s="14">
        <v>12</v>
      </c>
      <c r="L24" s="12">
        <f t="shared" si="0"/>
        <v>160</v>
      </c>
      <c r="M24" s="5"/>
      <c r="N24" s="268">
        <v>0</v>
      </c>
      <c r="O24" s="7">
        <v>0</v>
      </c>
      <c r="P24" s="5"/>
      <c r="Q24" s="200">
        <f t="shared" si="1"/>
        <v>0</v>
      </c>
      <c r="R24" s="143">
        <v>42969</v>
      </c>
    </row>
    <row r="25" spans="1:18" x14ac:dyDescent="0.3">
      <c r="A25" s="5" t="s">
        <v>311</v>
      </c>
      <c r="B25" s="5" t="s">
        <v>841</v>
      </c>
      <c r="C25" s="5"/>
      <c r="D25" s="5">
        <v>187</v>
      </c>
      <c r="E25" s="5" t="s">
        <v>410</v>
      </c>
      <c r="F25" s="14">
        <v>4322</v>
      </c>
      <c r="G25" s="5" t="s">
        <v>14</v>
      </c>
      <c r="H25" s="5"/>
      <c r="I25" s="5"/>
      <c r="J25" s="5"/>
      <c r="K25" s="14">
        <v>12</v>
      </c>
      <c r="L25" s="12">
        <f t="shared" si="0"/>
        <v>4322</v>
      </c>
      <c r="M25" s="5"/>
      <c r="N25" s="268">
        <v>0</v>
      </c>
      <c r="O25" s="7">
        <v>0</v>
      </c>
      <c r="P25" s="5"/>
      <c r="Q25" s="200">
        <f t="shared" si="1"/>
        <v>0</v>
      </c>
      <c r="R25" s="143">
        <v>42969</v>
      </c>
    </row>
    <row r="26" spans="1:18" x14ac:dyDescent="0.3">
      <c r="A26" s="5" t="s">
        <v>829</v>
      </c>
      <c r="B26" s="5" t="s">
        <v>840</v>
      </c>
      <c r="C26" s="5"/>
      <c r="D26" s="5">
        <v>163</v>
      </c>
      <c r="E26" s="5" t="s">
        <v>413</v>
      </c>
      <c r="F26" s="7">
        <v>475</v>
      </c>
      <c r="G26" s="5" t="s">
        <v>14</v>
      </c>
      <c r="H26" s="5"/>
      <c r="I26" s="5"/>
      <c r="J26" s="5"/>
      <c r="K26" s="14">
        <v>12</v>
      </c>
      <c r="L26" s="12">
        <f t="shared" si="0"/>
        <v>475</v>
      </c>
      <c r="M26" s="5"/>
      <c r="N26" s="268">
        <v>0</v>
      </c>
      <c r="O26" s="7">
        <v>0</v>
      </c>
      <c r="P26" s="5"/>
      <c r="Q26" s="200">
        <f t="shared" si="1"/>
        <v>0</v>
      </c>
      <c r="R26" s="143">
        <v>42971</v>
      </c>
    </row>
    <row r="27" spans="1:18" x14ac:dyDescent="0.3">
      <c r="A27" s="5" t="s">
        <v>831</v>
      </c>
      <c r="B27" s="5" t="s">
        <v>840</v>
      </c>
      <c r="C27" s="5"/>
      <c r="D27" s="5">
        <v>164</v>
      </c>
      <c r="E27" s="5" t="s">
        <v>367</v>
      </c>
      <c r="F27" s="7">
        <v>100</v>
      </c>
      <c r="G27" s="5" t="s">
        <v>14</v>
      </c>
      <c r="H27" s="5"/>
      <c r="I27" s="5"/>
      <c r="J27" s="5"/>
      <c r="K27" s="14">
        <v>5</v>
      </c>
      <c r="L27" s="12">
        <f t="shared" si="0"/>
        <v>100</v>
      </c>
      <c r="M27" s="5"/>
      <c r="N27" s="268">
        <v>0</v>
      </c>
      <c r="O27" s="7">
        <v>0</v>
      </c>
      <c r="P27" s="5"/>
      <c r="Q27" s="200">
        <f t="shared" si="1"/>
        <v>0</v>
      </c>
      <c r="R27" s="143">
        <v>42973</v>
      </c>
    </row>
    <row r="28" spans="1:18" x14ac:dyDescent="0.3">
      <c r="A28" s="5" t="s">
        <v>311</v>
      </c>
      <c r="B28" s="5" t="s">
        <v>841</v>
      </c>
      <c r="C28" s="5"/>
      <c r="D28" s="5">
        <v>227</v>
      </c>
      <c r="E28" s="5" t="s">
        <v>418</v>
      </c>
      <c r="F28" s="14">
        <v>4730</v>
      </c>
      <c r="G28" s="5" t="s">
        <v>14</v>
      </c>
      <c r="H28" s="5"/>
      <c r="I28" s="5"/>
      <c r="J28" s="5"/>
      <c r="K28" s="14">
        <v>12</v>
      </c>
      <c r="L28" s="12">
        <f t="shared" si="0"/>
        <v>4730</v>
      </c>
      <c r="M28" s="5"/>
      <c r="N28" s="268">
        <v>0</v>
      </c>
      <c r="O28" s="7">
        <v>0</v>
      </c>
      <c r="P28" s="5"/>
      <c r="Q28" s="200">
        <f t="shared" si="1"/>
        <v>0</v>
      </c>
      <c r="R28" s="143">
        <v>42974</v>
      </c>
    </row>
    <row r="29" spans="1:18" x14ac:dyDescent="0.3">
      <c r="A29" s="5" t="s">
        <v>832</v>
      </c>
      <c r="B29" s="5" t="s">
        <v>840</v>
      </c>
      <c r="C29" s="5"/>
      <c r="D29" s="5">
        <v>167</v>
      </c>
      <c r="E29" s="5" t="s">
        <v>419</v>
      </c>
      <c r="F29" s="7">
        <v>120</v>
      </c>
      <c r="G29" s="5" t="s">
        <v>14</v>
      </c>
      <c r="H29" s="5"/>
      <c r="I29" s="5"/>
      <c r="J29" s="5"/>
      <c r="K29" s="14">
        <v>18</v>
      </c>
      <c r="L29" s="12">
        <f t="shared" si="0"/>
        <v>120</v>
      </c>
      <c r="M29" s="5"/>
      <c r="N29" s="268">
        <v>0</v>
      </c>
      <c r="O29" s="7">
        <v>0</v>
      </c>
      <c r="P29" s="5"/>
      <c r="Q29" s="200">
        <f t="shared" si="1"/>
        <v>0</v>
      </c>
      <c r="R29" s="143">
        <v>42975</v>
      </c>
    </row>
    <row r="30" spans="1:18" x14ac:dyDescent="0.3">
      <c r="A30" s="5" t="s">
        <v>830</v>
      </c>
      <c r="B30" s="5" t="s">
        <v>840</v>
      </c>
      <c r="C30" s="5"/>
      <c r="D30" s="5">
        <v>167</v>
      </c>
      <c r="E30" s="5" t="s">
        <v>419</v>
      </c>
      <c r="F30" s="7">
        <v>400</v>
      </c>
      <c r="G30" s="5" t="s">
        <v>14</v>
      </c>
      <c r="H30" s="5"/>
      <c r="I30" s="5"/>
      <c r="J30" s="5"/>
      <c r="K30" s="14">
        <v>18</v>
      </c>
      <c r="L30" s="12">
        <f t="shared" si="0"/>
        <v>400</v>
      </c>
      <c r="M30" s="5"/>
      <c r="N30" s="268">
        <v>0</v>
      </c>
      <c r="O30" s="7">
        <v>0</v>
      </c>
      <c r="P30" s="5"/>
      <c r="Q30" s="200">
        <f t="shared" si="1"/>
        <v>0</v>
      </c>
      <c r="R30" s="143">
        <v>42975</v>
      </c>
    </row>
    <row r="31" spans="1:18" x14ac:dyDescent="0.3">
      <c r="A31" s="5" t="s">
        <v>829</v>
      </c>
      <c r="B31" s="5" t="s">
        <v>840</v>
      </c>
      <c r="C31" s="5"/>
      <c r="D31" s="5">
        <v>169</v>
      </c>
      <c r="E31" s="5" t="s">
        <v>424</v>
      </c>
      <c r="F31" s="7">
        <v>165</v>
      </c>
      <c r="G31" s="5" t="s">
        <v>14</v>
      </c>
      <c r="H31" s="5"/>
      <c r="I31" s="5"/>
      <c r="J31" s="5"/>
      <c r="K31" s="14">
        <v>12</v>
      </c>
      <c r="L31" s="12">
        <f t="shared" si="0"/>
        <v>165</v>
      </c>
      <c r="M31" s="5"/>
      <c r="N31" s="268">
        <v>0</v>
      </c>
      <c r="O31" s="7">
        <v>0</v>
      </c>
      <c r="P31" s="5"/>
      <c r="Q31" s="200">
        <f t="shared" si="1"/>
        <v>0</v>
      </c>
      <c r="R31" s="143">
        <v>42976</v>
      </c>
    </row>
    <row r="32" spans="1:18" x14ac:dyDescent="0.3">
      <c r="A32" s="5" t="s">
        <v>829</v>
      </c>
      <c r="B32" s="5" t="s">
        <v>840</v>
      </c>
      <c r="C32" s="5"/>
      <c r="D32" s="5">
        <v>170</v>
      </c>
      <c r="E32" s="5" t="s">
        <v>424</v>
      </c>
      <c r="F32" s="7">
        <v>140</v>
      </c>
      <c r="G32" s="5" t="s">
        <v>14</v>
      </c>
      <c r="H32" s="5"/>
      <c r="I32" s="5"/>
      <c r="J32" s="5"/>
      <c r="K32" s="14">
        <v>12</v>
      </c>
      <c r="L32" s="12">
        <f t="shared" si="0"/>
        <v>140</v>
      </c>
      <c r="M32" s="5"/>
      <c r="N32" s="268">
        <v>0</v>
      </c>
      <c r="O32" s="7">
        <v>0</v>
      </c>
      <c r="P32" s="5"/>
      <c r="Q32" s="200">
        <f t="shared" si="1"/>
        <v>0</v>
      </c>
      <c r="R32" s="143">
        <v>42976</v>
      </c>
    </row>
    <row r="33" spans="1:18" x14ac:dyDescent="0.3">
      <c r="A33" s="5" t="s">
        <v>311</v>
      </c>
      <c r="B33" s="5" t="s">
        <v>841</v>
      </c>
      <c r="C33" s="5"/>
      <c r="D33" s="5">
        <v>246</v>
      </c>
      <c r="E33" s="5" t="s">
        <v>424</v>
      </c>
      <c r="F33" s="14">
        <v>2534</v>
      </c>
      <c r="G33" s="5" t="s">
        <v>14</v>
      </c>
      <c r="H33" s="5"/>
      <c r="I33" s="5"/>
      <c r="J33" s="5"/>
      <c r="K33" s="14">
        <v>12</v>
      </c>
      <c r="L33" s="12">
        <f t="shared" si="0"/>
        <v>2534</v>
      </c>
      <c r="M33" s="5"/>
      <c r="N33" s="268">
        <v>0</v>
      </c>
      <c r="O33" s="7">
        <v>0</v>
      </c>
      <c r="P33" s="5"/>
      <c r="Q33" s="200">
        <f t="shared" si="1"/>
        <v>0</v>
      </c>
      <c r="R33" s="143">
        <v>42976</v>
      </c>
    </row>
    <row r="34" spans="1:18" ht="15" thickBot="1" x14ac:dyDescent="0.35">
      <c r="A34" s="5" t="s">
        <v>311</v>
      </c>
      <c r="B34" s="5" t="s">
        <v>841</v>
      </c>
      <c r="C34" s="5"/>
      <c r="D34" s="5">
        <v>265</v>
      </c>
      <c r="E34" s="5" t="s">
        <v>433</v>
      </c>
      <c r="F34" s="14">
        <v>2792</v>
      </c>
      <c r="G34" s="5" t="s">
        <v>14</v>
      </c>
      <c r="H34" s="5"/>
      <c r="I34" s="5"/>
      <c r="J34" s="5"/>
      <c r="K34" s="14">
        <v>12</v>
      </c>
      <c r="L34" s="12">
        <f t="shared" si="0"/>
        <v>2792</v>
      </c>
      <c r="M34" s="5"/>
      <c r="N34" s="268">
        <v>0</v>
      </c>
      <c r="O34" s="7">
        <v>0</v>
      </c>
      <c r="P34" s="5"/>
      <c r="Q34" s="200">
        <f t="shared" si="1"/>
        <v>0</v>
      </c>
      <c r="R34" s="143">
        <v>42978</v>
      </c>
    </row>
    <row r="35" spans="1:18" ht="15" thickBot="1" x14ac:dyDescent="0.35">
      <c r="A35" s="3"/>
      <c r="B35" s="3"/>
      <c r="C35" s="3"/>
      <c r="D35" s="3"/>
      <c r="E35" s="3"/>
      <c r="F35" s="128">
        <f>SUM(F9:F34)</f>
        <v>64710</v>
      </c>
      <c r="G35" s="3"/>
      <c r="H35" s="3"/>
      <c r="I35" s="3"/>
      <c r="J35" s="3"/>
      <c r="K35" s="252"/>
      <c r="L35" s="253">
        <f>+SUM(L9:L34)</f>
        <v>64710</v>
      </c>
      <c r="M35" s="253">
        <f>+SUM(M9:M34)</f>
        <v>0</v>
      </c>
      <c r="N35" s="253">
        <f>+SUM(N9:N34)</f>
        <v>1890</v>
      </c>
      <c r="O35" s="253">
        <f>SUM(O9:O34)</f>
        <v>1890</v>
      </c>
      <c r="P35" s="253">
        <f>+SUM(P9:P34)</f>
        <v>0</v>
      </c>
    </row>
    <row r="36" spans="1:18" x14ac:dyDescent="0.3">
      <c r="N36" s="200"/>
    </row>
  </sheetData>
  <sortState ref="A9:R34">
    <sortCondition ref="R9:R3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workbookViewId="0">
      <selection activeCell="C13" sqref="C13"/>
    </sheetView>
  </sheetViews>
  <sheetFormatPr defaultRowHeight="14.4" x14ac:dyDescent="0.3"/>
  <cols>
    <col min="1" max="1" width="30.33203125" bestFit="1" customWidth="1"/>
    <col min="5" max="5" width="12" customWidth="1"/>
  </cols>
  <sheetData>
    <row r="1" spans="1:23" ht="15" thickTop="1" x14ac:dyDescent="0.3">
      <c r="A1" s="144"/>
      <c r="B1" s="145"/>
      <c r="C1" s="145"/>
      <c r="D1" s="145"/>
      <c r="E1" s="145"/>
      <c r="F1" s="145"/>
      <c r="G1" s="145"/>
      <c r="H1" s="145"/>
      <c r="I1" s="145"/>
      <c r="J1" s="145"/>
      <c r="K1" s="178"/>
      <c r="L1" s="145"/>
      <c r="M1" s="145"/>
      <c r="N1" s="145"/>
      <c r="O1" s="145"/>
      <c r="P1" s="145"/>
      <c r="Q1" s="179"/>
      <c r="R1" s="145"/>
      <c r="S1" s="145"/>
      <c r="T1" s="145"/>
      <c r="U1" s="145"/>
      <c r="V1" s="145"/>
      <c r="W1" s="180"/>
    </row>
    <row r="2" spans="1:23" x14ac:dyDescent="0.3">
      <c r="A2" s="165"/>
      <c r="B2" s="118"/>
      <c r="C2" s="118"/>
      <c r="D2" s="118"/>
      <c r="E2" s="118"/>
      <c r="F2" s="118"/>
      <c r="G2" s="118"/>
      <c r="H2" s="118"/>
      <c r="I2" s="118"/>
      <c r="J2" s="118"/>
      <c r="K2" s="181"/>
      <c r="L2" s="118"/>
      <c r="M2" s="118"/>
      <c r="N2" s="118"/>
      <c r="O2" s="118"/>
      <c r="P2" s="118"/>
      <c r="Q2" s="182"/>
      <c r="R2" s="118"/>
      <c r="S2" s="118"/>
      <c r="T2" s="118"/>
      <c r="U2" s="118"/>
      <c r="V2" s="118"/>
      <c r="W2" s="166"/>
    </row>
    <row r="3" spans="1:23" x14ac:dyDescent="0.3">
      <c r="A3" s="165"/>
      <c r="B3" s="118"/>
      <c r="C3" s="118" t="s">
        <v>298</v>
      </c>
      <c r="D3" s="118"/>
      <c r="E3" s="118"/>
      <c r="F3" s="118"/>
      <c r="G3" s="118"/>
      <c r="H3" s="118"/>
      <c r="I3" s="118"/>
      <c r="J3" s="118"/>
      <c r="K3" s="181"/>
      <c r="L3" s="118"/>
      <c r="M3" s="118"/>
      <c r="N3" s="118"/>
      <c r="O3" s="118"/>
      <c r="P3" s="118"/>
      <c r="Q3" s="182"/>
      <c r="R3" s="118"/>
      <c r="S3" s="118"/>
      <c r="T3" s="118"/>
      <c r="U3" s="118"/>
      <c r="V3" s="118"/>
      <c r="W3" s="166"/>
    </row>
    <row r="4" spans="1:23" ht="15" thickBot="1" x14ac:dyDescent="0.35">
      <c r="A4" s="183"/>
      <c r="B4" s="184"/>
      <c r="C4" s="184"/>
      <c r="D4" s="184"/>
      <c r="E4" s="184"/>
      <c r="F4" s="184"/>
      <c r="G4" s="184"/>
      <c r="H4" s="184"/>
      <c r="I4" s="184"/>
      <c r="J4" s="184"/>
      <c r="K4" s="185"/>
      <c r="L4" s="184"/>
      <c r="M4" s="184"/>
      <c r="N4" s="184"/>
      <c r="O4" s="184"/>
      <c r="P4" s="184"/>
      <c r="Q4" s="186"/>
      <c r="R4" s="184"/>
      <c r="S4" s="184"/>
      <c r="T4" s="184"/>
      <c r="U4" s="184"/>
      <c r="V4" s="184"/>
      <c r="W4" s="187"/>
    </row>
    <row r="5" spans="1:23" ht="15.6" thickTop="1" thickBot="1" x14ac:dyDescent="0.35">
      <c r="A5" s="193" t="s">
        <v>15</v>
      </c>
      <c r="B5" s="193" t="s">
        <v>0</v>
      </c>
      <c r="C5" s="193" t="s">
        <v>16</v>
      </c>
      <c r="D5" s="193" t="s">
        <v>17</v>
      </c>
      <c r="E5" s="193" t="s">
        <v>19</v>
      </c>
      <c r="F5" s="193" t="s">
        <v>26</v>
      </c>
      <c r="G5" s="193" t="s">
        <v>29</v>
      </c>
      <c r="H5" s="193" t="s">
        <v>19</v>
      </c>
      <c r="I5" s="194" t="s">
        <v>58</v>
      </c>
      <c r="J5" s="195" t="s">
        <v>35</v>
      </c>
      <c r="K5" s="196" t="s">
        <v>25</v>
      </c>
      <c r="L5" s="197" t="s">
        <v>1</v>
      </c>
      <c r="M5" s="198" t="s">
        <v>2</v>
      </c>
      <c r="N5" s="198" t="s">
        <v>3</v>
      </c>
      <c r="O5" s="198" t="s">
        <v>4</v>
      </c>
      <c r="P5" s="250" t="s">
        <v>342</v>
      </c>
      <c r="Q5" s="199" t="s">
        <v>7</v>
      </c>
      <c r="R5" s="193" t="s">
        <v>20</v>
      </c>
      <c r="S5" s="193" t="s">
        <v>23</v>
      </c>
      <c r="T5" s="193" t="s">
        <v>8</v>
      </c>
      <c r="U5" s="193" t="s">
        <v>9</v>
      </c>
      <c r="V5" s="193" t="s">
        <v>10</v>
      </c>
      <c r="W5" s="193" t="s">
        <v>31</v>
      </c>
    </row>
    <row r="6" spans="1:23" ht="15" thickBot="1" x14ac:dyDescent="0.35">
      <c r="A6" s="127"/>
      <c r="B6" s="127"/>
      <c r="C6" s="127"/>
      <c r="D6" s="127"/>
      <c r="E6" s="127" t="s">
        <v>18</v>
      </c>
      <c r="F6" s="127" t="s">
        <v>27</v>
      </c>
      <c r="G6" s="127" t="s">
        <v>30</v>
      </c>
      <c r="H6" s="127" t="s">
        <v>28</v>
      </c>
      <c r="I6" s="23"/>
      <c r="J6" s="135" t="s">
        <v>24</v>
      </c>
      <c r="K6" s="134" t="s">
        <v>18</v>
      </c>
      <c r="L6" s="18" t="s">
        <v>18</v>
      </c>
      <c r="M6" s="18" t="s">
        <v>18</v>
      </c>
      <c r="N6" s="18" t="s">
        <v>18</v>
      </c>
      <c r="O6" s="18" t="s">
        <v>18</v>
      </c>
      <c r="P6" s="127" t="s">
        <v>343</v>
      </c>
      <c r="Q6" s="174" t="s">
        <v>33</v>
      </c>
      <c r="R6" s="127" t="s">
        <v>21</v>
      </c>
      <c r="S6" s="127"/>
      <c r="T6" s="127" t="s">
        <v>32</v>
      </c>
      <c r="U6" s="127" t="s">
        <v>32</v>
      </c>
      <c r="V6" s="127" t="s">
        <v>32</v>
      </c>
      <c r="W6" s="127" t="s">
        <v>32</v>
      </c>
    </row>
    <row r="7" spans="1:23" x14ac:dyDescent="0.3">
      <c r="A7" s="5" t="s">
        <v>344</v>
      </c>
      <c r="B7" s="5"/>
      <c r="C7" s="5"/>
      <c r="D7" s="5"/>
      <c r="E7" s="7">
        <v>156130</v>
      </c>
      <c r="F7" s="5"/>
      <c r="G7" s="5"/>
      <c r="H7" s="5"/>
      <c r="I7" s="5"/>
      <c r="J7" s="14"/>
      <c r="K7" s="12"/>
      <c r="L7" s="5"/>
      <c r="M7" s="5"/>
      <c r="N7" s="5"/>
      <c r="O7" s="5"/>
      <c r="P7" s="5"/>
      <c r="Q7" s="5"/>
      <c r="R7" s="17"/>
      <c r="S7" s="5"/>
      <c r="T7" s="7"/>
      <c r="U7" s="7"/>
      <c r="V7" s="7"/>
      <c r="W7" s="7"/>
    </row>
    <row r="8" spans="1:23" x14ac:dyDescent="0.3">
      <c r="A8" s="5" t="s">
        <v>344</v>
      </c>
      <c r="B8" s="5"/>
      <c r="C8" s="5"/>
      <c r="D8" s="5"/>
      <c r="E8" s="7">
        <v>3160</v>
      </c>
      <c r="F8" s="5"/>
      <c r="G8" s="5"/>
      <c r="H8" s="5"/>
      <c r="I8" s="5"/>
      <c r="J8" s="14"/>
      <c r="K8" s="12"/>
      <c r="L8" s="5"/>
      <c r="M8" s="5"/>
      <c r="N8" s="5"/>
      <c r="O8" s="5"/>
      <c r="P8" s="5" t="s">
        <v>343</v>
      </c>
      <c r="Q8" s="5"/>
      <c r="R8" s="17"/>
      <c r="S8" s="5"/>
      <c r="T8" s="7"/>
      <c r="U8" s="7"/>
      <c r="V8" s="7"/>
      <c r="W8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workbookViewId="0">
      <selection activeCell="H13" sqref="H13"/>
    </sheetView>
  </sheetViews>
  <sheetFormatPr defaultRowHeight="14.4" x14ac:dyDescent="0.3"/>
  <cols>
    <col min="1" max="1" width="9.5546875" customWidth="1"/>
    <col min="2" max="2" width="13.109375" bestFit="1" customWidth="1"/>
    <col min="3" max="3" width="11.21875" customWidth="1"/>
    <col min="4" max="4" width="13" customWidth="1"/>
    <col min="5" max="5" width="12.77734375" customWidth="1"/>
    <col min="6" max="6" width="12.88671875" customWidth="1"/>
    <col min="7" max="7" width="15.109375" bestFit="1" customWidth="1"/>
    <col min="8" max="8" width="15.44140625" customWidth="1"/>
    <col min="9" max="10" width="11.109375" bestFit="1" customWidth="1"/>
  </cols>
  <sheetData>
    <row r="1" spans="1:8" ht="16.8" thickTop="1" thickBot="1" x14ac:dyDescent="0.35">
      <c r="A1" s="241"/>
      <c r="B1" s="242"/>
      <c r="C1" s="242" t="s">
        <v>339</v>
      </c>
      <c r="D1" s="242"/>
      <c r="E1" s="242"/>
      <c r="F1" s="242"/>
      <c r="G1" s="242"/>
      <c r="H1" s="243"/>
    </row>
    <row r="2" spans="1:8" ht="16.8" thickTop="1" thickBot="1" x14ac:dyDescent="0.35">
      <c r="A2" s="240" t="s">
        <v>312</v>
      </c>
      <c r="B2" s="320" t="s">
        <v>337</v>
      </c>
      <c r="C2" s="321"/>
      <c r="D2" s="321"/>
      <c r="E2" s="321"/>
      <c r="F2" s="321"/>
      <c r="G2" s="321"/>
      <c r="H2" s="322"/>
    </row>
    <row r="3" spans="1:8" ht="16.2" thickBot="1" x14ac:dyDescent="0.35">
      <c r="A3" s="203" t="s">
        <v>313</v>
      </c>
      <c r="B3" s="323">
        <v>42917</v>
      </c>
      <c r="C3" s="324"/>
      <c r="D3" s="325"/>
      <c r="E3" s="325"/>
      <c r="F3" s="325"/>
      <c r="G3" s="325"/>
      <c r="H3" s="326"/>
    </row>
    <row r="4" spans="1:8" ht="16.5" customHeight="1" thickBot="1" x14ac:dyDescent="0.35">
      <c r="A4" s="204" t="s">
        <v>314</v>
      </c>
      <c r="B4" s="327" t="s">
        <v>338</v>
      </c>
      <c r="C4" s="328"/>
      <c r="D4" s="328"/>
      <c r="E4" s="328"/>
      <c r="F4" s="328"/>
      <c r="G4" s="328"/>
      <c r="H4" s="329"/>
    </row>
    <row r="5" spans="1:8" ht="21.6" thickBot="1" x14ac:dyDescent="0.45">
      <c r="A5" s="309" t="s">
        <v>353</v>
      </c>
      <c r="B5" s="310"/>
      <c r="C5" s="310"/>
      <c r="D5" s="310"/>
      <c r="E5" s="310"/>
      <c r="F5" s="310"/>
      <c r="G5" s="310"/>
      <c r="H5" s="311"/>
    </row>
    <row r="6" spans="1:8" ht="15" thickBot="1" x14ac:dyDescent="0.35">
      <c r="A6" s="246" t="s">
        <v>336</v>
      </c>
      <c r="B6" s="247" t="s">
        <v>59</v>
      </c>
      <c r="C6" s="248" t="s">
        <v>1</v>
      </c>
      <c r="D6" s="248" t="s">
        <v>316</v>
      </c>
      <c r="E6" s="248" t="s">
        <v>317</v>
      </c>
      <c r="F6" s="248" t="s">
        <v>318</v>
      </c>
      <c r="G6" s="248" t="s">
        <v>319</v>
      </c>
      <c r="H6" s="249" t="s">
        <v>320</v>
      </c>
    </row>
    <row r="7" spans="1:8" x14ac:dyDescent="0.3">
      <c r="A7" s="244">
        <v>0</v>
      </c>
      <c r="B7" s="223">
        <f>SUMIF(SALES!$J$7:$J$488,$A$7:$A$12,SALES!$K$7:$K$488)</f>
        <v>0</v>
      </c>
      <c r="C7" s="223">
        <f>SUMIF(SALES!$J$7:$J$488,$A$7:$A$12,SALES!$L$7:$L$488)</f>
        <v>0</v>
      </c>
      <c r="D7" s="223">
        <f>SUMIF(SALES!$J$7:$J$488,$A$7:$A$12,SALES!$M$7:$M$488)</f>
        <v>0</v>
      </c>
      <c r="E7" s="223">
        <f>SUMIF(SALES!$J$7:$J$488,$A$7:$A$12,SALES!$N$7:$N$488)</f>
        <v>0</v>
      </c>
      <c r="F7" s="223">
        <f>SUMIF(SALES!$J$7:$J$488,$A$7:$A$12,SALES!$O$7:$O$488)</f>
        <v>0</v>
      </c>
      <c r="G7" s="226">
        <f>+C7+D7+E7+F7</f>
        <v>0</v>
      </c>
      <c r="H7" s="245">
        <f t="shared" ref="H7:H12" si="0">+B7+G7</f>
        <v>0</v>
      </c>
    </row>
    <row r="8" spans="1:8" x14ac:dyDescent="0.3">
      <c r="A8" s="222">
        <v>3</v>
      </c>
      <c r="B8" s="207">
        <f>SUMIF(SALES!$J$7:$J$488,$A$7:$A$12,SALES!$K$7:$K$488)</f>
        <v>0</v>
      </c>
      <c r="C8" s="207">
        <f>SUMIF(SALES!$J$7:$J$488,$A$7:$A$12,SALES!$L$7:$L$488)</f>
        <v>0</v>
      </c>
      <c r="D8" s="207">
        <f>SUMIF(SALES!$J$7:$J$488,$A$7:$A$12,SALES!$M$7:$M$488)</f>
        <v>0</v>
      </c>
      <c r="E8" s="207">
        <f>SUMIF(SALES!$J$7:$J$488,$A$7:$A$12,SALES!$N$7:$N$488)</f>
        <v>0</v>
      </c>
      <c r="F8" s="207">
        <f>SUMIF(SALES!$J$7:$J$488,$A$7:$A$12,SALES!$O$7:$O$488)</f>
        <v>0</v>
      </c>
      <c r="G8" s="208">
        <f t="shared" ref="G8:G12" si="1">+C8+D8+E8+F8</f>
        <v>0</v>
      </c>
      <c r="H8" s="209">
        <f t="shared" si="0"/>
        <v>0</v>
      </c>
    </row>
    <row r="9" spans="1:8" x14ac:dyDescent="0.3">
      <c r="A9" s="222">
        <v>5</v>
      </c>
      <c r="B9" s="207">
        <f>SUMIF(SALES!$J$7:$J$488,$A$7:$A$12,SALES!$K$7:$K$488)</f>
        <v>0</v>
      </c>
      <c r="C9" s="207">
        <f>SUMIF(SALES!$J$7:$J$488,$A$7:$A$12,SALES!$L$7:$L$488)</f>
        <v>0</v>
      </c>
      <c r="D9" s="207">
        <f>SUMIF(SALES!$J$7:$J$488,$A$7:$A$12,SALES!$M$7:$M$488)</f>
        <v>0</v>
      </c>
      <c r="E9" s="207">
        <f>SUMIF(SALES!$J$7:$J$488,$A$7:$A$12,SALES!$N$7:$N$488)</f>
        <v>0</v>
      </c>
      <c r="F9" s="207">
        <f>SUMIF(SALES!$J$7:$J$488,$A$7:$A$12,SALES!$O$7:$O$488)</f>
        <v>0</v>
      </c>
      <c r="G9" s="208">
        <f t="shared" si="1"/>
        <v>0</v>
      </c>
      <c r="H9" s="209">
        <f t="shared" si="0"/>
        <v>0</v>
      </c>
    </row>
    <row r="10" spans="1:8" x14ac:dyDescent="0.3">
      <c r="A10" s="222">
        <v>12</v>
      </c>
      <c r="B10" s="207">
        <f>SUMIF(SALES!$J$7:$J$488,$A$7:$A$12,SALES!$K$7:$K$488)</f>
        <v>0</v>
      </c>
      <c r="C10" s="207">
        <f>SUMIF(SALES!$J$7:$J$488,$A$7:$A$12,SALES!$L$7:$L$488)</f>
        <v>0</v>
      </c>
      <c r="D10" s="207">
        <f>SUMIF(SALES!$J$7:$J$488,$A$7:$A$12,SALES!$M$7:$M$488)</f>
        <v>0</v>
      </c>
      <c r="E10" s="207">
        <f>SUMIF(SALES!$J$7:$J$488,$A$7:$A$12,SALES!$N$7:$N$488)</f>
        <v>0</v>
      </c>
      <c r="F10" s="207">
        <f>SUMIF(SALES!$J$7:$J$488,$A$7:$A$12,SALES!$O$7:$O$488)</f>
        <v>0</v>
      </c>
      <c r="G10" s="208">
        <f t="shared" si="1"/>
        <v>0</v>
      </c>
      <c r="H10" s="209">
        <f t="shared" si="0"/>
        <v>0</v>
      </c>
    </row>
    <row r="11" spans="1:8" ht="15" customHeight="1" x14ac:dyDescent="0.3">
      <c r="A11" s="222">
        <v>18</v>
      </c>
      <c r="B11" s="207">
        <f>SUMIF(SALES!$J$7:$J$488,$A$7:$A$12,SALES!$K$7:$K$488)</f>
        <v>630429.59999999986</v>
      </c>
      <c r="C11" s="207">
        <f>SUMIF(SALES!$J$7:$J$488,$A$7:$A$12,SALES!$L$7:$L$488)</f>
        <v>0</v>
      </c>
      <c r="D11" s="207">
        <f>SUMIF(SALES!$J$7:$J$488,$A$7:$A$12,SALES!$M$7:$M$488)</f>
        <v>56738.663999999946</v>
      </c>
      <c r="E11" s="207">
        <f>SUMIF(SALES!$J$7:$J$488,$A$7:$A$12,SALES!$N$7:$N$488)</f>
        <v>56738.663999999946</v>
      </c>
      <c r="F11" s="207">
        <f>SUMIF(SALES!$J$7:$J$488,$A$7:$A$12,SALES!$O$7:$O$488)</f>
        <v>0</v>
      </c>
      <c r="G11" s="208">
        <f t="shared" si="1"/>
        <v>113477.32799999989</v>
      </c>
      <c r="H11" s="209">
        <f t="shared" si="0"/>
        <v>743906.92799999972</v>
      </c>
    </row>
    <row r="12" spans="1:8" ht="15.75" customHeight="1" thickBot="1" x14ac:dyDescent="0.35">
      <c r="A12" s="228">
        <v>28</v>
      </c>
      <c r="B12" s="224">
        <f>SUMIF(SALES!$J$7:$J$488,$A$7:$A$12,SALES!$K$7:$K$488)</f>
        <v>8195383.9199999962</v>
      </c>
      <c r="C12" s="224">
        <f>SUMIF(SALES!$J$7:$J$488,$A$7:$A$12,SALES!$L$7:$L$488)</f>
        <v>76678.49000000002</v>
      </c>
      <c r="D12" s="224">
        <f>SUMIF(SALES!$J$7:$J$488,$A$7:$A$12,SALES!$M$7:$M$488)</f>
        <v>1109014.5337999999</v>
      </c>
      <c r="E12" s="224">
        <f>SUMIF(SALES!$J$7:$J$488,$A$7:$A$12,SALES!$N$7:$N$488)</f>
        <v>1109014.5337999999</v>
      </c>
      <c r="F12" s="224">
        <f>SUMIF(SALES!$J$7:$J$488,$A$7:$A$12,SALES!$O$7:$O$488)</f>
        <v>0</v>
      </c>
      <c r="G12" s="225">
        <f t="shared" si="1"/>
        <v>2294707.5575999999</v>
      </c>
      <c r="H12" s="229">
        <f t="shared" si="0"/>
        <v>10490091.477599997</v>
      </c>
    </row>
    <row r="13" spans="1:8" ht="15.75" customHeight="1" thickBot="1" x14ac:dyDescent="0.35">
      <c r="A13" s="232" t="s">
        <v>327</v>
      </c>
      <c r="B13" s="233">
        <f t="shared" ref="B13:H13" si="2">SUM(B7:B12)</f>
        <v>8825813.5199999958</v>
      </c>
      <c r="C13" s="233">
        <f t="shared" si="2"/>
        <v>76678.49000000002</v>
      </c>
      <c r="D13" s="233">
        <f t="shared" si="2"/>
        <v>1165753.1977999997</v>
      </c>
      <c r="E13" s="233">
        <f t="shared" si="2"/>
        <v>1165753.1977999997</v>
      </c>
      <c r="F13" s="233">
        <f t="shared" si="2"/>
        <v>0</v>
      </c>
      <c r="G13" s="233">
        <f t="shared" si="2"/>
        <v>2408184.8855999997</v>
      </c>
      <c r="H13" s="234">
        <f t="shared" si="2"/>
        <v>11233998.405599996</v>
      </c>
    </row>
    <row r="14" spans="1:8" ht="21.6" thickBot="1" x14ac:dyDescent="0.45">
      <c r="A14" s="309" t="s">
        <v>354</v>
      </c>
      <c r="B14" s="310"/>
      <c r="C14" s="310"/>
      <c r="D14" s="310"/>
      <c r="E14" s="310"/>
      <c r="F14" s="310"/>
      <c r="G14" s="310"/>
      <c r="H14" s="311"/>
    </row>
    <row r="15" spans="1:8" ht="15" thickBot="1" x14ac:dyDescent="0.35">
      <c r="A15" s="246" t="s">
        <v>336</v>
      </c>
      <c r="B15" s="248" t="s">
        <v>59</v>
      </c>
      <c r="C15" s="248" t="s">
        <v>1</v>
      </c>
      <c r="D15" s="248" t="s">
        <v>316</v>
      </c>
      <c r="E15" s="248" t="s">
        <v>317</v>
      </c>
      <c r="F15" s="248" t="s">
        <v>318</v>
      </c>
      <c r="G15" s="248" t="s">
        <v>333</v>
      </c>
      <c r="H15" s="249" t="s">
        <v>320</v>
      </c>
    </row>
    <row r="16" spans="1:8" x14ac:dyDescent="0.3">
      <c r="A16" s="244">
        <v>0</v>
      </c>
      <c r="B16" s="223">
        <v>0</v>
      </c>
      <c r="C16" s="223">
        <v>0</v>
      </c>
      <c r="D16" s="223">
        <v>0</v>
      </c>
      <c r="E16" s="223">
        <v>0</v>
      </c>
      <c r="F16" s="223">
        <f>SUMIF(PURCHASE!$J$2:$J$509,$A$16:$A$21,PURCHASE!$O$2:$O$509)</f>
        <v>0</v>
      </c>
      <c r="G16" s="227">
        <f t="shared" ref="G16:G21" si="3">+C16+D16+E16+F16</f>
        <v>0</v>
      </c>
      <c r="H16" s="245">
        <f>+B16+G16</f>
        <v>0</v>
      </c>
    </row>
    <row r="17" spans="1:12" x14ac:dyDescent="0.3">
      <c r="A17" s="222">
        <v>3</v>
      </c>
      <c r="B17" s="207">
        <f>SUMIF(PURCHASE!$J$2:$J$509,A17:A22,PURCHASE!$K$2:$K$509)</f>
        <v>0</v>
      </c>
      <c r="C17" s="207">
        <f>SUMIF(PURCHASE!$J$2:$J$509,$A$16:$A$21,PURCHASE!$L$2:$L$509)</f>
        <v>0</v>
      </c>
      <c r="D17" s="207">
        <f>SUMIF(PURCHASE!$J$2:$J$509,$A$16:$A$21,PURCHASE!$M$2:$M$509)</f>
        <v>0</v>
      </c>
      <c r="E17" s="207">
        <f>SUMIF(PURCHASE!$J$2:$J$509,$A$16:$A$21,PURCHASE!$N$2:$N$509)</f>
        <v>0</v>
      </c>
      <c r="F17" s="207">
        <f>SUMIF(PURCHASE!$J$2:$J$509,$A$16:$A$21,PURCHASE!$O$2:$O$509)</f>
        <v>0</v>
      </c>
      <c r="G17" s="208">
        <f t="shared" si="3"/>
        <v>0</v>
      </c>
      <c r="H17" s="209">
        <f t="shared" ref="H17:H21" si="4">+B17+G17</f>
        <v>0</v>
      </c>
    </row>
    <row r="18" spans="1:12" x14ac:dyDescent="0.3">
      <c r="A18" s="222">
        <v>5</v>
      </c>
      <c r="B18" s="207">
        <f>SUMIF(PURCHASE!$J$2:$J$509,A18:A23,PURCHASE!$K$2:$K$509)</f>
        <v>58160</v>
      </c>
      <c r="C18" s="207">
        <f>SUMIF(PURCHASE!$J$2:$J$509,$A$16:$A$21,PURCHASE!$L$2:$L$509)</f>
        <v>0</v>
      </c>
      <c r="D18" s="207">
        <f>SUMIF(PURCHASE!$J$2:$J$509,$A$16:$A$21,PURCHASE!$M$2:$M$509)</f>
        <v>1454</v>
      </c>
      <c r="E18" s="207">
        <f>SUMIF(PURCHASE!$J$2:$J$509,$A$16:$A$21,PURCHASE!$N$2:$N$509)</f>
        <v>1454</v>
      </c>
      <c r="F18" s="207">
        <f>SUMIF(PURCHASE!$J$2:$J$509,$A$16:$A$21,PURCHASE!$O$2:$O$509)</f>
        <v>0</v>
      </c>
      <c r="G18" s="208">
        <f t="shared" si="3"/>
        <v>2908</v>
      </c>
      <c r="H18" s="209">
        <f t="shared" si="4"/>
        <v>61068</v>
      </c>
    </row>
    <row r="19" spans="1:12" x14ac:dyDescent="0.3">
      <c r="A19" s="222">
        <v>12</v>
      </c>
      <c r="B19" s="207">
        <f>SUMIF(PURCHASE!$J$2:$J$509,A19:A24,PURCHASE!$K$2:$K$509)</f>
        <v>65926.5</v>
      </c>
      <c r="C19" s="207">
        <f>SUMIF(PURCHASE!$J$2:$J$509,$A$16:$A$21,PURCHASE!$L$2:$L$509)</f>
        <v>7598.64</v>
      </c>
      <c r="D19" s="207">
        <f>SUMIF(PURCHASE!$J$2:$J$509,$A$16:$A$21,PURCHASE!$M$2:$M$509)</f>
        <v>156.26999999999998</v>
      </c>
      <c r="E19" s="207">
        <f>SUMIF(PURCHASE!$J$2:$J$509,$A$16:$A$21,PURCHASE!$N$2:$N$509)</f>
        <v>156.26999999999998</v>
      </c>
      <c r="F19" s="207">
        <f>SUMIF(PURCHASE!$J$2:$J$509,$A$16:$A$21,PURCHASE!$O$2:$O$509)</f>
        <v>0</v>
      </c>
      <c r="G19" s="208">
        <f t="shared" si="3"/>
        <v>7911.18</v>
      </c>
      <c r="H19" s="209">
        <f t="shared" si="4"/>
        <v>73837.679999999993</v>
      </c>
    </row>
    <row r="20" spans="1:12" x14ac:dyDescent="0.3">
      <c r="A20" s="222">
        <v>18</v>
      </c>
      <c r="B20" s="207">
        <f>SUMIF(PURCHASE!$J$2:$J$509,A20:A25,PURCHASE!$K$2:$K$509)</f>
        <v>1480638.4400000002</v>
      </c>
      <c r="C20" s="207">
        <f>SUMIF(PURCHASE!$J$2:$J$509,$A$16:$A$21,PURCHASE!$L$2:$L$509)</f>
        <v>0</v>
      </c>
      <c r="D20" s="207">
        <f>SUMIF(PURCHASE!$J$2:$J$509,$A$16:$A$21,PURCHASE!$M$2:$M$509)</f>
        <v>133257.43959999998</v>
      </c>
      <c r="E20" s="207">
        <f>SUMIF(PURCHASE!$J$2:$J$509,$A$16:$A$21,PURCHASE!$N$2:$N$509)</f>
        <v>133257.43959999998</v>
      </c>
      <c r="F20" s="207">
        <f>SUMIF(PURCHASE!$J$2:$J$509,$A$16:$A$21,PURCHASE!$O$2:$O$509)</f>
        <v>0</v>
      </c>
      <c r="G20" s="208">
        <f t="shared" si="3"/>
        <v>266514.87919999997</v>
      </c>
      <c r="H20" s="209">
        <f t="shared" si="4"/>
        <v>1747153.3192000003</v>
      </c>
    </row>
    <row r="21" spans="1:12" ht="15" thickBot="1" x14ac:dyDescent="0.35">
      <c r="A21" s="228">
        <v>28</v>
      </c>
      <c r="B21" s="224">
        <f>SUMIF(PURCHASE!$J$2:$J$509,A21:A26,PURCHASE!$K$2:$K$509)</f>
        <v>6033557.5399999963</v>
      </c>
      <c r="C21" s="224">
        <f>SUMIF(PURCHASE!$J$2:$J$509,$A$16:$A$21,PURCHASE!$L$2:$L$509)</f>
        <v>46275.733199999995</v>
      </c>
      <c r="D21" s="224">
        <f>SUMIF(PURCHASE!$J$2:$J$509,$A$16:$A$21,PURCHASE!$M$2:$M$509)</f>
        <v>821560.17079999996</v>
      </c>
      <c r="E21" s="224">
        <f>SUMIF(PURCHASE!$J$2:$J$509,$A$16:$A$21,PURCHASE!$N$2:$N$509)</f>
        <v>821560.17079999996</v>
      </c>
      <c r="F21" s="224">
        <f>SUMIF(PURCHASE!$J$2:$J$509,$A$16:$A$21,PURCHASE!$O$2:$O$509)</f>
        <v>0</v>
      </c>
      <c r="G21" s="225">
        <f t="shared" si="3"/>
        <v>1689396.0748000001</v>
      </c>
      <c r="H21" s="229">
        <f t="shared" si="4"/>
        <v>7722953.6147999968</v>
      </c>
    </row>
    <row r="22" spans="1:12" ht="15" thickBot="1" x14ac:dyDescent="0.35">
      <c r="A22" s="230" t="s">
        <v>334</v>
      </c>
      <c r="B22" s="210">
        <f t="shared" ref="B22:H22" si="5">SUM(B16:B21)</f>
        <v>7638282.4799999967</v>
      </c>
      <c r="C22" s="210">
        <f t="shared" si="5"/>
        <v>53874.373199999995</v>
      </c>
      <c r="D22" s="210">
        <f t="shared" si="5"/>
        <v>956427.88039999991</v>
      </c>
      <c r="E22" s="210">
        <f t="shared" si="5"/>
        <v>956427.88039999991</v>
      </c>
      <c r="F22" s="210">
        <f t="shared" si="5"/>
        <v>0</v>
      </c>
      <c r="G22" s="210">
        <f t="shared" si="5"/>
        <v>1966730.1340000001</v>
      </c>
      <c r="H22" s="231">
        <f t="shared" si="5"/>
        <v>9605012.6139999963</v>
      </c>
      <c r="I22" s="200"/>
      <c r="J22" s="200">
        <f>+C13-C22</f>
        <v>22804.116800000025</v>
      </c>
    </row>
    <row r="23" spans="1:12" ht="21.6" thickBot="1" x14ac:dyDescent="0.45">
      <c r="A23" s="309" t="s">
        <v>355</v>
      </c>
      <c r="B23" s="310"/>
      <c r="C23" s="310"/>
      <c r="D23" s="310"/>
      <c r="E23" s="310"/>
      <c r="F23" s="310"/>
      <c r="G23" s="310"/>
      <c r="H23" s="311"/>
      <c r="J23" s="200">
        <f>+D13-D22</f>
        <v>209325.31739999983</v>
      </c>
    </row>
    <row r="24" spans="1:12" ht="15" thickBot="1" x14ac:dyDescent="0.35">
      <c r="A24" s="246" t="s">
        <v>336</v>
      </c>
      <c r="B24" s="248" t="s">
        <v>59</v>
      </c>
      <c r="C24" s="248" t="s">
        <v>1</v>
      </c>
      <c r="D24" s="248" t="s">
        <v>316</v>
      </c>
      <c r="E24" s="248" t="s">
        <v>317</v>
      </c>
      <c r="F24" s="248" t="s">
        <v>318</v>
      </c>
      <c r="G24" s="248" t="s">
        <v>333</v>
      </c>
      <c r="H24" s="249" t="s">
        <v>320</v>
      </c>
      <c r="J24" s="200">
        <f>+E13-E22</f>
        <v>209325.31739999983</v>
      </c>
      <c r="K24">
        <v>209323</v>
      </c>
      <c r="L24" s="200">
        <f>+K24-J24</f>
        <v>-2.3173999998252839</v>
      </c>
    </row>
    <row r="25" spans="1:12" x14ac:dyDescent="0.3">
      <c r="A25" s="244">
        <v>0</v>
      </c>
      <c r="B25" s="207">
        <f>SUMIF('REVERSE CHARGE MECHANISM '!$K1:$K$1499,$A$25:$A$30,'REVERSE CHARGE MECHANISM '!L$1:L$1499)</f>
        <v>0</v>
      </c>
      <c r="C25" s="207">
        <f>SUMIF('REVERSE CHARGE MECHANISM '!$K1:$K$1499,$A$25:$A$30,'REVERSE CHARGE MECHANISM '!M$1:M$1499)</f>
        <v>0</v>
      </c>
      <c r="D25" s="207">
        <f>SUMIF('REVERSE CHARGE MECHANISM '!$K1:$K$1499,$A$25:$A$30,'REVERSE CHARGE MECHANISM '!N$1:N$1499)</f>
        <v>0</v>
      </c>
      <c r="E25" s="207">
        <f>SUMIF('REVERSE CHARGE MECHANISM '!$K1:$K$1499,$A$25:$A$30,'REVERSE CHARGE MECHANISM '!O$1:O$1499)</f>
        <v>0</v>
      </c>
      <c r="F25" s="207">
        <f>SUMIF('REVERSE CHARGE MECHANISM '!$K1:$K$1499,$A$25:$A$30,'REVERSE CHARGE MECHANISM '!P$1:P$1499)</f>
        <v>0</v>
      </c>
      <c r="G25" s="227">
        <f t="shared" ref="G25:G30" si="6">+C25+D25+E25+F25</f>
        <v>0</v>
      </c>
      <c r="H25" s="245">
        <f t="shared" ref="H25:H30" si="7">+B25+G25</f>
        <v>0</v>
      </c>
    </row>
    <row r="26" spans="1:12" x14ac:dyDescent="0.3">
      <c r="A26" s="222">
        <v>3</v>
      </c>
      <c r="B26" s="207">
        <f>SUMIF('REVERSE CHARGE MECHANISM '!$K2:$K$1499,$A$25:$A$30,'REVERSE CHARGE MECHANISM '!L$1:L$1499)</f>
        <v>0</v>
      </c>
      <c r="C26" s="207">
        <f>SUMIF('REVERSE CHARGE MECHANISM '!$K2:$K$1499,$A$25:$A$30,'REVERSE CHARGE MECHANISM '!M$1:M$1499)</f>
        <v>0</v>
      </c>
      <c r="D26" s="207">
        <f>SUMIF('REVERSE CHARGE MECHANISM '!$K2:$K$1499,$A$25:$A$30,'REVERSE CHARGE MECHANISM '!N$1:N$1499)</f>
        <v>0</v>
      </c>
      <c r="E26" s="207">
        <f>SUMIF('REVERSE CHARGE MECHANISM '!$K2:$K$1499,$A$25:$A$30,'REVERSE CHARGE MECHANISM '!O$1:O$1499)</f>
        <v>0</v>
      </c>
      <c r="F26" s="207">
        <f>SUMIF('REVERSE CHARGE MECHANISM '!$K2:$K$1499,$A$25:$A$30,'REVERSE CHARGE MECHANISM '!P$1:P$1499)</f>
        <v>0</v>
      </c>
      <c r="G26" s="208">
        <f t="shared" si="6"/>
        <v>0</v>
      </c>
      <c r="H26" s="209">
        <f t="shared" si="7"/>
        <v>0</v>
      </c>
    </row>
    <row r="27" spans="1:12" x14ac:dyDescent="0.3">
      <c r="A27" s="222">
        <v>5</v>
      </c>
      <c r="B27" s="207">
        <f>SUMIF('REVERSE CHARGE MECHANISM '!K9:K34,$A$25:$A$30,'REVERSE CHARGE MECHANISM '!L9:L34)</f>
        <v>4460</v>
      </c>
      <c r="C27" s="207">
        <f>SUMIF('REVERSE CHARGE MECHANISM '!$K3:$K$1499,$A$25:$A$30,'REVERSE CHARGE MECHANISM '!M$1:M$1499)</f>
        <v>0</v>
      </c>
      <c r="D27" s="207">
        <f>SUMIF('REVERSE CHARGE MECHANISM '!$K9:$K$34,$A$25:$A$30,'REVERSE CHARGE MECHANISM '!N$9:N$34)</f>
        <v>90</v>
      </c>
      <c r="E27" s="207">
        <f>SUMIF('REVERSE CHARGE MECHANISM '!$K9:$K$34,$A$25:$A$30,'REVERSE CHARGE MECHANISM '!O$9:O$34)</f>
        <v>90</v>
      </c>
      <c r="F27" s="207">
        <f>SUMIF('REVERSE CHARGE MECHANISM '!$K3:$K$1499,$A$25:$A$30,'REVERSE CHARGE MECHANISM '!P$1:P$1499)</f>
        <v>0</v>
      </c>
      <c r="G27" s="208">
        <f t="shared" si="6"/>
        <v>180</v>
      </c>
      <c r="H27" s="209">
        <f t="shared" si="7"/>
        <v>4640</v>
      </c>
      <c r="I27" s="255">
        <f>+D27/B27</f>
        <v>2.0179372197309416E-2</v>
      </c>
    </row>
    <row r="28" spans="1:12" x14ac:dyDescent="0.3">
      <c r="A28" s="222">
        <v>12</v>
      </c>
      <c r="B28" s="207">
        <f>SUMIF('REVERSE CHARGE MECHANISM '!$K9:$K$34,$A$25:$A$30,'REVERSE CHARGE MECHANISM '!L$9:L$34)</f>
        <v>34400</v>
      </c>
      <c r="C28" s="207">
        <f>SUMIF('REVERSE CHARGE MECHANISM '!$K4:$K$1499,$A$25:$A$30,'REVERSE CHARGE MECHANISM '!M$1:M$1499)</f>
        <v>0</v>
      </c>
      <c r="D28" s="207">
        <f>SUMIF('REVERSE CHARGE MECHANISM '!$K9:$K$34,$A$25:$A$30,'REVERSE CHARGE MECHANISM '!N$9:N$34)</f>
        <v>0</v>
      </c>
      <c r="E28" s="207">
        <f>SUMIF('REVERSE CHARGE MECHANISM '!$K9:$K$34,$A$25:$A$30,'REVERSE CHARGE MECHANISM '!O$9:O$34)</f>
        <v>0</v>
      </c>
      <c r="F28" s="207">
        <f>SUMIF('REVERSE CHARGE MECHANISM '!$K4:$K$1499,$A$25:$A$30,'REVERSE CHARGE MECHANISM '!P$1:P$1499)</f>
        <v>0</v>
      </c>
      <c r="G28" s="208">
        <f t="shared" si="6"/>
        <v>0</v>
      </c>
      <c r="H28" s="209">
        <f t="shared" si="7"/>
        <v>34400</v>
      </c>
      <c r="I28" s="255">
        <f t="shared" ref="I28:I29" si="8">+D28/B28</f>
        <v>0</v>
      </c>
    </row>
    <row r="29" spans="1:12" x14ac:dyDescent="0.3">
      <c r="A29" s="222">
        <v>18</v>
      </c>
      <c r="B29" s="207">
        <f>SUMIF('REVERSE CHARGE MECHANISM '!$K9:$K$34,$A$25:$A$30,'REVERSE CHARGE MECHANISM '!L$9:L$34)</f>
        <v>25850</v>
      </c>
      <c r="C29" s="207">
        <f>SUMIF('REVERSE CHARGE MECHANISM '!$K5:$K$1499,$A$25:$A$30,'REVERSE CHARGE MECHANISM '!M$1:M$1499)</f>
        <v>0</v>
      </c>
      <c r="D29" s="207">
        <f>SUMIF('REVERSE CHARGE MECHANISM '!$K9:$K$34,$A$25:$A$30,'REVERSE CHARGE MECHANISM '!N$9:N$34)</f>
        <v>1800</v>
      </c>
      <c r="E29" s="207">
        <f>SUMIF('REVERSE CHARGE MECHANISM '!$K9:$K$34,$A$25:$A$30,'REVERSE CHARGE MECHANISM '!O$9:O$34)</f>
        <v>1800</v>
      </c>
      <c r="F29" s="207">
        <f>SUMIF('REVERSE CHARGE MECHANISM '!$K5:$K$1499,$A$25:$A$30,'REVERSE CHARGE MECHANISM '!P$1:P$1499)</f>
        <v>0</v>
      </c>
      <c r="G29" s="208">
        <f t="shared" si="6"/>
        <v>3600</v>
      </c>
      <c r="H29" s="209">
        <f t="shared" si="7"/>
        <v>29450</v>
      </c>
      <c r="I29" s="255">
        <f t="shared" si="8"/>
        <v>6.9632495164410058E-2</v>
      </c>
    </row>
    <row r="30" spans="1:12" ht="15" thickBot="1" x14ac:dyDescent="0.35">
      <c r="A30" s="228">
        <v>28</v>
      </c>
      <c r="B30" s="207">
        <f>SUMIF('REVERSE CHARGE MECHANISM '!$K6:$K$1499,$A$25:$A$30,'REVERSE CHARGE MECHANISM '!L$1:L$1499)</f>
        <v>0</v>
      </c>
      <c r="C30" s="207">
        <f>SUMIF('REVERSE CHARGE MECHANISM '!$K6:$K$1499,$A$25:$A$30,'REVERSE CHARGE MECHANISM '!M$1:M$1499)</f>
        <v>0</v>
      </c>
      <c r="D30" s="207">
        <f>SUMIF('REVERSE CHARGE MECHANISM '!$K6:$K$1499,$A$25:$A$30,'REVERSE CHARGE MECHANISM '!N$1:N$1499)</f>
        <v>0</v>
      </c>
      <c r="E30" s="207">
        <f>SUMIF('REVERSE CHARGE MECHANISM '!$K6:$K$1499,$A$25:$A$30,'REVERSE CHARGE MECHANISM '!O$1:O$1499)</f>
        <v>0</v>
      </c>
      <c r="F30" s="207">
        <f>SUMIF('REVERSE CHARGE MECHANISM '!$K6:$K$1499,$A$25:$A$30,'REVERSE CHARGE MECHANISM '!P$1:P$1499)</f>
        <v>0</v>
      </c>
      <c r="G30" s="225">
        <f t="shared" si="6"/>
        <v>0</v>
      </c>
      <c r="H30" s="229">
        <f t="shared" si="7"/>
        <v>0</v>
      </c>
    </row>
    <row r="31" spans="1:12" ht="15" thickBot="1" x14ac:dyDescent="0.35">
      <c r="A31" s="230" t="s">
        <v>335</v>
      </c>
      <c r="B31" s="210">
        <f>SUM(B25:B30)</f>
        <v>64710</v>
      </c>
      <c r="C31" s="210">
        <f t="shared" ref="C31:H31" si="9">SUM(C25:C30)</f>
        <v>0</v>
      </c>
      <c r="D31" s="210">
        <f t="shared" si="9"/>
        <v>1890</v>
      </c>
      <c r="E31" s="210">
        <f t="shared" si="9"/>
        <v>1890</v>
      </c>
      <c r="F31" s="210">
        <f t="shared" si="9"/>
        <v>0</v>
      </c>
      <c r="G31" s="210">
        <f t="shared" si="9"/>
        <v>3780</v>
      </c>
      <c r="H31" s="231">
        <f t="shared" si="9"/>
        <v>68490</v>
      </c>
    </row>
    <row r="32" spans="1:12" ht="15" thickBot="1" x14ac:dyDescent="0.35"/>
    <row r="33" spans="1:10" ht="15" thickBot="1" x14ac:dyDescent="0.35">
      <c r="A33" s="315" t="s">
        <v>315</v>
      </c>
      <c r="B33" s="316"/>
      <c r="C33" s="316"/>
      <c r="D33" s="317"/>
      <c r="E33" s="237" t="s">
        <v>1</v>
      </c>
      <c r="F33" s="237" t="s">
        <v>2</v>
      </c>
      <c r="G33" s="237" t="s">
        <v>3</v>
      </c>
      <c r="H33" s="238" t="s">
        <v>31</v>
      </c>
    </row>
    <row r="34" spans="1:10" x14ac:dyDescent="0.3">
      <c r="A34" s="312" t="s">
        <v>321</v>
      </c>
      <c r="B34" s="313"/>
      <c r="C34" s="313"/>
      <c r="D34" s="314"/>
      <c r="E34" s="239">
        <f>+C13</f>
        <v>76678.49000000002</v>
      </c>
      <c r="F34" s="239">
        <f>+D13</f>
        <v>1165753.1977999997</v>
      </c>
      <c r="G34" s="239">
        <f>+E13</f>
        <v>1165753.1977999997</v>
      </c>
      <c r="H34" s="236">
        <f>SUM(E34:G34)</f>
        <v>2408184.8855999997</v>
      </c>
    </row>
    <row r="35" spans="1:10" x14ac:dyDescent="0.3">
      <c r="A35" s="318" t="s">
        <v>322</v>
      </c>
      <c r="B35" s="319"/>
      <c r="C35" s="319"/>
      <c r="D35" s="319"/>
      <c r="E35" s="205">
        <f>+C31</f>
        <v>0</v>
      </c>
      <c r="F35" s="205">
        <f>+D31</f>
        <v>1890</v>
      </c>
      <c r="G35" s="205">
        <f>+E31</f>
        <v>1890</v>
      </c>
      <c r="H35" s="206">
        <f t="shared" ref="H35:H36" si="10">SUM(E35:G35)</f>
        <v>3780</v>
      </c>
    </row>
    <row r="36" spans="1:10" x14ac:dyDescent="0.3">
      <c r="A36" s="312" t="s">
        <v>323</v>
      </c>
      <c r="B36" s="313"/>
      <c r="C36" s="313"/>
      <c r="D36" s="314"/>
      <c r="E36" s="239">
        <f>+C22</f>
        <v>53874.373199999995</v>
      </c>
      <c r="F36" s="239">
        <f>+D22</f>
        <v>956427.88039999991</v>
      </c>
      <c r="G36" s="239">
        <f>+E22</f>
        <v>956427.88039999991</v>
      </c>
      <c r="H36" s="235">
        <f t="shared" si="10"/>
        <v>1966730.1339999998</v>
      </c>
    </row>
    <row r="37" spans="1:10" ht="15" thickBot="1" x14ac:dyDescent="0.35">
      <c r="A37" s="318" t="s">
        <v>838</v>
      </c>
      <c r="B37" s="319"/>
      <c r="C37" s="319"/>
      <c r="D37" s="319"/>
      <c r="E37" s="239">
        <v>0</v>
      </c>
      <c r="F37" s="239">
        <v>8488</v>
      </c>
      <c r="G37" s="239">
        <v>8488</v>
      </c>
      <c r="H37" s="283">
        <f>+G37+F37+E37</f>
        <v>16976</v>
      </c>
    </row>
    <row r="38" spans="1:10" ht="15" thickBot="1" x14ac:dyDescent="0.35">
      <c r="A38" s="315" t="s">
        <v>324</v>
      </c>
      <c r="B38" s="316"/>
      <c r="C38" s="316"/>
      <c r="D38" s="317"/>
      <c r="E38" s="210">
        <f>+E34+E35-E36-E37</f>
        <v>22804.116800000025</v>
      </c>
      <c r="F38" s="210">
        <f t="shared" ref="F38:H38" si="11">+F34+F35-F36-F37</f>
        <v>202727.31739999983</v>
      </c>
      <c r="G38" s="210">
        <f t="shared" si="11"/>
        <v>202727.31739999983</v>
      </c>
      <c r="H38" s="210">
        <f t="shared" si="11"/>
        <v>428258.75159999984</v>
      </c>
    </row>
    <row r="39" spans="1:10" x14ac:dyDescent="0.3">
      <c r="A39" s="294" t="s">
        <v>842</v>
      </c>
      <c r="B39" s="292"/>
      <c r="C39" s="292"/>
      <c r="D39" s="292"/>
      <c r="E39" s="293"/>
      <c r="F39" s="293"/>
      <c r="G39" s="293"/>
      <c r="H39" s="293"/>
    </row>
    <row r="40" spans="1:10" x14ac:dyDescent="0.3">
      <c r="A40" s="294" t="s">
        <v>843</v>
      </c>
      <c r="B40" s="292"/>
      <c r="C40" s="292"/>
      <c r="D40" s="292"/>
      <c r="E40" s="293"/>
      <c r="F40" s="293">
        <f>+H47</f>
        <v>553</v>
      </c>
      <c r="G40" s="293">
        <f>+I47</f>
        <v>553</v>
      </c>
      <c r="H40" s="293"/>
    </row>
    <row r="41" spans="1:10" ht="15" thickBot="1" x14ac:dyDescent="0.35">
      <c r="A41" s="294" t="s">
        <v>844</v>
      </c>
      <c r="B41" s="292"/>
      <c r="C41" s="292"/>
      <c r="D41" s="292"/>
      <c r="E41" s="293"/>
      <c r="F41" s="293">
        <f>+H48</f>
        <v>16</v>
      </c>
      <c r="G41" s="293">
        <f>+I48</f>
        <v>16</v>
      </c>
      <c r="H41" s="293"/>
    </row>
    <row r="42" spans="1:10" ht="15" thickBot="1" x14ac:dyDescent="0.35">
      <c r="A42" s="315" t="s">
        <v>324</v>
      </c>
      <c r="B42" s="316"/>
      <c r="C42" s="316"/>
      <c r="D42" s="317"/>
      <c r="E42" s="210">
        <f>+E38+E40+E41</f>
        <v>22804.116800000025</v>
      </c>
      <c r="F42" s="210">
        <f t="shared" ref="F42:H42" si="12">+F38+F40+F41</f>
        <v>203296.31739999983</v>
      </c>
      <c r="G42" s="210">
        <f t="shared" si="12"/>
        <v>203296.31739999983</v>
      </c>
      <c r="H42" s="210">
        <f t="shared" si="12"/>
        <v>428258.75159999984</v>
      </c>
    </row>
    <row r="43" spans="1:10" x14ac:dyDescent="0.3">
      <c r="A43" s="292"/>
      <c r="B43" s="292"/>
      <c r="C43" s="292"/>
      <c r="D43" s="292"/>
      <c r="E43" s="293"/>
      <c r="F43" s="293"/>
      <c r="G43" s="293"/>
      <c r="H43" s="293"/>
    </row>
    <row r="44" spans="1:10" x14ac:dyDescent="0.3">
      <c r="A44" s="292"/>
      <c r="B44" s="292"/>
      <c r="C44" s="292"/>
      <c r="D44" s="292"/>
      <c r="E44" s="293"/>
      <c r="F44" s="293"/>
      <c r="G44" s="293"/>
      <c r="H44" s="293"/>
    </row>
    <row r="45" spans="1:10" ht="15" thickBot="1" x14ac:dyDescent="0.35">
      <c r="A45" s="201"/>
      <c r="B45" s="201"/>
      <c r="C45" s="201"/>
      <c r="D45" s="201"/>
      <c r="E45" s="202"/>
      <c r="G45" s="200">
        <f>+G38+F35</f>
        <v>204617.31739999983</v>
      </c>
      <c r="H45">
        <v>655233</v>
      </c>
      <c r="I45" s="200">
        <f>+H45-E22</f>
        <v>-301194.88039999991</v>
      </c>
    </row>
    <row r="46" spans="1:10" x14ac:dyDescent="0.3">
      <c r="A46" s="295" t="s">
        <v>325</v>
      </c>
      <c r="B46" s="298" t="s">
        <v>326</v>
      </c>
      <c r="C46" s="299"/>
      <c r="D46" s="299"/>
      <c r="E46" s="300"/>
      <c r="G46">
        <v>266228</v>
      </c>
    </row>
    <row r="47" spans="1:10" ht="15" thickBot="1" x14ac:dyDescent="0.35">
      <c r="A47" s="296"/>
      <c r="B47" s="301"/>
      <c r="C47" s="302"/>
      <c r="D47" s="302"/>
      <c r="E47" s="303"/>
      <c r="G47" s="200">
        <f>+G46-G38</f>
        <v>63500.682600000175</v>
      </c>
      <c r="H47" s="291">
        <f>+'PARTYWISE PURCHASE'!H13</f>
        <v>553</v>
      </c>
      <c r="I47" s="291">
        <f>+'PARTYWISE PURCHASE'!I13</f>
        <v>553</v>
      </c>
      <c r="J47" t="s">
        <v>357</v>
      </c>
    </row>
    <row r="48" spans="1:10" x14ac:dyDescent="0.3">
      <c r="A48" s="296"/>
      <c r="B48" s="304" t="s">
        <v>328</v>
      </c>
      <c r="C48" s="306" t="s">
        <v>329</v>
      </c>
      <c r="D48" s="307"/>
      <c r="E48" s="308"/>
      <c r="H48" s="291">
        <f>ROUND(+'PARTYWISE PURCHASE'!H36*0.05,0)</f>
        <v>16</v>
      </c>
      <c r="I48" s="291">
        <f>ROUND(+'PARTYWISE PURCHASE'!I36*0.05,0)</f>
        <v>16</v>
      </c>
      <c r="J48" t="s">
        <v>356</v>
      </c>
    </row>
    <row r="49" spans="1:5" x14ac:dyDescent="0.3">
      <c r="A49" s="296"/>
      <c r="B49" s="305"/>
      <c r="C49" s="211" t="s">
        <v>330</v>
      </c>
      <c r="D49" s="211" t="s">
        <v>331</v>
      </c>
      <c r="E49" s="212" t="s">
        <v>332</v>
      </c>
    </row>
    <row r="50" spans="1:5" x14ac:dyDescent="0.3">
      <c r="A50" s="296"/>
      <c r="B50" s="213" t="s">
        <v>1</v>
      </c>
      <c r="C50" s="214" t="s">
        <v>1</v>
      </c>
      <c r="D50" s="214" t="s">
        <v>2</v>
      </c>
      <c r="E50" s="215" t="s">
        <v>3</v>
      </c>
    </row>
    <row r="51" spans="1:5" x14ac:dyDescent="0.3">
      <c r="A51" s="296"/>
      <c r="B51" s="216" t="s">
        <v>2</v>
      </c>
      <c r="C51" s="217" t="s">
        <v>2</v>
      </c>
      <c r="D51" s="217" t="s">
        <v>1</v>
      </c>
      <c r="E51" s="218"/>
    </row>
    <row r="52" spans="1:5" ht="15" thickBot="1" x14ac:dyDescent="0.35">
      <c r="A52" s="297"/>
      <c r="B52" s="219" t="s">
        <v>3</v>
      </c>
      <c r="C52" s="220" t="s">
        <v>3</v>
      </c>
      <c r="D52" s="220" t="s">
        <v>1</v>
      </c>
      <c r="E52" s="221"/>
    </row>
  </sheetData>
  <mergeCells count="17">
    <mergeCell ref="B2:H2"/>
    <mergeCell ref="B3:H3"/>
    <mergeCell ref="B4:H4"/>
    <mergeCell ref="A5:H5"/>
    <mergeCell ref="A46:A52"/>
    <mergeCell ref="B46:E47"/>
    <mergeCell ref="B48:B49"/>
    <mergeCell ref="C48:E48"/>
    <mergeCell ref="A14:H14"/>
    <mergeCell ref="A36:D36"/>
    <mergeCell ref="A38:D38"/>
    <mergeCell ref="A23:H23"/>
    <mergeCell ref="A35:D35"/>
    <mergeCell ref="A33:D33"/>
    <mergeCell ref="A34:D34"/>
    <mergeCell ref="A37:D37"/>
    <mergeCell ref="A42:D42"/>
  </mergeCells>
  <pageMargins left="0.7" right="0.7" top="0.75" bottom="0.75" header="0.3" footer="0.3"/>
  <pageSetup paperSize="9" scale="8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SALES</vt:lpstr>
      <vt:lpstr>PARTYWISE SALE</vt:lpstr>
      <vt:lpstr>HSN SALE SUMMERY</vt:lpstr>
      <vt:lpstr>PURCHASE</vt:lpstr>
      <vt:lpstr>PARTYWISE PURCHASE</vt:lpstr>
      <vt:lpstr>HSN PURCHASE SUMMERY</vt:lpstr>
      <vt:lpstr>REVERSE CHARGE MECHANISM </vt:lpstr>
      <vt:lpstr>EXEMPTED NIL NON GST PURCHASE</vt:lpstr>
      <vt:lpstr>RETURN SUMMERY</vt:lpstr>
      <vt:lpstr>B2B</vt:lpstr>
      <vt:lpstr>B2CLARG</vt:lpstr>
      <vt:lpstr>B2CSMALL</vt:lpstr>
      <vt:lpstr>DEBIT CREDIT NOTE</vt:lpstr>
      <vt:lpstr>DEBIT NOTE CREDIT NOTE URD</vt:lpstr>
      <vt:lpstr>EXPORT</vt:lpstr>
      <vt:lpstr>ADVANCE</vt:lpstr>
      <vt:lpstr>ADVANCE ADJ</vt:lpstr>
      <vt:lpstr>EXEMPED NIL RETURN</vt:lpstr>
      <vt:lpstr>HSN SUMMERY</vt:lpstr>
      <vt:lpstr>DOC SUMMERY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2017-12-20T07:20:16Z</dcterms:modified>
</cp:coreProperties>
</file>